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ownloads\"/>
    </mc:Choice>
  </mc:AlternateContent>
  <xr:revisionPtr revIDLastSave="0" documentId="13_ncr:1_{4159348E-FED2-4607-A6F6-DF2C86EA95E5}" xr6:coauthVersionLast="47" xr6:coauthVersionMax="47" xr10:uidLastSave="{00000000-0000-0000-0000-000000000000}"/>
  <bookViews>
    <workbookView xWindow="-289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AB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V164" i="2"/>
  <c r="EA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G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I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35" i="2" a="1"/>
  <c r="FY35" i="2" s="1"/>
  <c r="FY29" i="2" a="1"/>
  <c r="FY29" i="2" s="1"/>
  <c r="FY69" i="2" a="1"/>
  <c r="FY69" i="2" s="1"/>
  <c r="FY102" i="2" a="1"/>
  <c r="FY102" i="2" s="1"/>
  <c r="FY186" i="2" a="1"/>
  <c r="FY186" i="2" s="1"/>
  <c r="FY152" i="2" a="1"/>
  <c r="FY152" i="2" s="1"/>
  <c r="FY78" i="2" a="1"/>
  <c r="FY78" i="2" s="1"/>
  <c r="FY28" i="2" a="1"/>
  <c r="FY28" i="2" s="1"/>
  <c r="AH92" i="2" a="1"/>
  <c r="AH92" i="2" s="1"/>
  <c r="FY190" i="2" a="1"/>
  <c r="FY190" i="2" s="1"/>
  <c r="FY62" i="2" a="1"/>
  <c r="FY62" i="2" s="1"/>
  <c r="FY104" i="2" a="1"/>
  <c r="FY104" i="2" s="1"/>
  <c r="FY172" i="2" a="1"/>
  <c r="FY172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30" i="2" a="1"/>
  <c r="FY30" i="2" s="1"/>
  <c r="FY80" i="2" a="1"/>
  <c r="FY80" i="2" s="1"/>
  <c r="FD48" i="2" a="1"/>
  <c r="FD48" i="2" s="1"/>
  <c r="FD14" i="2" a="1"/>
  <c r="FD14" i="2" s="1"/>
  <c r="FD159" i="2" a="1"/>
  <c r="FD159" i="2" s="1"/>
  <c r="FD137" i="2" a="1"/>
  <c r="FD13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7" i="2" l="1" a="1"/>
  <c r="BC7" i="2" s="1"/>
  <c r="BC55" i="2" a="1"/>
  <c r="BC55" i="2" s="1"/>
  <c r="FD107" i="2" a="1"/>
  <c r="FD107" i="2" s="1"/>
  <c r="FD44" i="2" a="1"/>
  <c r="FD44" i="2" s="1"/>
  <c r="FY42" i="2" a="1"/>
  <c r="FY42" i="2" s="1"/>
  <c r="BC68" i="2" a="1"/>
  <c r="BC68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BC185" i="2" a="1"/>
  <c r="BC185" i="2" s="1"/>
  <c r="BC130" i="2" a="1"/>
  <c r="BC130" i="2" s="1"/>
  <c r="FD167" i="2" a="1"/>
  <c r="FD167" i="2" s="1"/>
  <c r="FD188" i="2" a="1"/>
  <c r="FD188" i="2" s="1"/>
  <c r="FY196" i="2" a="1"/>
  <c r="FY196" i="2" s="1"/>
  <c r="BC117" i="2" a="1"/>
  <c r="BC117" i="2" s="1"/>
  <c r="BC58" i="2" a="1"/>
  <c r="BC58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BC151" i="2" a="1"/>
  <c r="BC151" i="2" s="1"/>
  <c r="BC47" i="2" a="1"/>
  <c r="BC47" i="2" s="1"/>
  <c r="BC143" i="2" a="1"/>
  <c r="BC143" i="2" s="1"/>
  <c r="FD187" i="2" a="1"/>
  <c r="FD187" i="2" s="1"/>
  <c r="FD131" i="2" a="1"/>
  <c r="FD131" i="2" s="1"/>
  <c r="FD60" i="2" a="1"/>
  <c r="FD60" i="2" s="1"/>
  <c r="FY82" i="2" a="1"/>
  <c r="FY82" i="2" s="1"/>
  <c r="BC181" i="2" a="1"/>
  <c r="BC181" i="2" s="1"/>
  <c r="BC34" i="2" a="1"/>
  <c r="BC34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BC192" i="2" a="1"/>
  <c r="BC192" i="2" s="1"/>
  <c r="BC31" i="2" a="1"/>
  <c r="BC31" i="2" s="1"/>
  <c r="FD194" i="2" a="1"/>
  <c r="FD194" i="2" s="1"/>
  <c r="FD43" i="2" a="1"/>
  <c r="FD43" i="2" s="1"/>
  <c r="FY121" i="2" a="1"/>
  <c r="FY121" i="2" s="1"/>
  <c r="FY182" i="2" a="1"/>
  <c r="FY182" i="2" s="1"/>
  <c r="BC65" i="2" a="1"/>
  <c r="BC6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BC18" i="2" a="1"/>
  <c r="BC18" i="2" s="1"/>
  <c r="BC84" i="2" a="1"/>
  <c r="BC84" i="2" s="1"/>
  <c r="FD19" i="2" a="1"/>
  <c r="FD19" i="2" s="1"/>
  <c r="FD64" i="2" a="1"/>
  <c r="FD64" i="2" s="1"/>
  <c r="FY167" i="2" a="1"/>
  <c r="FY167" i="2" s="1"/>
  <c r="FY115" i="2" a="1"/>
  <c r="FY115" i="2" s="1"/>
  <c r="BC114" i="2" a="1"/>
  <c r="BC114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BC38" i="2" a="1"/>
  <c r="BC38" i="2" s="1"/>
  <c r="BC32" i="2" a="1"/>
  <c r="BC32" i="2" s="1"/>
  <c r="FD160" i="2" a="1"/>
  <c r="FD160" i="2" s="1"/>
  <c r="FD189" i="2" a="1"/>
  <c r="FD189" i="2" s="1"/>
  <c r="FY142" i="2" a="1"/>
  <c r="FY142" i="2" s="1"/>
  <c r="FY86" i="2" a="1"/>
  <c r="FY86" i="2" s="1"/>
  <c r="BC126" i="2" a="1"/>
  <c r="BC12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<sst xmlns="http://schemas.openxmlformats.org/spreadsheetml/2006/main" count="1171" uniqueCount="324">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</sst>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1" zoomScale="80" zoomScaleNormal="80" workbookViewId="0">
      <selection activeCell="E13" sqref="E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3.48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0.5</v>
      </c>
      <c r="D9" s="33">
        <f t="shared" ref="D9:D18" si="0">C9*$C$5</f>
        <v>1.74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23</v>
      </c>
      <c r="C10" s="32">
        <v>0.5</v>
      </c>
      <c r="D10" s="33">
        <f t="shared" si="0"/>
        <v>1.74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3.48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>
        <v>0.2</v>
      </c>
      <c r="F36" s="51">
        <v>0.2</v>
      </c>
      <c r="G36" s="51">
        <v>0.6</v>
      </c>
      <c r="H36" s="51"/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103</v>
      </c>
      <c r="C37" s="60">
        <v>2</v>
      </c>
      <c r="D37" s="60">
        <v>28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121</v>
      </c>
      <c r="C38" s="60">
        <v>3</v>
      </c>
      <c r="D38" s="60">
        <v>28</v>
      </c>
      <c r="E38" s="51">
        <v>0.3</v>
      </c>
      <c r="F38" s="51">
        <v>0.4</v>
      </c>
      <c r="G38" s="51">
        <v>0.3</v>
      </c>
      <c r="H38" s="51"/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147</v>
      </c>
      <c r="C39" s="60">
        <v>4</v>
      </c>
      <c r="D39" s="60">
        <v>28</v>
      </c>
      <c r="E39" s="51"/>
      <c r="F39" s="51"/>
      <c r="G39" s="51"/>
      <c r="H39" s="51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175</v>
      </c>
      <c r="C40" s="60">
        <v>5</v>
      </c>
      <c r="D40" s="60">
        <v>28</v>
      </c>
      <c r="E40" s="51"/>
      <c r="F40" s="51"/>
      <c r="G40" s="51"/>
      <c r="H40" s="51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204</v>
      </c>
      <c r="C41" s="60">
        <v>6</v>
      </c>
      <c r="D41" s="60">
        <v>28</v>
      </c>
      <c r="E41" s="51"/>
      <c r="F41" s="51"/>
      <c r="G41" s="51"/>
      <c r="H41" s="51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231</v>
      </c>
      <c r="C42" s="60">
        <v>7</v>
      </c>
      <c r="D42" s="60">
        <v>28</v>
      </c>
      <c r="E42" s="51"/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254</v>
      </c>
      <c r="C43" s="60">
        <v>8</v>
      </c>
      <c r="D43" s="60">
        <v>28</v>
      </c>
      <c r="E43" s="51"/>
      <c r="F43" s="51"/>
      <c r="G43" s="51"/>
      <c r="H43" s="51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273</v>
      </c>
      <c r="C44" s="60">
        <v>9</v>
      </c>
      <c r="D44" s="60">
        <v>28</v>
      </c>
      <c r="E44" s="51"/>
      <c r="F44" s="51"/>
      <c r="G44" s="51"/>
      <c r="H44" s="51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289</v>
      </c>
      <c r="C45" s="60">
        <v>10</v>
      </c>
      <c r="D45" s="60">
        <v>28</v>
      </c>
      <c r="E45" s="51"/>
      <c r="F45" s="51"/>
      <c r="G45" s="51"/>
      <c r="H45" s="51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302</v>
      </c>
      <c r="C46" s="60">
        <v>11</v>
      </c>
      <c r="D46" s="60">
        <v>28</v>
      </c>
      <c r="E46" s="51"/>
      <c r="F46" s="51"/>
      <c r="G46" s="51"/>
      <c r="H46" s="51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312</v>
      </c>
      <c r="C47" s="60">
        <v>12</v>
      </c>
      <c r="D47" s="60">
        <v>28</v>
      </c>
      <c r="E47" s="51"/>
      <c r="F47" s="51"/>
      <c r="G47" s="51"/>
      <c r="H47" s="51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320</v>
      </c>
      <c r="C48" s="60">
        <v>13</v>
      </c>
      <c r="D48" s="60">
        <v>28</v>
      </c>
      <c r="E48" s="51"/>
      <c r="F48" s="51"/>
      <c r="G48" s="51"/>
      <c r="H48" s="51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326</v>
      </c>
      <c r="C49" s="60">
        <v>14</v>
      </c>
      <c r="D49" s="60">
        <v>28</v>
      </c>
      <c r="E49" s="51"/>
      <c r="F49" s="51"/>
      <c r="G49" s="51"/>
      <c r="H49" s="51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330</v>
      </c>
      <c r="C50" s="50">
        <v>15</v>
      </c>
      <c r="D50" s="50">
        <v>28</v>
      </c>
      <c r="E50" s="51"/>
      <c r="F50" s="51"/>
      <c r="G50" s="51"/>
      <c r="H50" s="51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333</v>
      </c>
      <c r="C51" s="50">
        <v>16</v>
      </c>
      <c r="D51" s="50">
        <v>28</v>
      </c>
      <c r="E51" s="51"/>
      <c r="F51" s="51"/>
      <c r="G51" s="51"/>
      <c r="H51" s="51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333</v>
      </c>
      <c r="C52" s="50">
        <v>17</v>
      </c>
      <c r="D52" s="50">
        <v>333</v>
      </c>
      <c r="E52" s="51"/>
      <c r="F52" s="51"/>
      <c r="G52" s="51"/>
      <c r="H52" s="51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Erable sycomore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19</v>
      </c>
      <c r="C62" s="60">
        <v>1</v>
      </c>
      <c r="D62" s="60">
        <v>7</v>
      </c>
      <c r="E62" s="51"/>
      <c r="F62" s="51">
        <v>0.3</v>
      </c>
      <c r="G62" s="51">
        <v>0.7</v>
      </c>
      <c r="H62" s="51"/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85</v>
      </c>
      <c r="C63" s="60">
        <v>2</v>
      </c>
      <c r="D63" s="60">
        <v>42</v>
      </c>
      <c r="E63" s="51">
        <v>0.2</v>
      </c>
      <c r="F63" s="51">
        <v>0.2</v>
      </c>
      <c r="G63" s="51">
        <v>0.6</v>
      </c>
      <c r="H63" s="51"/>
      <c r="I63" s="49">
        <f>IF(A63&lt;&gt;0,(B63-(B62-D62))/(A63-A62),"")</f>
        <v>14.6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123</v>
      </c>
      <c r="C64" s="60">
        <v>3</v>
      </c>
      <c r="D64" s="60">
        <v>42</v>
      </c>
      <c r="E64" s="51">
        <v>0.2</v>
      </c>
      <c r="F64" s="51">
        <v>0.2</v>
      </c>
      <c r="G64" s="51">
        <v>0.6</v>
      </c>
      <c r="H64" s="51"/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165</v>
      </c>
      <c r="C65" s="60">
        <v>4</v>
      </c>
      <c r="D65" s="60">
        <v>42</v>
      </c>
      <c r="E65" s="51">
        <v>0.3</v>
      </c>
      <c r="F65" s="51">
        <v>0.4</v>
      </c>
      <c r="G65" s="51">
        <v>0.3</v>
      </c>
      <c r="H65" s="51"/>
      <c r="I65" s="49">
        <f>IF(A65&lt;&gt;0,(B65-(B64-D64))/(A65-A64),"")</f>
        <v>16.8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205</v>
      </c>
      <c r="C66" s="60">
        <v>5</v>
      </c>
      <c r="D66" s="60">
        <v>42</v>
      </c>
      <c r="E66" s="51">
        <v>0.3</v>
      </c>
      <c r="F66" s="51">
        <v>0.4</v>
      </c>
      <c r="G66" s="51">
        <v>0.3</v>
      </c>
      <c r="H66" s="51"/>
      <c r="I66" s="49">
        <f t="shared" ref="I66:I81" si="2">IF(A66&lt;&gt;0,(B66-(B65-D65))/(A66-A65),"")</f>
        <v>16.399999999999999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239</v>
      </c>
      <c r="C67" s="60">
        <v>6</v>
      </c>
      <c r="D67" s="60">
        <v>42</v>
      </c>
      <c r="E67" s="51"/>
      <c r="F67" s="51"/>
      <c r="G67" s="51"/>
      <c r="H67" s="51"/>
      <c r="I67" s="49">
        <f t="shared" si="2"/>
        <v>15.2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263</v>
      </c>
      <c r="C68" s="60">
        <v>7</v>
      </c>
      <c r="D68" s="60">
        <v>40</v>
      </c>
      <c r="E68" s="51"/>
      <c r="F68" s="51"/>
      <c r="G68" s="51"/>
      <c r="H68" s="51"/>
      <c r="I68" s="49">
        <f t="shared" si="2"/>
        <v>13.2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v>280</v>
      </c>
      <c r="C69" s="50">
        <v>8</v>
      </c>
      <c r="D69" s="50">
        <v>26</v>
      </c>
      <c r="E69" s="51"/>
      <c r="F69" s="51"/>
      <c r="G69" s="51"/>
      <c r="H69" s="51"/>
      <c r="I69" s="49">
        <f t="shared" si="2"/>
        <v>11.4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v>303</v>
      </c>
      <c r="C70" s="50">
        <v>9</v>
      </c>
      <c r="D70" s="50">
        <v>21</v>
      </c>
      <c r="E70" s="51"/>
      <c r="F70" s="51"/>
      <c r="G70" s="51"/>
      <c r="H70" s="51"/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50">
        <v>324</v>
      </c>
      <c r="C71" s="50">
        <v>10</v>
      </c>
      <c r="D71" s="50">
        <v>18</v>
      </c>
      <c r="E71" s="51"/>
      <c r="F71" s="51"/>
      <c r="G71" s="51"/>
      <c r="H71" s="51"/>
      <c r="I71" s="49">
        <f t="shared" si="2"/>
        <v>8.4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50">
        <v>343</v>
      </c>
      <c r="C72" s="50">
        <v>11</v>
      </c>
      <c r="D72" s="50">
        <v>17</v>
      </c>
      <c r="E72" s="51"/>
      <c r="F72" s="51"/>
      <c r="G72" s="51"/>
      <c r="H72" s="51"/>
      <c r="I72" s="49">
        <f t="shared" si="2"/>
        <v>7.4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65</v>
      </c>
      <c r="B73" s="50">
        <v>356</v>
      </c>
      <c r="C73" s="50">
        <v>12</v>
      </c>
      <c r="D73" s="50">
        <v>16</v>
      </c>
      <c r="E73" s="51"/>
      <c r="F73" s="51"/>
      <c r="G73" s="51"/>
      <c r="H73" s="51"/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70</v>
      </c>
      <c r="B74" s="50">
        <v>366</v>
      </c>
      <c r="C74" s="50">
        <v>13</v>
      </c>
      <c r="D74" s="50">
        <v>15</v>
      </c>
      <c r="E74" s="51"/>
      <c r="F74" s="51"/>
      <c r="G74" s="51"/>
      <c r="H74" s="51"/>
      <c r="I74" s="49">
        <f t="shared" si="2"/>
        <v>5.2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75</v>
      </c>
      <c r="B75" s="50">
        <v>375</v>
      </c>
      <c r="C75" s="50">
        <v>14</v>
      </c>
      <c r="D75" s="50">
        <v>14</v>
      </c>
      <c r="E75" s="51"/>
      <c r="F75" s="51"/>
      <c r="G75" s="51"/>
      <c r="H75" s="51"/>
      <c r="I75" s="49">
        <f t="shared" si="2"/>
        <v>4.8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80</v>
      </c>
      <c r="B76" s="50">
        <v>381</v>
      </c>
      <c r="C76" s="50">
        <v>15</v>
      </c>
      <c r="D76" s="50">
        <v>381</v>
      </c>
      <c r="E76" s="51"/>
      <c r="F76" s="51"/>
      <c r="G76" s="51"/>
      <c r="H76" s="51"/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sycomore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274.78375889702613</v>
      </c>
      <c r="T3" s="59">
        <f>IF('Données projet'!E9&gt;30,$R$33-$H$33,LOOKUP('Données projet'!$E$9,$A$3:$A$203,R3:R203)-LOOKUP('Données projet'!$E$9,$A$3:$A$203,$H$3:$H$203))</f>
        <v>180.48047802041276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295.36463140471733</v>
      </c>
      <c r="AO3" s="59">
        <f>IF('Données projet'!E10&gt;30,$AM$33-$H$33,LOOKUP('Données projet'!$E$10,$A$3:$A$203,AM3:AM203)-LOOKUP('Données projet'!$E$10,$A$3:$A$203,$H$3:$H$203))</f>
        <v>295.34177980841878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296.17432310550635</v>
      </c>
      <c r="S4" s="59">
        <f ca="1">AVERAGE(OFFSET($R$3,0,0,'Données projet'!$E$9+1,1))-AVERAGE(OFFSET($H$3,0,0,'Données projet'!$E$9+1,1))</f>
        <v>274.78375889702613</v>
      </c>
      <c r="T4" s="59">
        <f>$T$3</f>
        <v>180.48047802041276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1.0679972503054507</v>
      </c>
      <c r="AK4" s="13">
        <f>EXP(-1.0587+0.8836*LN(AJ4)+0.284)</f>
        <v>0.48842359485523285</v>
      </c>
      <c r="AL4" s="20">
        <f t="shared" ref="AL4:AL67" si="4">(AJ4+AK4)*0.475*44/12</f>
        <v>2.7107663053215236</v>
      </c>
      <c r="AM4" s="59">
        <f t="shared" ref="AM4:AM67" si="5">AL4+(AD4+AE4)*44/12</f>
        <v>296.04409963865481</v>
      </c>
      <c r="AN4" s="59">
        <f ca="1">AVERAGE(OFFSET($AM$3,0,0,'Données projet'!$E$10+1,1))-AVERAGE(OFFSET($H$3,0,0,'Données projet'!$E$10+1,1))</f>
        <v>295.36463140471733</v>
      </c>
      <c r="AO4" s="59">
        <f>$AO$3</f>
        <v>295.34177980841878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296.82694711009896</v>
      </c>
      <c r="S5" s="59">
        <f ca="1">AVERAGE(OFFSET($R$3,0,0,'Données projet'!$E$9+1,1))-AVERAGE(OFFSET($H$3,0,0,'Données projet'!$E$9+1,1))</f>
        <v>274.78375889702613</v>
      </c>
      <c r="T5" s="59">
        <f t="shared" ref="T5:T68" si="34">$T$3</f>
        <v>180.48047802041276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1.4336577760935185</v>
      </c>
      <c r="AK5" s="13">
        <f t="shared" ref="AK5:AK68" si="35">EXP(-1.0587+0.8836*LN(AJ5)+0.284)</f>
        <v>0.63355934907379652</v>
      </c>
      <c r="AL5" s="20">
        <f t="shared" si="4"/>
        <v>3.6004031596664068</v>
      </c>
      <c r="AM5" s="59">
        <f t="shared" si="5"/>
        <v>296.93373649299974</v>
      </c>
      <c r="AN5" s="59">
        <f ca="1">AVERAGE(OFFSET($AM$3,0,0,'Données projet'!$E$10+1,1))-AVERAGE(OFFSET($H$3,0,0,'Données projet'!$E$10+1,1))</f>
        <v>295.36463140471733</v>
      </c>
      <c r="AO5" s="59">
        <f t="shared" ref="AO5:AO68" si="36">$AO$3</f>
        <v>295.34177980841878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297.63006022433916</v>
      </c>
      <c r="S6" s="59">
        <f ca="1">AVERAGE(OFFSET($R$3,0,0,'Données projet'!$E$9+1,1))-AVERAGE(OFFSET($H$3,0,0,'Données projet'!$E$9+1,1))</f>
        <v>274.78375889702613</v>
      </c>
      <c r="T6" s="59">
        <f t="shared" si="34"/>
        <v>180.48047802041276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1.9245130250715252</v>
      </c>
      <c r="AK6" s="13">
        <f t="shared" si="35"/>
        <v>0.82182239561499026</v>
      </c>
      <c r="AL6" s="20">
        <f t="shared" si="4"/>
        <v>4.7832008576956815</v>
      </c>
      <c r="AM6" s="59">
        <f t="shared" si="5"/>
        <v>298.11653419102902</v>
      </c>
      <c r="AN6" s="59">
        <f ca="1">AVERAGE(OFFSET($AM$3,0,0,'Données projet'!$E$10+1,1))-AVERAGE(OFFSET($H$3,0,0,'Données projet'!$E$10+1,1))</f>
        <v>295.36463140471733</v>
      </c>
      <c r="AO6" s="59">
        <f t="shared" si="36"/>
        <v>295.34177980841878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298.61848781128475</v>
      </c>
      <c r="S7" s="59">
        <f ca="1">AVERAGE(OFFSET($R$3,0,0,'Données projet'!$E$9+1,1))-AVERAGE(OFFSET($H$3,0,0,'Données projet'!$E$9+1,1))</f>
        <v>274.78375889702613</v>
      </c>
      <c r="T7" s="59">
        <f t="shared" si="34"/>
        <v>180.48047802041276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2.5834271228675387</v>
      </c>
      <c r="AK7" s="13">
        <f t="shared" si="35"/>
        <v>1.066028069701316</v>
      </c>
      <c r="AL7" s="20">
        <f t="shared" si="4"/>
        <v>6.3561344603907548</v>
      </c>
      <c r="AM7" s="59">
        <f t="shared" si="5"/>
        <v>299.68946779372408</v>
      </c>
      <c r="AN7" s="59">
        <f ca="1">AVERAGE(OFFSET($AM$3,0,0,'Données projet'!$E$10+1,1))-AVERAGE(OFFSET($H$3,0,0,'Données projet'!$E$10+1,1))</f>
        <v>295.36463140471733</v>
      </c>
      <c r="AO7" s="59">
        <f t="shared" si="36"/>
        <v>295.34177980841878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299.83514117239878</v>
      </c>
      <c r="S8" s="59">
        <f ca="1">AVERAGE(OFFSET($R$3,0,0,'Données projet'!$E$9+1,1))-AVERAGE(OFFSET($H$3,0,0,'Données projet'!$E$9+1,1))</f>
        <v>274.78375889702613</v>
      </c>
      <c r="T8" s="59">
        <f t="shared" si="34"/>
        <v>180.48047802041276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3.467939999480961</v>
      </c>
      <c r="AK8" s="13">
        <f t="shared" si="35"/>
        <v>1.382799801337496</v>
      </c>
      <c r="AL8" s="20">
        <f t="shared" si="4"/>
        <v>8.4483718197588118</v>
      </c>
      <c r="AM8" s="59">
        <f t="shared" si="5"/>
        <v>301.7817051530921</v>
      </c>
      <c r="AN8" s="59">
        <f ca="1">AVERAGE(OFFSET($AM$3,0,0,'Données projet'!$E$10+1,1))-AVERAGE(OFFSET($H$3,0,0,'Données projet'!$E$10+1,1))</f>
        <v>295.36463140471733</v>
      </c>
      <c r="AO8" s="59">
        <f t="shared" si="36"/>
        <v>295.34177980841878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301.33290077663611</v>
      </c>
      <c r="S9" s="59">
        <f ca="1">AVERAGE(OFFSET($R$3,0,0,'Données projet'!$E$9+1,1))-AVERAGE(OFFSET($H$3,0,0,'Données projet'!$E$9+1,1))</f>
        <v>274.78375889702613</v>
      </c>
      <c r="T9" s="59">
        <f t="shared" si="34"/>
        <v>180.48047802041276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4.6552920860607747</v>
      </c>
      <c r="AK9" s="13">
        <f t="shared" si="35"/>
        <v>1.7937006960002178</v>
      </c>
      <c r="AL9" s="20">
        <f t="shared" si="4"/>
        <v>11.231995762089561</v>
      </c>
      <c r="AM9" s="59">
        <f t="shared" si="5"/>
        <v>304.5653290954229</v>
      </c>
      <c r="AN9" s="59">
        <f ca="1">AVERAGE(OFFSET($AM$3,0,0,'Données projet'!$E$10+1,1))-AVERAGE(OFFSET($H$3,0,0,'Données projet'!$E$10+1,1))</f>
        <v>295.36463140471733</v>
      </c>
      <c r="AO9" s="59">
        <f t="shared" si="36"/>
        <v>295.34177980841878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303.17693934275616</v>
      </c>
      <c r="S10" s="59">
        <f ca="1">AVERAGE(OFFSET($R$3,0,0,'Données projet'!$E$9+1,1))-AVERAGE(OFFSET($H$3,0,0,'Données projet'!$E$9+1,1))</f>
        <v>274.78375889702613</v>
      </c>
      <c r="T10" s="59">
        <f t="shared" si="34"/>
        <v>180.48047802041276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6.2491693656129108</v>
      </c>
      <c r="AK10" s="13">
        <f t="shared" si="35"/>
        <v>2.326701366112224</v>
      </c>
      <c r="AL10" s="20">
        <f t="shared" si="4"/>
        <v>14.936308191087944</v>
      </c>
      <c r="AM10" s="59">
        <f t="shared" si="5"/>
        <v>308.26964152442127</v>
      </c>
      <c r="AN10" s="59">
        <f ca="1">AVERAGE(OFFSET($AM$3,0,0,'Données projet'!$E$10+1,1))-AVERAGE(OFFSET($H$3,0,0,'Données projet'!$E$10+1,1))</f>
        <v>295.36463140471733</v>
      </c>
      <c r="AO10" s="59">
        <f t="shared" si="36"/>
        <v>295.34177980841878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305.44758777557922</v>
      </c>
      <c r="S11" s="59">
        <f ca="1">AVERAGE(OFFSET($R$3,0,0,'Données projet'!$E$9+1,1))-AVERAGE(OFFSET($H$3,0,0,'Données projet'!$E$9+1,1))</f>
        <v>274.78375889702613</v>
      </c>
      <c r="T11" s="59">
        <f t="shared" si="34"/>
        <v>180.48047802041276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8.3887577918145393</v>
      </c>
      <c r="AK11" s="13">
        <f t="shared" si="35"/>
        <v>3.0180839306915423</v>
      </c>
      <c r="AL11" s="20">
        <f t="shared" si="4"/>
        <v>19.866916000031427</v>
      </c>
      <c r="AM11" s="59">
        <f t="shared" si="5"/>
        <v>313.20024933336475</v>
      </c>
      <c r="AN11" s="59">
        <f ca="1">AVERAGE(OFFSET($AM$3,0,0,'Données projet'!$E$10+1,1))-AVERAGE(OFFSET($H$3,0,0,'Données projet'!$E$10+1,1))</f>
        <v>295.36463140471733</v>
      </c>
      <c r="AO11" s="59">
        <f t="shared" si="36"/>
        <v>295.34177980841878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308.24387113376753</v>
      </c>
      <c r="S12" s="59">
        <f ca="1">AVERAGE(OFFSET($R$3,0,0,'Données projet'!$E$9+1,1))-AVERAGE(OFFSET($H$3,0,0,'Données projet'!$E$9+1,1))</f>
        <v>274.78375889702613</v>
      </c>
      <c r="T12" s="59">
        <f t="shared" si="34"/>
        <v>180.48047802041276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11.260897756581638</v>
      </c>
      <c r="AK12" s="13">
        <f t="shared" si="35"/>
        <v>3.9149117911590028</v>
      </c>
      <c r="AL12" s="20">
        <f t="shared" si="4"/>
        <v>26.431201628981615</v>
      </c>
      <c r="AM12" s="59">
        <f t="shared" si="5"/>
        <v>319.76453496231494</v>
      </c>
      <c r="AN12" s="59">
        <f ca="1">AVERAGE(OFFSET($AM$3,0,0,'Données projet'!$E$10+1,1))-AVERAGE(OFFSET($H$3,0,0,'Données projet'!$E$10+1,1))</f>
        <v>295.36463140471733</v>
      </c>
      <c r="AO12" s="59">
        <f t="shared" si="36"/>
        <v>295.34177980841878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311.68787167067455</v>
      </c>
      <c r="S13" s="59">
        <f ca="1">AVERAGE(OFFSET($R$3,0,0,'Données projet'!$E$9+1,1))-AVERAGE(OFFSET($H$3,0,0,'Données projet'!$E$9+1,1))</f>
        <v>274.78375889702613</v>
      </c>
      <c r="T13" s="59">
        <f t="shared" si="34"/>
        <v>180.48047802041276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15.116400000000001</v>
      </c>
      <c r="AK13" s="13">
        <f t="shared" si="35"/>
        <v>5.0782333044806913</v>
      </c>
      <c r="AL13" s="20">
        <f t="shared" si="4"/>
        <v>35.172319671970541</v>
      </c>
      <c r="AM13" s="59">
        <f t="shared" si="5"/>
        <v>328.50565300530388</v>
      </c>
      <c r="AN13" s="59">
        <f ca="1">AVERAGE(OFFSET($AM$3,0,0,'Données projet'!$E$10+1,1))-AVERAGE(OFFSET($H$3,0,0,'Données projet'!$E$10+1,1))</f>
        <v>295.36463140471733</v>
      </c>
      <c r="AO13" s="59">
        <f t="shared" si="36"/>
        <v>295.34177980841878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0.159</v>
      </c>
      <c r="AT13" s="16">
        <f>IF(ISNA(VLOOKUP(A13,'Données projet'!$A$61:$I$81,7,0)),0%,VLOOKUP(A13,'Données projet'!$A$61:$I$81,7,0))</f>
        <v>0.7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0.97504282545720555</v>
      </c>
      <c r="AW13" s="21">
        <f>EXP(-LN(2)/2)*AW12+(1-EXP(-LN(2)/2))/(LN(2)/2)*AQ13*AT13*VLOOKUP('Données projet'!$B$10,Paramètres!$A$1:$I$89,3,0)*0.475*44/12</f>
        <v>3.6782830649742295</v>
      </c>
      <c r="AX13" s="21">
        <f t="shared" si="6"/>
        <v>4.653325890431435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315.93011288122739</v>
      </c>
      <c r="S14" s="59">
        <f ca="1">AVERAGE(OFFSET($R$3,0,0,'Données projet'!$E$9+1,1))-AVERAGE(OFFSET($H$3,0,0,'Données projet'!$E$9+1,1))</f>
        <v>274.78375889702613</v>
      </c>
      <c r="T14" s="59">
        <f t="shared" si="34"/>
        <v>180.48047802041276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14.6</v>
      </c>
      <c r="AI14" s="13">
        <f>IF('Données projet'!$A$62&gt;35,AI13+AH14-AQ13,IF(A14&lt;'Données projet'!$A$62,$AF$205^A14,IF(A14='Données projet'!$A$62,'Données projet'!$B$62,AI13+AH14-AQ13)))</f>
        <v>26.6</v>
      </c>
      <c r="AJ14" s="13">
        <f>AI14*VLOOKUP('Données projet'!$B$10,Paramètres!$A$1:$I$89,3,0)*VLOOKUP('Données projet'!$B$10,Paramètres!$A$1:$I$89,5,0)</f>
        <v>21.162960000000002</v>
      </c>
      <c r="AK14" s="13">
        <f t="shared" si="35"/>
        <v>6.8364616466980515</v>
      </c>
      <c r="AL14" s="20">
        <f t="shared" si="4"/>
        <v>48.765659367999113</v>
      </c>
      <c r="AM14" s="59">
        <f t="shared" si="5"/>
        <v>342.09899270133241</v>
      </c>
      <c r="AN14" s="59">
        <f ca="1">AVERAGE(OFFSET($AM$3,0,0,'Données projet'!$E$10+1,1))-AVERAGE(OFFSET($H$3,0,0,'Données projet'!$E$10+1,1))</f>
        <v>295.36463140471733</v>
      </c>
      <c r="AO14" s="59">
        <f t="shared" si="36"/>
        <v>295.34177980841878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0.9483802281198046</v>
      </c>
      <c r="AW14" s="21">
        <f>EXP(-LN(2)/2)*AW13+(1-EXP(-LN(2)/2))/(LN(2)/2)*AQ14*AT14*VLOOKUP('Données projet'!$B$10,Paramètres!$A$1:$I$89,3,0)*0.475*44/12</f>
        <v>2.6009388983669162</v>
      </c>
      <c r="AX14" s="21">
        <f t="shared" si="6"/>
        <v>3.5493191264867208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321.15620406350808</v>
      </c>
      <c r="S15" s="59">
        <f ca="1">AVERAGE(OFFSET($R$3,0,0,'Données projet'!$E$9+1,1))-AVERAGE(OFFSET($H$3,0,0,'Données projet'!$E$9+1,1))</f>
        <v>274.78375889702613</v>
      </c>
      <c r="T15" s="59">
        <f t="shared" si="34"/>
        <v>180.48047802041276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14.6</v>
      </c>
      <c r="AI15" s="13">
        <f>IF('Données projet'!$A$62&gt;35,AI14+AH15-AQ14,IF(A15&lt;'Données projet'!$A$62,$AF$205^A15,IF(A15='Données projet'!$A$62,'Données projet'!$B$62,AI14+AH15-AQ14)))</f>
        <v>41.2</v>
      </c>
      <c r="AJ15" s="13">
        <f>AI15*VLOOKUP('Données projet'!$B$10,Paramètres!$A$1:$I$89,3,0)*VLOOKUP('Données projet'!$B$10,Paramètres!$A$1:$I$89,5,0)</f>
        <v>32.77872</v>
      </c>
      <c r="AK15" s="13">
        <f t="shared" si="35"/>
        <v>10.063038810723747</v>
      </c>
      <c r="AL15" s="20">
        <f t="shared" si="4"/>
        <v>74.616063262010528</v>
      </c>
      <c r="AM15" s="59">
        <f t="shared" si="5"/>
        <v>367.94939659534384</v>
      </c>
      <c r="AN15" s="59">
        <f ca="1">AVERAGE(OFFSET($AM$3,0,0,'Données projet'!$E$10+1,1))-AVERAGE(OFFSET($H$3,0,0,'Données projet'!$E$10+1,1))</f>
        <v>295.36463140471733</v>
      </c>
      <c r="AO15" s="59">
        <f t="shared" si="36"/>
        <v>295.34177980841878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0.92244672090871993</v>
      </c>
      <c r="AW15" s="21">
        <f>EXP(-LN(2)/2)*AW14+(1-EXP(-LN(2)/2))/(LN(2)/2)*AQ15*AT15*VLOOKUP('Données projet'!$B$10,Paramètres!$A$1:$I$89,3,0)*0.475*44/12</f>
        <v>1.839141532487115</v>
      </c>
      <c r="AX15" s="21">
        <f t="shared" si="6"/>
        <v>2.7615882533958347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327.59504121177019</v>
      </c>
      <c r="S16" s="59">
        <f ca="1">AVERAGE(OFFSET($R$3,0,0,'Données projet'!$E$9+1,1))-AVERAGE(OFFSET($H$3,0,0,'Données projet'!$E$9+1,1))</f>
        <v>274.78375889702613</v>
      </c>
      <c r="T16" s="59">
        <f t="shared" si="34"/>
        <v>180.48047802041276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14.6</v>
      </c>
      <c r="AI16" s="13">
        <f>IF('Données projet'!$A$62&gt;35,AI15+AH16-AQ15,IF(A16&lt;'Données projet'!$A$62,$AF$205^A16,IF(A16='Données projet'!$A$62,'Données projet'!$B$62,AI15+AH16-AQ15)))</f>
        <v>55.800000000000004</v>
      </c>
      <c r="AJ16" s="13">
        <f>AI16*VLOOKUP('Données projet'!$B$10,Paramètres!$A$1:$I$89,3,0)*VLOOKUP('Données projet'!$B$10,Paramètres!$A$1:$I$89,5,0)</f>
        <v>44.394480000000001</v>
      </c>
      <c r="AK16" s="13">
        <f t="shared" si="35"/>
        <v>13.1562447968447</v>
      </c>
      <c r="AL16" s="20">
        <f t="shared" si="4"/>
        <v>100.2341790211712</v>
      </c>
      <c r="AM16" s="59">
        <f t="shared" si="5"/>
        <v>393.56751235450452</v>
      </c>
      <c r="AN16" s="59">
        <f ca="1">AVERAGE(OFFSET($AM$3,0,0,'Données projet'!$E$10+1,1))-AVERAGE(OFFSET($H$3,0,0,'Données projet'!$E$10+1,1))</f>
        <v>295.36463140471733</v>
      </c>
      <c r="AO16" s="59">
        <f t="shared" si="36"/>
        <v>295.34177980841878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0.89722236681610623</v>
      </c>
      <c r="AW16" s="21">
        <f>EXP(-LN(2)/2)*AW15+(1-EXP(-LN(2)/2))/(LN(2)/2)*AQ16*AT16*VLOOKUP('Données projet'!$B$10,Paramètres!$A$1:$I$89,3,0)*0.475*44/12</f>
        <v>1.3004694491834581</v>
      </c>
      <c r="AX16" s="21">
        <f t="shared" si="6"/>
        <v>2.1976918159995642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335.52892963000164</v>
      </c>
      <c r="S17" s="59">
        <f ca="1">AVERAGE(OFFSET($R$3,0,0,'Données projet'!$E$9+1,1))-AVERAGE(OFFSET($H$3,0,0,'Données projet'!$E$9+1,1))</f>
        <v>274.78375889702613</v>
      </c>
      <c r="T17" s="59">
        <f t="shared" si="34"/>
        <v>180.48047802041276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14.6</v>
      </c>
      <c r="AI17" s="13">
        <f>IF('Données projet'!$A$62&gt;35,AI16+AH17-AQ16,IF(A17&lt;'Données projet'!$A$62,$AF$205^A17,IF(A17='Données projet'!$A$62,'Données projet'!$B$62,AI16+AH17-AQ16)))</f>
        <v>70.400000000000006</v>
      </c>
      <c r="AJ17" s="13">
        <f>AI17*VLOOKUP('Données projet'!$B$10,Paramètres!$A$1:$I$89,3,0)*VLOOKUP('Données projet'!$B$10,Paramètres!$A$1:$I$89,5,0)</f>
        <v>56.01024000000001</v>
      </c>
      <c r="AK17" s="13">
        <f t="shared" si="35"/>
        <v>16.155528478402793</v>
      </c>
      <c r="AL17" s="20">
        <f t="shared" si="4"/>
        <v>125.68871343321821</v>
      </c>
      <c r="AM17" s="59">
        <f t="shared" si="5"/>
        <v>419.02204676655151</v>
      </c>
      <c r="AN17" s="59">
        <f ca="1">AVERAGE(OFFSET($AM$3,0,0,'Données projet'!$E$10+1,1))-AVERAGE(OFFSET($H$3,0,0,'Données projet'!$E$10+1,1))</f>
        <v>295.36463140471733</v>
      </c>
      <c r="AO17" s="59">
        <f t="shared" si="36"/>
        <v>295.34177980841878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0.87268777401264619</v>
      </c>
      <c r="AW17" s="21">
        <f>EXP(-LN(2)/2)*AW16+(1-EXP(-LN(2)/2))/(LN(2)/2)*AQ17*AT17*VLOOKUP('Données projet'!$B$10,Paramètres!$A$1:$I$89,3,0)*0.475*44/12</f>
        <v>0.91957076624355749</v>
      </c>
      <c r="AX17" s="21">
        <f t="shared" si="6"/>
        <v>1.7922585402562037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345.30607962204783</v>
      </c>
      <c r="S18" s="59">
        <f ca="1">AVERAGE(OFFSET($R$3,0,0,'Données projet'!$E$9+1,1))-AVERAGE(OFFSET($H$3,0,0,'Données projet'!$E$9+1,1))</f>
        <v>274.78375889702613</v>
      </c>
      <c r="T18" s="59">
        <f t="shared" si="34"/>
        <v>180.48047802041276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85</v>
      </c>
      <c r="AG18" s="12">
        <f>VLOOKUP(A18,'Données projet'!$A$61:$I$81,9,0)</f>
        <v>14.6</v>
      </c>
      <c r="AH18" s="12">
        <f t="array" ref="AH18">INDEX(AG:AG,MIN(IF(ISNUMBER(AG18:AG214),ROW(AG18:AG214),"")))</f>
        <v>14.6</v>
      </c>
      <c r="AI18" s="13">
        <f>IF('Données projet'!$A$62&gt;35,AI17+AH18-AQ17,IF(A18&lt;'Données projet'!$A$62,$AF$205^A18,IF(A18='Données projet'!$A$62,'Données projet'!$B$62,AI17+AH18-AQ17)))</f>
        <v>85</v>
      </c>
      <c r="AJ18" s="13">
        <f>AI18*VLOOKUP('Données projet'!$B$10,Paramètres!$A$1:$I$89,3,0)*VLOOKUP('Données projet'!$B$10,Paramètres!$A$1:$I$89,5,0)</f>
        <v>67.626000000000005</v>
      </c>
      <c r="AK18" s="13">
        <f t="shared" si="35"/>
        <v>19.082731089464875</v>
      </c>
      <c r="AL18" s="20">
        <f t="shared" si="4"/>
        <v>151.01770664748466</v>
      </c>
      <c r="AM18" s="59">
        <f t="shared" si="5"/>
        <v>444.35103998081797</v>
      </c>
      <c r="AN18" s="59">
        <f ca="1">AVERAGE(OFFSET($AM$3,0,0,'Données projet'!$E$10+1,1))-AVERAGE(OFFSET($H$3,0,0,'Données projet'!$E$10+1,1))</f>
        <v>295.36463140471733</v>
      </c>
      <c r="AO18" s="59">
        <f t="shared" si="36"/>
        <v>295.34177980841878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42</v>
      </c>
      <c r="AR18" s="16">
        <f>IF(ISNA(VLOOKUP(A18,'Données projet'!$A$61:$I$81,5,0)),0%,VLOOKUP(A18,'Données projet'!$A$61:$I$81,5,0)*VLOOKUP('Données projet'!$B$10,Paramètres!$A$1:$I$89,7,0))</f>
        <v>0.10600000000000001</v>
      </c>
      <c r="AS18" s="16">
        <f>IF(ISNA(VLOOKUP(A18,'Données projet'!$A$61:$I$81,6,0)),0%,VLOOKUP(A18,'Données projet'!$A$61:$I$81,6,0)*VLOOKUP('Données projet'!$B$10,Paramètres!$A$1:$I$89,7,0))</f>
        <v>0.10600000000000001</v>
      </c>
      <c r="AT18" s="16">
        <f>IF(ISNA(VLOOKUP(A18,'Données projet'!$A$61:$I$81,7,0)),0%,VLOOKUP(A18,'Données projet'!$A$61:$I$81,7,0))</f>
        <v>0.6</v>
      </c>
      <c r="AU18" s="21">
        <f>EXP(-LN(2)/35)*AU17+(1-EXP(-LN(2)/35))/(LN(2)/35)*AQ18*AR18*VLOOKUP('Données projet'!$B$10,Paramètres!$A$1:$I$89,3,0)*0.475*44/12</f>
        <v>3.9155884655739612</v>
      </c>
      <c r="AV18" s="21">
        <f>EXP(-LN(2)/25)*AV17+(1-EXP(-LN(2)/25))/(LN(2)/25)*Calculateur!AQ18*Calculateur!AS18*VLOOKUP('Données projet'!$B$10,Paramètres!$A$1:$I$89,3,0)*0.475*44/12</f>
        <v>4.7489953827684372</v>
      </c>
      <c r="AW18" s="21">
        <f>EXP(-LN(2)/2)*AW17+(1-EXP(-LN(2)/2))/(LN(2)/2)*AQ18*AT18*VLOOKUP('Données projet'!$B$10,Paramètres!$A$1:$I$89,3,0)*0.475*44/12</f>
        <v>19.567119058744911</v>
      </c>
      <c r="AX18" s="21">
        <f t="shared" si="6"/>
        <v>28.23170290708731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357.3560328458579</v>
      </c>
      <c r="S19" s="59">
        <f ca="1">AVERAGE(OFFSET($R$3,0,0,'Données projet'!$E$9+1,1))-AVERAGE(OFFSET($H$3,0,0,'Données projet'!$E$9+1,1))</f>
        <v>274.78375889702613</v>
      </c>
      <c r="T19" s="59">
        <f t="shared" si="34"/>
        <v>180.48047802041276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</v>
      </c>
      <c r="AI19" s="13">
        <f>IF('Données projet'!$A$62&gt;35,AI18+AH19-AQ18,IF(A19&lt;'Données projet'!$A$62,$AF$205^A19,IF(A19='Données projet'!$A$62,'Données projet'!$B$62,AI18+AH19-AQ18)))</f>
        <v>59</v>
      </c>
      <c r="AJ19" s="13">
        <f>AI19*VLOOKUP('Données projet'!$B$10,Paramètres!$A$1:$I$89,3,0)*VLOOKUP('Données projet'!$B$10,Paramètres!$A$1:$I$89,5,0)</f>
        <v>46.940400000000004</v>
      </c>
      <c r="AK19" s="13">
        <f t="shared" si="35"/>
        <v>13.82072434588865</v>
      </c>
      <c r="AL19" s="20">
        <f t="shared" si="4"/>
        <v>105.82562490242275</v>
      </c>
      <c r="AM19" s="59">
        <f t="shared" si="5"/>
        <v>399.15895823575607</v>
      </c>
      <c r="AN19" s="59">
        <f ca="1">AVERAGE(OFFSET($AM$3,0,0,'Données projet'!$E$10+1,1))-AVERAGE(OFFSET($H$3,0,0,'Données projet'!$E$10+1,1))</f>
        <v>295.36463140471733</v>
      </c>
      <c r="AO19" s="59">
        <f t="shared" si="36"/>
        <v>295.34177980841878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3.8388061640371975</v>
      </c>
      <c r="AV19" s="21">
        <f>EXP(-LN(2)/25)*AV18+(1-EXP(-LN(2)/25))/(LN(2)/25)*Calculateur!AQ19*Calculateur!AS19*VLOOKUP('Données projet'!$B$10,Paramètres!$A$1:$I$89,3,0)*0.475*44/12</f>
        <v>4.6191338542878215</v>
      </c>
      <c r="AW19" s="21">
        <f>EXP(-LN(2)/2)*AW18+(1-EXP(-LN(2)/2))/(LN(2)/2)*AQ19*AT19*VLOOKUP('Données projet'!$B$10,Paramètres!$A$1:$I$89,3,0)*0.475*44/12</f>
        <v>13.836042574723063</v>
      </c>
      <c r="AX19" s="21">
        <f t="shared" si="6"/>
        <v>22.293982593048081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372.20870820074703</v>
      </c>
      <c r="S20" s="59">
        <f ca="1">AVERAGE(OFFSET($R$3,0,0,'Données projet'!$E$9+1,1))-AVERAGE(OFFSET($H$3,0,0,'Données projet'!$E$9+1,1))</f>
        <v>274.78375889702613</v>
      </c>
      <c r="T20" s="59">
        <f t="shared" si="34"/>
        <v>180.48047802041276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</v>
      </c>
      <c r="AI20" s="13">
        <f>IF('Données projet'!$A$62&gt;35,AI19+AH20-AQ19,IF(A20&lt;'Données projet'!$A$62,$AF$205^A20,IF(A20='Données projet'!$A$62,'Données projet'!$B$62,AI19+AH20-AQ19)))</f>
        <v>75</v>
      </c>
      <c r="AJ20" s="13">
        <f>AI20*VLOOKUP('Données projet'!$B$10,Paramètres!$A$1:$I$89,3,0)*VLOOKUP('Données projet'!$B$10,Paramètres!$A$1:$I$89,5,0)</f>
        <v>59.67</v>
      </c>
      <c r="AK20" s="13">
        <f t="shared" si="35"/>
        <v>17.084807896591332</v>
      </c>
      <c r="AL20" s="20">
        <f t="shared" si="4"/>
        <v>133.68129041989656</v>
      </c>
      <c r="AM20" s="59">
        <f t="shared" si="5"/>
        <v>427.0146237532299</v>
      </c>
      <c r="AN20" s="59">
        <f ca="1">AVERAGE(OFFSET($AM$3,0,0,'Données projet'!$E$10+1,1))-AVERAGE(OFFSET($H$3,0,0,'Données projet'!$E$10+1,1))</f>
        <v>295.36463140471733</v>
      </c>
      <c r="AO20" s="59">
        <f t="shared" si="36"/>
        <v>295.34177980841878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3.7635295166009901</v>
      </c>
      <c r="AV20" s="21">
        <f>EXP(-LN(2)/25)*AV19+(1-EXP(-LN(2)/25))/(LN(2)/25)*Calculateur!AQ20*Calculateur!AS20*VLOOKUP('Données projet'!$B$10,Paramètres!$A$1:$I$89,3,0)*0.475*44/12</f>
        <v>4.4928233961326285</v>
      </c>
      <c r="AW20" s="21">
        <f>EXP(-LN(2)/2)*AW19+(1-EXP(-LN(2)/2))/(LN(2)/2)*AQ20*AT20*VLOOKUP('Données projet'!$B$10,Paramètres!$A$1:$I$89,3,0)*0.475*44/12</f>
        <v>9.7835595293724573</v>
      </c>
      <c r="AX20" s="21">
        <f t="shared" si="6"/>
        <v>18.039912442106075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390.51791836449235</v>
      </c>
      <c r="S21" s="59">
        <f ca="1">AVERAGE(OFFSET($R$3,0,0,'Données projet'!$E$9+1,1))-AVERAGE(OFFSET($H$3,0,0,'Données projet'!$E$9+1,1))</f>
        <v>274.78375889702613</v>
      </c>
      <c r="T21" s="59">
        <f t="shared" si="34"/>
        <v>180.48047802041276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</v>
      </c>
      <c r="AI21" s="13">
        <f>IF('Données projet'!$A$62&gt;35,AI20+AH21-AQ20,IF(A21&lt;'Données projet'!$A$62,$AF$205^A21,IF(A21='Données projet'!$A$62,'Données projet'!$B$62,AI20+AH21-AQ20)))</f>
        <v>91</v>
      </c>
      <c r="AJ21" s="13">
        <f>AI21*VLOOKUP('Données projet'!$B$10,Paramètres!$A$1:$I$89,3,0)*VLOOKUP('Données projet'!$B$10,Paramètres!$A$1:$I$89,5,0)</f>
        <v>72.399600000000007</v>
      </c>
      <c r="AK21" s="13">
        <f t="shared" si="35"/>
        <v>20.268188832715463</v>
      </c>
      <c r="AL21" s="20">
        <f t="shared" si="4"/>
        <v>161.39639888364613</v>
      </c>
      <c r="AM21" s="59">
        <f t="shared" si="5"/>
        <v>454.72973221697941</v>
      </c>
      <c r="AN21" s="59">
        <f ca="1">AVERAGE(OFFSET($AM$3,0,0,'Données projet'!$E$10+1,1))-AVERAGE(OFFSET($H$3,0,0,'Données projet'!$E$10+1,1))</f>
        <v>295.36463140471733</v>
      </c>
      <c r="AO21" s="59">
        <f t="shared" si="36"/>
        <v>295.34177980841878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3.6897289983067854</v>
      </c>
      <c r="AV21" s="21">
        <f>EXP(-LN(2)/25)*AV20+(1-EXP(-LN(2)/25))/(LN(2)/25)*Calculateur!AQ21*Calculateur!AS21*VLOOKUP('Données projet'!$B$10,Paramètres!$A$1:$I$89,3,0)*0.475*44/12</f>
        <v>4.3699669040980682</v>
      </c>
      <c r="AW21" s="21">
        <f>EXP(-LN(2)/2)*AW20+(1-EXP(-LN(2)/2))/(LN(2)/2)*AQ21*AT21*VLOOKUP('Données projet'!$B$10,Paramètres!$A$1:$I$89,3,0)*0.475*44/12</f>
        <v>6.9180212873615323</v>
      </c>
      <c r="AX21" s="21">
        <f t="shared" si="6"/>
        <v>14.977717189766388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413.0904086280766</v>
      </c>
      <c r="S22" s="59">
        <f ca="1">AVERAGE(OFFSET($R$3,0,0,'Données projet'!$E$9+1,1))-AVERAGE(OFFSET($H$3,0,0,'Données projet'!$E$9+1,1))</f>
        <v>274.78375889702613</v>
      </c>
      <c r="T22" s="59">
        <f t="shared" si="34"/>
        <v>180.48047802041276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</v>
      </c>
      <c r="AI22" s="13">
        <f>IF('Données projet'!$A$62&gt;35,AI21+AH22-AQ21,IF(A22&lt;'Données projet'!$A$62,$AF$205^A22,IF(A22='Données projet'!$A$62,'Données projet'!$B$62,AI21+AH22-AQ21)))</f>
        <v>107</v>
      </c>
      <c r="AJ22" s="13">
        <f>AI22*VLOOKUP('Données projet'!$B$10,Paramètres!$A$1:$I$89,3,0)*VLOOKUP('Données projet'!$B$10,Paramètres!$A$1:$I$89,5,0)</f>
        <v>85.129199999999997</v>
      </c>
      <c r="AK22" s="13">
        <f t="shared" si="35"/>
        <v>23.386728480923388</v>
      </c>
      <c r="AL22" s="20">
        <f t="shared" si="4"/>
        <v>188.99857543760822</v>
      </c>
      <c r="AM22" s="59">
        <f t="shared" si="5"/>
        <v>482.33190877094154</v>
      </c>
      <c r="AN22" s="59">
        <f ca="1">AVERAGE(OFFSET($AM$3,0,0,'Données projet'!$E$10+1,1))-AVERAGE(OFFSET($H$3,0,0,'Données projet'!$E$10+1,1))</f>
        <v>295.36463140471733</v>
      </c>
      <c r="AO22" s="59">
        <f t="shared" si="36"/>
        <v>295.34177980841878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3.6173756631624587</v>
      </c>
      <c r="AV22" s="21">
        <f>EXP(-LN(2)/25)*AV21+(1-EXP(-LN(2)/25))/(LN(2)/25)*Calculateur!AQ22*Calculateur!AS22*VLOOKUP('Données projet'!$B$10,Paramètres!$A$1:$I$89,3,0)*0.475*44/12</f>
        <v>4.2504699292989345</v>
      </c>
      <c r="AW22" s="21">
        <f>EXP(-LN(2)/2)*AW21+(1-EXP(-LN(2)/2))/(LN(2)/2)*AQ22*AT22*VLOOKUP('Données projet'!$B$10,Paramètres!$A$1:$I$89,3,0)*0.475*44/12</f>
        <v>4.8917797646862295</v>
      </c>
      <c r="AX22" s="21">
        <f t="shared" si="6"/>
        <v>12.759625357147623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440.92171753768048</v>
      </c>
      <c r="S23" s="59">
        <f ca="1">AVERAGE(OFFSET($R$3,0,0,'Données projet'!$E$9+1,1))-AVERAGE(OFFSET($H$3,0,0,'Données projet'!$E$9+1,1))</f>
        <v>274.78375889702613</v>
      </c>
      <c r="T23" s="59">
        <f t="shared" si="34"/>
        <v>180.48047802041276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8.6000000000000007E-2</v>
      </c>
      <c r="X23" s="16">
        <f>IF(ISNA(VLOOKUP(A23,'Données projet'!$A$35:$I$55,6,0)),0%,VLOOKUP(A23,'Données projet'!$A$35:$I$55,6,0)*VLOOKUP('Données projet'!$B$9,Paramètres!$A$1:$I$89,7,0))</f>
        <v>8.6000000000000007E-2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0.51611847329112925</v>
      </c>
      <c r="AA23" s="21">
        <f>EXP(-LN(2)/25)*AA22+(1-EXP(-LN(2)/25))/(LN(2)/25)*Calculateur!V23*Calculateur!X23*VLOOKUP('Données projet'!$B$9,Paramètres!$A$1:$I$89,3,0)*0.475*44/12</f>
        <v>0.51408631820522621</v>
      </c>
      <c r="AB23" s="21">
        <f>EXP(-LN(2)/2)*AB22+(1-EXP(-LN(2)/2))/(LN(2)/2)*V23*Y23*VLOOKUP('Données projet'!$B$9,Paramètres!$A$1:$I$89,3,0)*0.475*44/12</f>
        <v>3.0733313484058384</v>
      </c>
      <c r="AC23" s="22">
        <f t="shared" si="3"/>
        <v>4.1035361399021939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123</v>
      </c>
      <c r="AG23" s="12">
        <f>VLOOKUP(A23,'Données projet'!$A$61:$I$81,9,0)</f>
        <v>16</v>
      </c>
      <c r="AH23" s="12">
        <f t="array" ref="AH23">INDEX(AG:AG,MIN(IF(ISNUMBER(AG23:AG219),ROW(AG23:AG219),"")))</f>
        <v>16</v>
      </c>
      <c r="AI23" s="13">
        <f>IF('Données projet'!$A$62&gt;35,AI22+AH23-AQ22,IF(A23&lt;'Données projet'!$A$62,$AF$205^A23,IF(A23='Données projet'!$A$62,'Données projet'!$B$62,AI22+AH23-AQ22)))</f>
        <v>123</v>
      </c>
      <c r="AJ23" s="13">
        <f>AI23*VLOOKUP('Données projet'!$B$10,Paramètres!$A$1:$I$89,3,0)*VLOOKUP('Données projet'!$B$10,Paramètres!$A$1:$I$89,5,0)</f>
        <v>97.858800000000016</v>
      </c>
      <c r="AK23" s="13">
        <f t="shared" si="35"/>
        <v>26.45124536158788</v>
      </c>
      <c r="AL23" s="20">
        <f t="shared" si="4"/>
        <v>216.50666233809889</v>
      </c>
      <c r="AM23" s="59">
        <f t="shared" si="5"/>
        <v>509.83999567143223</v>
      </c>
      <c r="AN23" s="59">
        <f ca="1">AVERAGE(OFFSET($AM$3,0,0,'Données projet'!$E$10+1,1))-AVERAGE(OFFSET($H$3,0,0,'Données projet'!$E$10+1,1))</f>
        <v>295.36463140471733</v>
      </c>
      <c r="AO23" s="59">
        <f t="shared" si="36"/>
        <v>295.34177980841878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0.10600000000000001</v>
      </c>
      <c r="AS23" s="16">
        <f>IF(ISNA(VLOOKUP(A23,'Données projet'!$A$61:$I$81,6,0)),0%,VLOOKUP(A23,'Données projet'!$A$61:$I$81,6,0)*VLOOKUP('Données projet'!$B$10,Paramètres!$A$1:$I$89,7,0))</f>
        <v>0.10600000000000001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7.4620295983630971</v>
      </c>
      <c r="AV23" s="21">
        <f>EXP(-LN(2)/25)*AV22+(1-EXP(-LN(2)/25))/(LN(2)/25)*Calculateur!AQ23*Calculateur!AS23*VLOOKUP('Données projet'!$B$10,Paramètres!$A$1:$I$89,3,0)*0.475*44/12</f>
        <v>8.0344119073885789</v>
      </c>
      <c r="AW23" s="21">
        <f>EXP(-LN(2)/2)*AW22+(1-EXP(-LN(2)/2))/(LN(2)/2)*AQ23*AT23*VLOOKUP('Données projet'!$B$10,Paramètres!$A$1:$I$89,3,0)*0.475*44/12</f>
        <v>22.375894977833948</v>
      </c>
      <c r="AX23" s="21">
        <f t="shared" si="6"/>
        <v>37.872336483585627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443.2850952483584</v>
      </c>
      <c r="S24" s="59">
        <f ca="1">AVERAGE(OFFSET($R$3,0,0,'Données projet'!$E$9+1,1))-AVERAGE(OFFSET($H$3,0,0,'Données projet'!$E$9+1,1))</f>
        <v>274.78375889702613</v>
      </c>
      <c r="T24" s="59">
        <f t="shared" si="34"/>
        <v>180.48047802041276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0.50599770483107487</v>
      </c>
      <c r="AA24" s="21">
        <f>EXP(-LN(2)/25)*AA23+(1-EXP(-LN(2)/25))/(LN(2)/25)*Calculateur!V24*Calculateur!X24*VLOOKUP('Données projet'!$B$9,Paramètres!$A$1:$I$89,3,0)*0.475*44/12</f>
        <v>0.5000286007992798</v>
      </c>
      <c r="AB24" s="21">
        <f>EXP(-LN(2)/2)*AB23+(1-EXP(-LN(2)/2))/(LN(2)/2)*V24*Y24*VLOOKUP('Données projet'!$B$9,Paramètres!$A$1:$I$89,3,0)*0.475*44/12</f>
        <v>2.1731734372909646</v>
      </c>
      <c r="AC24" s="22">
        <f t="shared" si="3"/>
        <v>3.1791997429213192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97.800000000000011</v>
      </c>
      <c r="AJ24" s="13">
        <f>AI24*VLOOKUP('Données projet'!$B$10,Paramètres!$A$1:$I$89,3,0)*VLOOKUP('Données projet'!$B$10,Paramètres!$A$1:$I$89,5,0)</f>
        <v>77.809680000000014</v>
      </c>
      <c r="AK24" s="13">
        <f t="shared" si="35"/>
        <v>21.600777311280577</v>
      </c>
      <c r="AL24" s="20">
        <f t="shared" si="4"/>
        <v>173.13987981714703</v>
      </c>
      <c r="AM24" s="59">
        <f t="shared" si="5"/>
        <v>466.47321315048032</v>
      </c>
      <c r="AN24" s="59">
        <f ca="1">AVERAGE(OFFSET($AM$3,0,0,'Données projet'!$E$10+1,1))-AVERAGE(OFFSET($H$3,0,0,'Données projet'!$E$10+1,1))</f>
        <v>295.36463140471733</v>
      </c>
      <c r="AO24" s="59">
        <f t="shared" si="36"/>
        <v>295.34177980841878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7.3157037493278398</v>
      </c>
      <c r="AV24" s="21">
        <f>EXP(-LN(2)/25)*AV23+(1-EXP(-LN(2)/25))/(LN(2)/25)*Calculateur!AQ24*Calculateur!AS24*VLOOKUP('Données projet'!$B$10,Paramètres!$A$1:$I$89,3,0)*0.475*44/12</f>
        <v>7.814710491269679</v>
      </c>
      <c r="AW24" s="21">
        <f>EXP(-LN(2)/2)*AW23+(1-EXP(-LN(2)/2))/(LN(2)/2)*AQ24*AT24*VLOOKUP('Données projet'!$B$10,Paramètres!$A$1:$I$89,3,0)*0.475*44/12</f>
        <v>15.822147073944398</v>
      </c>
      <c r="AX24" s="21">
        <f t="shared" si="6"/>
        <v>30.952561314541917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457.4472396337602</v>
      </c>
      <c r="S25" s="59">
        <f ca="1">AVERAGE(OFFSET($R$3,0,0,'Données projet'!$E$9+1,1))-AVERAGE(OFFSET($H$3,0,0,'Données projet'!$E$9+1,1))</f>
        <v>274.78375889702613</v>
      </c>
      <c r="T25" s="59">
        <f t="shared" si="34"/>
        <v>180.48047802041276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0.49607539846746296</v>
      </c>
      <c r="AA25" s="21">
        <f>EXP(-LN(2)/25)*AA24+(1-EXP(-LN(2)/25))/(LN(2)/25)*Calculateur!V25*Calculateur!X25*VLOOKUP('Données projet'!$B$9,Paramètres!$A$1:$I$89,3,0)*0.475*44/12</f>
        <v>0.4863552924150622</v>
      </c>
      <c r="AB25" s="21">
        <f>EXP(-LN(2)/2)*AB24+(1-EXP(-LN(2)/2))/(LN(2)/2)*V25*Y25*VLOOKUP('Données projet'!$B$9,Paramètres!$A$1:$I$89,3,0)*0.475*44/12</f>
        <v>1.5366656742029194</v>
      </c>
      <c r="AC25" s="22">
        <f t="shared" si="3"/>
        <v>2.5190963650854448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114.60000000000001</v>
      </c>
      <c r="AJ25" s="13">
        <f>AI25*VLOOKUP('Données projet'!$B$10,Paramètres!$A$1:$I$89,3,0)*VLOOKUP('Données projet'!$B$10,Paramètres!$A$1:$I$89,5,0)</f>
        <v>91.175760000000011</v>
      </c>
      <c r="AK25" s="13">
        <f t="shared" si="35"/>
        <v>24.848575433138123</v>
      </c>
      <c r="AL25" s="20">
        <f t="shared" si="4"/>
        <v>202.07571754604893</v>
      </c>
      <c r="AM25" s="59">
        <f t="shared" si="5"/>
        <v>495.40905087938222</v>
      </c>
      <c r="AN25" s="59">
        <f ca="1">AVERAGE(OFFSET($AM$3,0,0,'Données projet'!$E$10+1,1))-AVERAGE(OFFSET($H$3,0,0,'Données projet'!$E$10+1,1))</f>
        <v>295.36463140471733</v>
      </c>
      <c r="AO25" s="59">
        <f t="shared" si="36"/>
        <v>295.34177980841878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7.1722472609422088</v>
      </c>
      <c r="AV25" s="21">
        <f>EXP(-LN(2)/25)*AV24+(1-EXP(-LN(2)/25))/(LN(2)/25)*Calculateur!AQ25*Calculateur!AS25*VLOOKUP('Données projet'!$B$10,Paramètres!$A$1:$I$89,3,0)*0.475*44/12</f>
        <v>7.6010168219281455</v>
      </c>
      <c r="AW25" s="21">
        <f>EXP(-LN(2)/2)*AW24+(1-EXP(-LN(2)/2))/(LN(2)/2)*AQ25*AT25*VLOOKUP('Données projet'!$B$10,Paramètres!$A$1:$I$89,3,0)*0.475*44/12</f>
        <v>11.187947488916976</v>
      </c>
      <c r="AX25" s="21">
        <f t="shared" si="6"/>
        <v>25.961211571787331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471.5805004860498</v>
      </c>
      <c r="S26" s="59">
        <f ca="1">AVERAGE(OFFSET($R$3,0,0,'Données projet'!$E$9+1,1))-AVERAGE(OFFSET($H$3,0,0,'Données projet'!$E$9+1,1))</f>
        <v>274.78375889702613</v>
      </c>
      <c r="T26" s="59">
        <f t="shared" si="34"/>
        <v>180.48047802041276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0.48634766247963218</v>
      </c>
      <c r="AA26" s="21">
        <f>EXP(-LN(2)/25)*AA25+(1-EXP(-LN(2)/25))/(LN(2)/25)*Calculateur!V26*Calculateur!X26*VLOOKUP('Données projet'!$B$9,Paramètres!$A$1:$I$89,3,0)*0.475*44/12</f>
        <v>0.47305588136765908</v>
      </c>
      <c r="AB26" s="21">
        <f>EXP(-LN(2)/2)*AB25+(1-EXP(-LN(2)/2))/(LN(2)/2)*V26*Y26*VLOOKUP('Données projet'!$B$9,Paramètres!$A$1:$I$89,3,0)*0.475*44/12</f>
        <v>1.0865867186454823</v>
      </c>
      <c r="AC26" s="22">
        <f t="shared" si="3"/>
        <v>2.0459902624927735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131.4</v>
      </c>
      <c r="AJ26" s="13">
        <f>AI26*VLOOKUP('Données projet'!$B$10,Paramètres!$A$1:$I$89,3,0)*VLOOKUP('Données projet'!$B$10,Paramètres!$A$1:$I$89,5,0)</f>
        <v>104.54184000000002</v>
      </c>
      <c r="AK26" s="13">
        <f t="shared" si="35"/>
        <v>28.041215323191079</v>
      </c>
      <c r="AL26" s="20">
        <f t="shared" si="4"/>
        <v>230.91548802122449</v>
      </c>
      <c r="AM26" s="59">
        <f t="shared" si="5"/>
        <v>524.24882135455778</v>
      </c>
      <c r="AN26" s="59">
        <f ca="1">AVERAGE(OFFSET($AM$3,0,0,'Données projet'!$E$10+1,1))-AVERAGE(OFFSET($H$3,0,0,'Données projet'!$E$10+1,1))</f>
        <v>295.36463140471733</v>
      </c>
      <c r="AO26" s="59">
        <f t="shared" si="36"/>
        <v>295.34177980841878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7.0316038667940015</v>
      </c>
      <c r="AV26" s="21">
        <f>EXP(-LN(2)/25)*AV25+(1-EXP(-LN(2)/25))/(LN(2)/25)*Calculateur!AQ26*Calculateur!AS26*VLOOKUP('Données projet'!$B$10,Paramètres!$A$1:$I$89,3,0)*0.475*44/12</f>
        <v>7.393166617212418</v>
      </c>
      <c r="AW26" s="21">
        <f>EXP(-LN(2)/2)*AW25+(1-EXP(-LN(2)/2))/(LN(2)/2)*AQ26*AT26*VLOOKUP('Données projet'!$B$10,Paramètres!$A$1:$I$89,3,0)*0.475*44/12</f>
        <v>7.9110735369722001</v>
      </c>
      <c r="AX26" s="21">
        <f t="shared" si="6"/>
        <v>22.33584402097862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485.6874918520171</v>
      </c>
      <c r="S27" s="59">
        <f ca="1">AVERAGE(OFFSET($R$3,0,0,'Données projet'!$E$9+1,1))-AVERAGE(OFFSET($H$3,0,0,'Données projet'!$E$9+1,1))</f>
        <v>274.78375889702613</v>
      </c>
      <c r="T27" s="59">
        <f t="shared" si="34"/>
        <v>180.48047802041276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0.47681068146118966</v>
      </c>
      <c r="AA27" s="21">
        <f>EXP(-LN(2)/25)*AA26+(1-EXP(-LN(2)/25))/(LN(2)/25)*Calculateur!V27*Calculateur!X27*VLOOKUP('Données projet'!$B$9,Paramètres!$A$1:$I$89,3,0)*0.475*44/12</f>
        <v>0.46012014341473284</v>
      </c>
      <c r="AB27" s="21">
        <f>EXP(-LN(2)/2)*AB26+(1-EXP(-LN(2)/2))/(LN(2)/2)*V27*Y27*VLOOKUP('Données projet'!$B$9,Paramètres!$A$1:$I$89,3,0)*0.475*44/12</f>
        <v>0.76833283710145972</v>
      </c>
      <c r="AC27" s="22">
        <f t="shared" si="3"/>
        <v>1.7052636619773822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148.20000000000002</v>
      </c>
      <c r="AJ27" s="13">
        <f>AI27*VLOOKUP('Données projet'!$B$10,Paramètres!$A$1:$I$89,3,0)*VLOOKUP('Données projet'!$B$10,Paramètres!$A$1:$I$89,5,0)</f>
        <v>117.90792000000002</v>
      </c>
      <c r="AK27" s="13">
        <f t="shared" si="35"/>
        <v>31.186557651984323</v>
      </c>
      <c r="AL27" s="20">
        <f t="shared" si="4"/>
        <v>259.67288191053939</v>
      </c>
      <c r="AM27" s="59">
        <f t="shared" si="5"/>
        <v>553.0062152438727</v>
      </c>
      <c r="AN27" s="59">
        <f ca="1">AVERAGE(OFFSET($AM$3,0,0,'Données projet'!$E$10+1,1))-AVERAGE(OFFSET($H$3,0,0,'Données projet'!$E$10+1,1))</f>
        <v>295.36463140471733</v>
      </c>
      <c r="AO27" s="59">
        <f t="shared" si="36"/>
        <v>295.34177980841878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6.8937184038210404</v>
      </c>
      <c r="AV27" s="21">
        <f>EXP(-LN(2)/25)*AV26+(1-EXP(-LN(2)/25))/(LN(2)/25)*Calculateur!AQ27*Calculateur!AS27*VLOOKUP('Données projet'!$B$10,Paramètres!$A$1:$I$89,3,0)*0.475*44/12</f>
        <v>7.1910000872750093</v>
      </c>
      <c r="AW27" s="21">
        <f>EXP(-LN(2)/2)*AW26+(1-EXP(-LN(2)/2))/(LN(2)/2)*AQ27*AT27*VLOOKUP('Données projet'!$B$10,Paramètres!$A$1:$I$89,3,0)*0.475*44/12</f>
        <v>5.5939737444584887</v>
      </c>
      <c r="AX27" s="21">
        <f t="shared" si="6"/>
        <v>19.678692235554539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499.7704125517941</v>
      </c>
      <c r="S28" s="59">
        <f ca="1">AVERAGE(OFFSET($R$3,0,0,'Données projet'!$E$9+1,1))-AVERAGE(OFFSET($H$3,0,0,'Données projet'!$E$9+1,1))</f>
        <v>274.78375889702613</v>
      </c>
      <c r="T28" s="59">
        <f t="shared" si="34"/>
        <v>180.48047802041276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0.129</v>
      </c>
      <c r="X28" s="16">
        <f>IF(ISNA(VLOOKUP(A28,'Données projet'!$A$35:$I$55,6,0)),0%,VLOOKUP(A28,'Données projet'!$A$35:$I$55,6,0)*VLOOKUP('Données projet'!$B$9,Paramètres!$A$1:$I$89,7,0))</f>
        <v>0.17200000000000001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4.0802900278614391</v>
      </c>
      <c r="AA28" s="21">
        <f>EXP(-LN(2)/25)*AA27+(1-EXP(-LN(2)/25))/(LN(2)/25)*Calculateur!V28*Calculateur!X28*VLOOKUP('Données projet'!$B$9,Paramètres!$A$1:$I$89,3,0)*0.475*44/12</f>
        <v>5.2456771038118353</v>
      </c>
      <c r="AB28" s="21">
        <f>EXP(-LN(2)/2)*AB27+(1-EXP(-LN(2)/2))/(LN(2)/2)*V28*Y28*VLOOKUP('Données projet'!$B$9,Paramètres!$A$1:$I$89,3,0)*0.475*44/12</f>
        <v>7.7143998389363642</v>
      </c>
      <c r="AC28" s="22">
        <f t="shared" si="3"/>
        <v>17.040366970609639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165</v>
      </c>
      <c r="AG28" s="12">
        <f>VLOOKUP(A28,'Données projet'!$A$61:$I$81,9,0)</f>
        <v>16.8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165.00000000000003</v>
      </c>
      <c r="AJ28" s="13">
        <f>AI28*VLOOKUP('Données projet'!$B$10,Paramètres!$A$1:$I$89,3,0)*VLOOKUP('Données projet'!$B$10,Paramètres!$A$1:$I$89,5,0)</f>
        <v>131.27400000000003</v>
      </c>
      <c r="AK28" s="13">
        <f t="shared" si="35"/>
        <v>34.290576031111669</v>
      </c>
      <c r="AL28" s="20">
        <f t="shared" si="4"/>
        <v>288.35830325418618</v>
      </c>
      <c r="AM28" s="59">
        <f t="shared" si="5"/>
        <v>581.6916365875195</v>
      </c>
      <c r="AN28" s="59">
        <f ca="1">AVERAGE(OFFSET($AM$3,0,0,'Données projet'!$E$10+1,1))-AVERAGE(OFFSET($H$3,0,0,'Données projet'!$E$10+1,1))</f>
        <v>295.36463140471733</v>
      </c>
      <c r="AO28" s="59">
        <f t="shared" si="36"/>
        <v>295.34177980841878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42</v>
      </c>
      <c r="AR28" s="16">
        <f>IF(ISNA(VLOOKUP(A28,'Données projet'!$A$61:$I$81,5,0)),0%,VLOOKUP(A28,'Données projet'!$A$61:$I$81,5,0)*VLOOKUP('Données projet'!$B$10,Paramètres!$A$1:$I$89,7,0))</f>
        <v>0.159</v>
      </c>
      <c r="AS28" s="16">
        <f>IF(ISNA(VLOOKUP(A28,'Données projet'!$A$61:$I$81,6,0)),0%,VLOOKUP(A28,'Données projet'!$A$61:$I$81,6,0)*VLOOKUP('Données projet'!$B$10,Paramètres!$A$1:$I$89,7,0))</f>
        <v>0.21200000000000002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12.631919489036093</v>
      </c>
      <c r="AV28" s="21">
        <f>EXP(-LN(2)/25)*AV27+(1-EXP(-LN(2)/25))/(LN(2)/25)*Calculateur!AQ28*Calculateur!AS28*VLOOKUP('Données projet'!$B$10,Paramètres!$A$1:$I$89,3,0)*0.475*44/12</f>
        <v>14.794704415387859</v>
      </c>
      <c r="AW28" s="21">
        <f>EXP(-LN(2)/2)*AW27+(1-EXP(-LN(2)/2))/(LN(2)/2)*AQ28*AT28*VLOOKUP('Données projet'!$B$10,Paramètres!$A$1:$I$89,3,0)*0.475*44/12</f>
        <v>13.413978935562692</v>
      </c>
      <c r="AX28" s="21">
        <f t="shared" si="6"/>
        <v>40.840602839986644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462.94678562222634</v>
      </c>
      <c r="S29" s="59">
        <f ca="1">AVERAGE(OFFSET($R$3,0,0,'Données projet'!$E$9+1,1))-AVERAGE(OFFSET($H$3,0,0,'Données projet'!$E$9+1,1))</f>
        <v>274.78375889702613</v>
      </c>
      <c r="T29" s="59">
        <f t="shared" si="34"/>
        <v>180.48047802041276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4.0002780291462514</v>
      </c>
      <c r="AA29" s="21">
        <f>EXP(-LN(2)/25)*AA28+(1-EXP(-LN(2)/25))/(LN(2)/25)*Calculateur!V29*Calculateur!X29*VLOOKUP('Données projet'!$B$9,Paramètres!$A$1:$I$89,3,0)*0.475*44/12</f>
        <v>5.1022337875499311</v>
      </c>
      <c r="AB29" s="21">
        <f>EXP(-LN(2)/2)*AB28+(1-EXP(-LN(2)/2))/(LN(2)/2)*V29*Y29*VLOOKUP('Données projet'!$B$9,Paramètres!$A$1:$I$89,3,0)*0.475*44/12</f>
        <v>5.4549044388963139</v>
      </c>
      <c r="AC29" s="22">
        <f t="shared" si="3"/>
        <v>14.557416255592496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139.40000000000003</v>
      </c>
      <c r="AJ29" s="13">
        <f>AI29*VLOOKUP('Données projet'!$B$10,Paramètres!$A$1:$I$89,3,0)*VLOOKUP('Données projet'!$B$10,Paramètres!$A$1:$I$89,5,0)</f>
        <v>110.90664000000004</v>
      </c>
      <c r="AK29" s="13">
        <f t="shared" si="35"/>
        <v>29.544493872672952</v>
      </c>
      <c r="AL29" s="20">
        <f t="shared" si="4"/>
        <v>244.6190581615721</v>
      </c>
      <c r="AM29" s="59">
        <f t="shared" si="5"/>
        <v>537.95239149490544</v>
      </c>
      <c r="AN29" s="59">
        <f ca="1">AVERAGE(OFFSET($AM$3,0,0,'Données projet'!$E$10+1,1))-AVERAGE(OFFSET($H$3,0,0,'Données projet'!$E$10+1,1))</f>
        <v>295.36463140471733</v>
      </c>
      <c r="AO29" s="59">
        <f t="shared" si="36"/>
        <v>295.34177980841878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12.384215252566207</v>
      </c>
      <c r="AV29" s="21">
        <f>EXP(-LN(2)/25)*AV28+(1-EXP(-LN(2)/25))/(LN(2)/25)*Calculateur!AQ29*Calculateur!AS29*VLOOKUP('Données projet'!$B$10,Paramètres!$A$1:$I$89,3,0)*0.475*44/12</f>
        <v>14.390142445129387</v>
      </c>
      <c r="AW29" s="21">
        <f>EXP(-LN(2)/2)*AW28+(1-EXP(-LN(2)/2))/(LN(2)/2)*AQ29*AT29*VLOOKUP('Données projet'!$B$10,Paramètres!$A$1:$I$89,3,0)*0.475*44/12</f>
        <v>9.4851154680298873</v>
      </c>
      <c r="AX29" s="21">
        <f t="shared" si="6"/>
        <v>36.259473165725481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480.9879370704989</v>
      </c>
      <c r="S30" s="59">
        <f ca="1">AVERAGE(OFFSET($R$3,0,0,'Données projet'!$E$9+1,1))-AVERAGE(OFFSET($H$3,0,0,'Données projet'!$E$9+1,1))</f>
        <v>274.78375889702613</v>
      </c>
      <c r="T30" s="59">
        <f t="shared" si="34"/>
        <v>180.48047802041276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3.9218350169233682</v>
      </c>
      <c r="AA30" s="21">
        <f>EXP(-LN(2)/25)*AA29+(1-EXP(-LN(2)/25))/(LN(2)/25)*Calculateur!V30*Calculateur!X30*VLOOKUP('Données projet'!$B$9,Paramètres!$A$1:$I$89,3,0)*0.475*44/12</f>
        <v>4.9627129363145643</v>
      </c>
      <c r="AB30" s="21">
        <f>EXP(-LN(2)/2)*AB29+(1-EXP(-LN(2)/2))/(LN(2)/2)*V30*Y30*VLOOKUP('Données projet'!$B$9,Paramètres!$A$1:$I$89,3,0)*0.475*44/12</f>
        <v>3.857199919468183</v>
      </c>
      <c r="AC30" s="22">
        <f t="shared" si="3"/>
        <v>12.741747872706116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155.80000000000004</v>
      </c>
      <c r="AJ30" s="13">
        <f>AI30*VLOOKUP('Données projet'!$B$10,Paramètres!$A$1:$I$89,3,0)*VLOOKUP('Données projet'!$B$10,Paramètres!$A$1:$I$89,5,0)</f>
        <v>123.95448000000005</v>
      </c>
      <c r="AK30" s="13">
        <f t="shared" si="35"/>
        <v>32.595569202682604</v>
      </c>
      <c r="AL30" s="20">
        <f t="shared" si="4"/>
        <v>272.65800236133896</v>
      </c>
      <c r="AM30" s="59">
        <f t="shared" si="5"/>
        <v>565.99133569467222</v>
      </c>
      <c r="AN30" s="59">
        <f ca="1">AVERAGE(OFFSET($AM$3,0,0,'Données projet'!$E$10+1,1))-AVERAGE(OFFSET($H$3,0,0,'Données projet'!$E$10+1,1))</f>
        <v>295.36463140471733</v>
      </c>
      <c r="AO30" s="59">
        <f t="shared" si="36"/>
        <v>295.34177980841878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12.141368345088829</v>
      </c>
      <c r="AV30" s="21">
        <f>EXP(-LN(2)/25)*AV29+(1-EXP(-LN(2)/25))/(LN(2)/25)*Calculateur!AQ30*Calculateur!AS30*VLOOKUP('Données projet'!$B$10,Paramètres!$A$1:$I$89,3,0)*0.475*44/12</f>
        <v>13.996643243222621</v>
      </c>
      <c r="AW30" s="21">
        <f>EXP(-LN(2)/2)*AW29+(1-EXP(-LN(2)/2))/(LN(2)/2)*AQ30*AT30*VLOOKUP('Données projet'!$B$10,Paramètres!$A$1:$I$89,3,0)*0.475*44/12</f>
        <v>6.7069894677813471</v>
      </c>
      <c r="AX30" s="21">
        <f t="shared" si="6"/>
        <v>32.845001056092798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498.9886264212779</v>
      </c>
      <c r="S31" s="59">
        <f ca="1">AVERAGE(OFFSET($R$3,0,0,'Données projet'!$E$9+1,1))-AVERAGE(OFFSET($H$3,0,0,'Données projet'!$E$9+1,1))</f>
        <v>274.78375889702613</v>
      </c>
      <c r="T31" s="59">
        <f t="shared" si="34"/>
        <v>180.48047802041276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3.8449302243246626</v>
      </c>
      <c r="AA31" s="21">
        <f>EXP(-LN(2)/25)*AA30+(1-EXP(-LN(2)/25))/(LN(2)/25)*Calculateur!V31*Calculateur!X31*VLOOKUP('Données projet'!$B$9,Paramètres!$A$1:$I$89,3,0)*0.475*44/12</f>
        <v>4.8270072900933121</v>
      </c>
      <c r="AB31" s="21">
        <f>EXP(-LN(2)/2)*AB30+(1-EXP(-LN(2)/2))/(LN(2)/2)*V31*Y31*VLOOKUP('Données projet'!$B$9,Paramètres!$A$1:$I$89,3,0)*0.475*44/12</f>
        <v>2.7274522194481574</v>
      </c>
      <c r="AC31" s="22">
        <f t="shared" si="3"/>
        <v>11.399389733866132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172.20000000000005</v>
      </c>
      <c r="AJ31" s="13">
        <f>AI31*VLOOKUP('Données projet'!$B$10,Paramètres!$A$1:$I$89,3,0)*VLOOKUP('Données projet'!$B$10,Paramètres!$A$1:$I$89,5,0)</f>
        <v>137.00232000000005</v>
      </c>
      <c r="AK31" s="13">
        <f t="shared" si="35"/>
        <v>35.609416420931346</v>
      </c>
      <c r="AL31" s="20">
        <f t="shared" si="4"/>
        <v>300.63210759978887</v>
      </c>
      <c r="AM31" s="59">
        <f t="shared" si="5"/>
        <v>593.96544093312218</v>
      </c>
      <c r="AN31" s="59">
        <f ca="1">AVERAGE(OFFSET($AM$3,0,0,'Données projet'!$E$10+1,1))-AVERAGE(OFFSET($H$3,0,0,'Données projet'!$E$10+1,1))</f>
        <v>295.36463140471733</v>
      </c>
      <c r="AO31" s="59">
        <f t="shared" si="36"/>
        <v>295.34177980841878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11.903283517345095</v>
      </c>
      <c r="AV31" s="21">
        <f>EXP(-LN(2)/25)*AV30+(1-EXP(-LN(2)/25))/(LN(2)/25)*Calculateur!AQ31*Calculateur!AS31*VLOOKUP('Données projet'!$B$10,Paramètres!$A$1:$I$89,3,0)*0.475*44/12</f>
        <v>13.61390429768522</v>
      </c>
      <c r="AW31" s="21">
        <f>EXP(-LN(2)/2)*AW30+(1-EXP(-LN(2)/2))/(LN(2)/2)*AQ31*AT31*VLOOKUP('Données projet'!$B$10,Paramètres!$A$1:$I$89,3,0)*0.475*44/12</f>
        <v>4.7425577340149445</v>
      </c>
      <c r="AX31" s="21">
        <f t="shared" si="6"/>
        <v>30.25974554904526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516.95289444408968</v>
      </c>
      <c r="S32" s="59">
        <f ca="1">AVERAGE(OFFSET($R$3,0,0,'Données projet'!$E$9+1,1))-AVERAGE(OFFSET($H$3,0,0,'Données projet'!$E$9+1,1))</f>
        <v>274.78375889702613</v>
      </c>
      <c r="T32" s="59">
        <f t="shared" si="34"/>
        <v>180.48047802041276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3.7695334878015259</v>
      </c>
      <c r="AA32" s="21">
        <f>EXP(-LN(2)/25)*AA31+(1-EXP(-LN(2)/25))/(LN(2)/25)*Calculateur!V32*Calculateur!X32*VLOOKUP('Données projet'!$B$9,Paramètres!$A$1:$I$89,3,0)*0.475*44/12</f>
        <v>4.6950125219044292</v>
      </c>
      <c r="AB32" s="21">
        <f>EXP(-LN(2)/2)*AB31+(1-EXP(-LN(2)/2))/(LN(2)/2)*V32*Y32*VLOOKUP('Données projet'!$B$9,Paramètres!$A$1:$I$89,3,0)*0.475*44/12</f>
        <v>1.9285999597340917</v>
      </c>
      <c r="AC32" s="22">
        <f t="shared" si="3"/>
        <v>10.393145969440047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188.60000000000005</v>
      </c>
      <c r="AJ32" s="13">
        <f>AI32*VLOOKUP('Données projet'!$B$10,Paramètres!$A$1:$I$89,3,0)*VLOOKUP('Données projet'!$B$10,Paramètres!$A$1:$I$89,5,0)</f>
        <v>150.05016000000003</v>
      </c>
      <c r="AK32" s="13">
        <f t="shared" si="35"/>
        <v>38.589984439024605</v>
      </c>
      <c r="AL32" s="20">
        <f t="shared" si="4"/>
        <v>328.5482515646346</v>
      </c>
      <c r="AM32" s="59">
        <f t="shared" si="5"/>
        <v>621.88158489796797</v>
      </c>
      <c r="AN32" s="59">
        <f ca="1">AVERAGE(OFFSET($AM$3,0,0,'Données projet'!$E$10+1,1))-AVERAGE(OFFSET($H$3,0,0,'Données projet'!$E$10+1,1))</f>
        <v>295.36463140471733</v>
      </c>
      <c r="AO32" s="59">
        <f t="shared" si="36"/>
        <v>295.34177980841878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11.669867387856009</v>
      </c>
      <c r="AV32" s="21">
        <f>EXP(-LN(2)/25)*AV31+(1-EXP(-LN(2)/25))/(LN(2)/25)*Calculateur!AQ32*Calculateur!AS32*VLOOKUP('Données projet'!$B$10,Paramètres!$A$1:$I$89,3,0)*0.475*44/12</f>
        <v>13.241631368740906</v>
      </c>
      <c r="AW32" s="21">
        <f>EXP(-LN(2)/2)*AW31+(1-EXP(-LN(2)/2))/(LN(2)/2)*AQ32*AT32*VLOOKUP('Données projet'!$B$10,Paramètres!$A$1:$I$89,3,0)*0.475*44/12</f>
        <v>3.3534947338906744</v>
      </c>
      <c r="AX32" s="21">
        <f t="shared" si="6"/>
        <v>28.264993490487587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274.78375889702613</v>
      </c>
      <c r="T33" s="59">
        <f t="shared" si="34"/>
        <v>180.48047802041276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0.129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7.3084445483320444</v>
      </c>
      <c r="AA33" s="21">
        <f>EXP(-LN(2)/25)*AA32+(1-EXP(-LN(2)/25))/(LN(2)/25)*Calculateur!V33*Calculateur!X33*VLOOKUP('Données projet'!$B$9,Paramètres!$A$1:$I$89,3,0)*0.475*44/12</f>
        <v>9.3647661275084193</v>
      </c>
      <c r="AB33" s="21">
        <f>EXP(-LN(2)/2)*AB32+(1-EXP(-LN(2)/2))/(LN(2)/2)*V33*Y33*VLOOKUP('Données projet'!$B$9,Paramètres!$A$1:$I$89,3,0)*0.475*44/12</f>
        <v>8.5348325893377019</v>
      </c>
      <c r="AC33" s="22">
        <f t="shared" si="3"/>
        <v>25.208043265178169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205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205.00000000000006</v>
      </c>
      <c r="AJ33" s="13">
        <f>AI33*VLOOKUP('Données projet'!$B$10,Paramètres!$A$1:$I$89,3,0)*VLOOKUP('Données projet'!$B$10,Paramètres!$A$1:$I$89,5,0)</f>
        <v>163.09800000000004</v>
      </c>
      <c r="AK33" s="13">
        <f t="shared" si="35"/>
        <v>41.540496136845142</v>
      </c>
      <c r="AL33" s="20">
        <f t="shared" si="4"/>
        <v>356.41204743833867</v>
      </c>
      <c r="AM33" s="59">
        <f t="shared" si="5"/>
        <v>649.74538077167199</v>
      </c>
      <c r="AN33" s="59">
        <f ca="1">AVERAGE(OFFSET($AM$3,0,0,'Données projet'!$E$10+1,1))-AVERAGE(OFFSET($H$3,0,0,'Données projet'!$E$10+1,1))</f>
        <v>295.36463140471733</v>
      </c>
      <c r="AO33" s="59">
        <f t="shared" si="36"/>
        <v>295.34177980841878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0.159</v>
      </c>
      <c r="AS33" s="16">
        <f>IF(ISNA(VLOOKUP(A33,'Données projet'!$A$61:$I$81,6,0)),0%,VLOOKUP(A33,'Données projet'!$A$61:$I$81,6,0)*VLOOKUP('Données projet'!$B$10,Paramètres!$A$1:$I$89,7,0))</f>
        <v>0.21200000000000002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17.314411104657363</v>
      </c>
      <c r="AV33" s="21">
        <f>EXP(-LN(2)/25)*AV32+(1-EXP(-LN(2)/25))/(LN(2)/25)*Calculateur!AQ33*Calculateur!AS33*VLOOKUP('Données projet'!$B$10,Paramètres!$A$1:$I$89,3,0)*0.475*44/12</f>
        <v>20.679880866273201</v>
      </c>
      <c r="AW33" s="21">
        <f>EXP(-LN(2)/2)*AW32+(1-EXP(-LN(2)/2))/(LN(2)/2)*AQ33*AT33*VLOOKUP('Données projet'!$B$10,Paramètres!$A$1:$I$89,3,0)*0.475*44/12</f>
        <v>11.829721034084063</v>
      </c>
      <c r="AX33" s="21">
        <f t="shared" si="6"/>
        <v>49.824013005014621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274.78375889702613</v>
      </c>
      <c r="T34" s="59">
        <f t="shared" si="34"/>
        <v>180.48047802041276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7.1651304084502652</v>
      </c>
      <c r="AA34" s="21">
        <f>EXP(-LN(2)/25)*AA33+(1-EXP(-LN(2)/25))/(LN(2)/25)*Calculateur!V34*Calculateur!X34*VLOOKUP('Données projet'!$B$9,Paramètres!$A$1:$I$89,3,0)*0.475*44/12</f>
        <v>9.1086861052800536</v>
      </c>
      <c r="AB34" s="21">
        <f>EXP(-LN(2)/2)*AB33+(1-EXP(-LN(2)/2))/(LN(2)/2)*V34*Y34*VLOOKUP('Données projet'!$B$9,Paramètres!$A$1:$I$89,3,0)*0.475*44/12</f>
        <v>6.03503800021263</v>
      </c>
      <c r="AC34" s="22">
        <f t="shared" si="3"/>
        <v>22.308854513942947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</v>
      </c>
      <c r="AI34" s="13">
        <f>IF('Données projet'!$A$62&gt;35,AI33+AH34-AQ33,IF(A34&lt;'Données projet'!$A$62,$AF$205^A34,IF(A34='Données projet'!$A$62,'Données projet'!$B$62,AI33+AH34-AQ33)))</f>
        <v>178.20000000000005</v>
      </c>
      <c r="AJ34" s="13">
        <f>AI34*VLOOKUP('Données projet'!$B$10,Paramètres!$A$1:$I$89,3,0)*VLOOKUP('Données projet'!$B$10,Paramètres!$A$1:$I$89,5,0)</f>
        <v>141.77592000000004</v>
      </c>
      <c r="AK34" s="13">
        <f t="shared" si="35"/>
        <v>36.703544878441981</v>
      </c>
      <c r="AL34" s="20">
        <f t="shared" si="4"/>
        <v>310.85173466328649</v>
      </c>
      <c r="AM34" s="59">
        <f t="shared" si="5"/>
        <v>604.18506799661986</v>
      </c>
      <c r="AN34" s="59">
        <f ca="1">AVERAGE(OFFSET($AM$3,0,0,'Données projet'!$E$10+1,1))-AVERAGE(OFFSET($H$3,0,0,'Données projet'!$E$10+1,1))</f>
        <v>295.36463140471733</v>
      </c>
      <c r="AO34" s="59">
        <f t="shared" si="36"/>
        <v>295.34177980841878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16.974886063643019</v>
      </c>
      <c r="AV34" s="21">
        <f>EXP(-LN(2)/25)*AV33+(1-EXP(-LN(2)/25))/(LN(2)/25)*Calculateur!AQ34*Calculateur!AS34*VLOOKUP('Données projet'!$B$10,Paramètres!$A$1:$I$89,3,0)*0.475*44/12</f>
        <v>20.114388436477292</v>
      </c>
      <c r="AW34" s="21">
        <f>EXP(-LN(2)/2)*AW33+(1-EXP(-LN(2)/2))/(LN(2)/2)*AQ34*AT34*VLOOKUP('Données projet'!$B$10,Paramètres!$A$1:$I$89,3,0)*0.475*44/12</f>
        <v>8.3648759627459786</v>
      </c>
      <c r="AX34" s="21">
        <f t="shared" si="6"/>
        <v>45.454150462866288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274.78375889702613</v>
      </c>
      <c r="T35" s="59">
        <f t="shared" si="34"/>
        <v>180.48047802041276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7.0246265714385734</v>
      </c>
      <c r="AA35" s="21">
        <f>EXP(-LN(2)/25)*AA34+(1-EXP(-LN(2)/25))/(LN(2)/25)*Calculateur!V35*Calculateur!X35*VLOOKUP('Données projet'!$B$9,Paramètres!$A$1:$I$89,3,0)*0.475*44/12</f>
        <v>8.8596086047261871</v>
      </c>
      <c r="AB35" s="21">
        <f>EXP(-LN(2)/2)*AB34+(1-EXP(-LN(2)/2))/(LN(2)/2)*V35*Y35*VLOOKUP('Données projet'!$B$9,Paramètres!$A$1:$I$89,3,0)*0.475*44/12</f>
        <v>4.2674162946688519</v>
      </c>
      <c r="AC35" s="22">
        <f t="shared" si="3"/>
        <v>20.151651470833613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</v>
      </c>
      <c r="AI35" s="13">
        <f>IF('Données projet'!$A$62&gt;35,AI34+AH35-AQ34,IF(A35&lt;'Données projet'!$A$62,$AF$205^A35,IF(A35='Données projet'!$A$62,'Données projet'!$B$62,AI34+AH35-AQ34)))</f>
        <v>193.40000000000003</v>
      </c>
      <c r="AJ35" s="13">
        <f>AI35*VLOOKUP('Données projet'!$B$10,Paramètres!$A$1:$I$89,3,0)*VLOOKUP('Données projet'!$B$10,Paramètres!$A$1:$I$89,5,0)</f>
        <v>153.86904000000004</v>
      </c>
      <c r="AK35" s="13">
        <f t="shared" si="35"/>
        <v>39.456531419736123</v>
      </c>
      <c r="AL35" s="20">
        <f t="shared" si="4"/>
        <v>336.70870355604046</v>
      </c>
      <c r="AM35" s="59">
        <f t="shared" si="5"/>
        <v>630.04203688937378</v>
      </c>
      <c r="AN35" s="59">
        <f ca="1">AVERAGE(OFFSET($AM$3,0,0,'Données projet'!$E$10+1,1))-AVERAGE(OFFSET($H$3,0,0,'Données projet'!$E$10+1,1))</f>
        <v>295.36463140471733</v>
      </c>
      <c r="AO35" s="59">
        <f t="shared" si="36"/>
        <v>295.34177980841878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16.64201890159314</v>
      </c>
      <c r="AV35" s="21">
        <f>EXP(-LN(2)/25)*AV34+(1-EXP(-LN(2)/25))/(LN(2)/25)*Calculateur!AQ35*Calculateur!AS35*VLOOKUP('Données projet'!$B$10,Paramètres!$A$1:$I$89,3,0)*0.475*44/12</f>
        <v>19.564359426912105</v>
      </c>
      <c r="AW35" s="21">
        <f>EXP(-LN(2)/2)*AW34+(1-EXP(-LN(2)/2))/(LN(2)/2)*AQ35*AT35*VLOOKUP('Données projet'!$B$10,Paramètres!$A$1:$I$89,3,0)*0.475*44/12</f>
        <v>5.9148605170420323</v>
      </c>
      <c r="AX35" s="21">
        <f t="shared" si="6"/>
        <v>42.121238845547275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274.78375889702613</v>
      </c>
      <c r="T36" s="59">
        <f t="shared" si="34"/>
        <v>180.48047802041276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6.8868779289718027</v>
      </c>
      <c r="AA36" s="21">
        <f>EXP(-LN(2)/25)*AA35+(1-EXP(-LN(2)/25))/(LN(2)/25)*Calculateur!V36*Calculateur!X36*VLOOKUP('Données projet'!$B$9,Paramètres!$A$1:$I$89,3,0)*0.475*44/12</f>
        <v>8.6173421415233822</v>
      </c>
      <c r="AB36" s="21">
        <f>EXP(-LN(2)/2)*AB35+(1-EXP(-LN(2)/2))/(LN(2)/2)*V36*Y36*VLOOKUP('Données projet'!$B$9,Paramètres!$A$1:$I$89,3,0)*0.475*44/12</f>
        <v>3.0175190001063155</v>
      </c>
      <c r="AC36" s="22">
        <f t="shared" si="3"/>
        <v>18.521739070601502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</v>
      </c>
      <c r="AI36" s="13">
        <f>IF('Données projet'!$A$62&gt;35,AI35+AH36-AQ35,IF(A36&lt;'Données projet'!$A$62,$AF$205^A36,IF(A36='Données projet'!$A$62,'Données projet'!$B$62,AI35+AH36-AQ35)))</f>
        <v>208.60000000000002</v>
      </c>
      <c r="AJ36" s="13">
        <f>AI36*VLOOKUP('Données projet'!$B$10,Paramètres!$A$1:$I$89,3,0)*VLOOKUP('Données projet'!$B$10,Paramètres!$A$1:$I$89,5,0)</f>
        <v>165.96216000000001</v>
      </c>
      <c r="AK36" s="13">
        <f t="shared" si="35"/>
        <v>42.184420424142857</v>
      </c>
      <c r="AL36" s="20">
        <f t="shared" si="4"/>
        <v>362.52196090538217</v>
      </c>
      <c r="AM36" s="59">
        <f t="shared" si="5"/>
        <v>655.85529423871549</v>
      </c>
      <c r="AN36" s="59">
        <f ca="1">AVERAGE(OFFSET($AM$3,0,0,'Données projet'!$E$10+1,1))-AVERAGE(OFFSET($H$3,0,0,'Données projet'!$E$10+1,1))</f>
        <v>295.36463140471733</v>
      </c>
      <c r="AO36" s="59">
        <f t="shared" si="36"/>
        <v>295.34177980841878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16.315679061562136</v>
      </c>
      <c r="AV36" s="21">
        <f>EXP(-LN(2)/25)*AV35+(1-EXP(-LN(2)/25))/(LN(2)/25)*Calculateur!AQ36*Calculateur!AS36*VLOOKUP('Données projet'!$B$10,Paramètres!$A$1:$I$89,3,0)*0.475*44/12</f>
        <v>19.029370989538247</v>
      </c>
      <c r="AW36" s="21">
        <f>EXP(-LN(2)/2)*AW35+(1-EXP(-LN(2)/2))/(LN(2)/2)*AQ36*AT36*VLOOKUP('Données projet'!$B$10,Paramètres!$A$1:$I$89,3,0)*0.475*44/12</f>
        <v>4.1824379813729902</v>
      </c>
      <c r="AX36" s="21">
        <f t="shared" si="6"/>
        <v>39.527488032473379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274.78375889702613</v>
      </c>
      <c r="T37" s="59">
        <f t="shared" si="34"/>
        <v>180.48047802041276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6.7518304533654296</v>
      </c>
      <c r="AA37" s="21">
        <f>EXP(-LN(2)/25)*AA36+(1-EXP(-LN(2)/25))/(LN(2)/25)*Calculateur!V37*Calculateur!X37*VLOOKUP('Données projet'!$B$9,Paramètres!$A$1:$I$89,3,0)*0.475*44/12</f>
        <v>8.3817004674970974</v>
      </c>
      <c r="AB37" s="21">
        <f>EXP(-LN(2)/2)*AB36+(1-EXP(-LN(2)/2))/(LN(2)/2)*V37*Y37*VLOOKUP('Données projet'!$B$9,Paramètres!$A$1:$I$89,3,0)*0.475*44/12</f>
        <v>2.1337081473344264</v>
      </c>
      <c r="AC37" s="22">
        <f t="shared" si="3"/>
        <v>17.267239068196954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</v>
      </c>
      <c r="AI37" s="13">
        <f>IF('Données projet'!$A$62&gt;35,AI36+AH37-AQ36,IF(A37&lt;'Données projet'!$A$62,$AF$205^A37,IF(A37='Données projet'!$A$62,'Données projet'!$B$62,AI36+AH37-AQ36)))</f>
        <v>223.8</v>
      </c>
      <c r="AJ37" s="13">
        <f>AI37*VLOOKUP('Données projet'!$B$10,Paramètres!$A$1:$I$89,3,0)*VLOOKUP('Données projet'!$B$10,Paramètres!$A$1:$I$89,5,0)</f>
        <v>178.05528000000001</v>
      </c>
      <c r="AK37" s="13">
        <f t="shared" si="35"/>
        <v>44.889248639558041</v>
      </c>
      <c r="AL37" s="20">
        <f t="shared" si="4"/>
        <v>388.29505404723028</v>
      </c>
      <c r="AM37" s="59">
        <f t="shared" si="5"/>
        <v>681.62838738056359</v>
      </c>
      <c r="AN37" s="59">
        <f ca="1">AVERAGE(OFFSET($AM$3,0,0,'Données projet'!$E$10+1,1))-AVERAGE(OFFSET($H$3,0,0,'Données projet'!$E$10+1,1))</f>
        <v>295.36463140471733</v>
      </c>
      <c r="AO37" s="59">
        <f t="shared" si="36"/>
        <v>295.34177980841878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15.995738546746493</v>
      </c>
      <c r="AV37" s="21">
        <f>EXP(-LN(2)/25)*AV36+(1-EXP(-LN(2)/25))/(LN(2)/25)*Calculateur!AQ37*Calculateur!AS37*VLOOKUP('Données projet'!$B$10,Paramètres!$A$1:$I$89,3,0)*0.475*44/12</f>
        <v>18.509011839118195</v>
      </c>
      <c r="AW37" s="21">
        <f>EXP(-LN(2)/2)*AW36+(1-EXP(-LN(2)/2))/(LN(2)/2)*AQ37*AT37*VLOOKUP('Données projet'!$B$10,Paramètres!$A$1:$I$89,3,0)*0.475*44/12</f>
        <v>2.9574302585210166</v>
      </c>
      <c r="AX37" s="21">
        <f t="shared" si="6"/>
        <v>37.462180644385704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274.78375889702613</v>
      </c>
      <c r="T38" s="59">
        <f t="shared" si="34"/>
        <v>180.48047802041276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6.6194311763848708</v>
      </c>
      <c r="AA38" s="21">
        <f>EXP(-LN(2)/25)*AA37+(1-EXP(-LN(2)/25))/(LN(2)/25)*Calculateur!V38*Calculateur!X38*VLOOKUP('Données projet'!$B$9,Paramètres!$A$1:$I$89,3,0)*0.475*44/12</f>
        <v>8.1525024274389182</v>
      </c>
      <c r="AB38" s="21">
        <f>EXP(-LN(2)/2)*AB37+(1-EXP(-LN(2)/2))/(LN(2)/2)*V38*Y38*VLOOKUP('Données projet'!$B$9,Paramètres!$A$1:$I$89,3,0)*0.475*44/12</f>
        <v>1.508759500053158</v>
      </c>
      <c r="AC38" s="22">
        <f t="shared" si="3"/>
        <v>16.280693103876949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239</v>
      </c>
      <c r="AG38" s="12">
        <f>VLOOKUP(A38,'Données projet'!$A$61:$I$81,9,0)</f>
        <v>15.2</v>
      </c>
      <c r="AH38" s="12">
        <f t="array" ref="AH38">INDEX(AG:AG,MIN(IF(ISNUMBER(AG38:AG234),ROW(AG38:AG234),"")))</f>
        <v>15.2</v>
      </c>
      <c r="AI38" s="13">
        <f>IF('Données projet'!$A$62&gt;35,AI37+AH38-AQ37,IF(A38&lt;'Données projet'!$A$62,$AF$205^A38,IF(A38='Données projet'!$A$62,'Données projet'!$B$62,AI37+AH38-AQ37)))</f>
        <v>239</v>
      </c>
      <c r="AJ38" s="13">
        <f>AI38*VLOOKUP('Données projet'!$B$10,Paramètres!$A$1:$I$89,3,0)*VLOOKUP('Données projet'!$B$10,Paramètres!$A$1:$I$89,5,0)</f>
        <v>190.14840000000001</v>
      </c>
      <c r="AK38" s="13">
        <f t="shared" si="35"/>
        <v>47.572760493232991</v>
      </c>
      <c r="AL38" s="20">
        <f t="shared" si="4"/>
        <v>414.03102119238082</v>
      </c>
      <c r="AM38" s="59">
        <f t="shared" si="5"/>
        <v>707.36435452571413</v>
      </c>
      <c r="AN38" s="59">
        <f ca="1">AVERAGE(OFFSET($AM$3,0,0,'Données projet'!$E$10+1,1))-AVERAGE(OFFSET($H$3,0,0,'Données projet'!$E$10+1,1))</f>
        <v>295.36463140471733</v>
      </c>
      <c r="AO38" s="59">
        <f t="shared" si="36"/>
        <v>295.34177980841878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15.682071870281939</v>
      </c>
      <c r="AV38" s="21">
        <f>EXP(-LN(2)/25)*AV37+(1-EXP(-LN(2)/25))/(LN(2)/25)*Calculateur!AQ38*Calculateur!AS38*VLOOKUP('Données projet'!$B$10,Paramètres!$A$1:$I$89,3,0)*0.475*44/12</f>
        <v>18.002881937030878</v>
      </c>
      <c r="AW38" s="21">
        <f>EXP(-LN(2)/2)*AW37+(1-EXP(-LN(2)/2))/(LN(2)/2)*AQ38*AT38*VLOOKUP('Données projet'!$B$10,Paramètres!$A$1:$I$89,3,0)*0.475*44/12</f>
        <v>2.0912189906864951</v>
      </c>
      <c r="AX38" s="21">
        <f t="shared" si="6"/>
        <v>35.776172797999308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274.78375889702613</v>
      </c>
      <c r="T39" s="59">
        <f t="shared" si="34"/>
        <v>180.48047802041276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6.4896281684703157</v>
      </c>
      <c r="AA39" s="21">
        <f>EXP(-LN(2)/25)*AA38+(1-EXP(-LN(2)/25))/(LN(2)/25)*Calculateur!V39*Calculateur!X39*VLOOKUP('Données projet'!$B$9,Paramètres!$A$1:$I$89,3,0)*0.475*44/12</f>
        <v>7.929571819839131</v>
      </c>
      <c r="AB39" s="21">
        <f>EXP(-LN(2)/2)*AB38+(1-EXP(-LN(2)/2))/(LN(2)/2)*V39*Y39*VLOOKUP('Données projet'!$B$9,Paramètres!$A$1:$I$89,3,0)*0.475*44/12</f>
        <v>1.0668540736672132</v>
      </c>
      <c r="AC39" s="22">
        <f t="shared" si="3"/>
        <v>15.486054061976661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13.2</v>
      </c>
      <c r="AI39" s="13">
        <f>IF('Données projet'!$A$62&gt;35,AI38+AH39-AQ38,IF(A39&lt;'Données projet'!$A$62,$AF$205^A39,IF(A39='Données projet'!$A$62,'Données projet'!$B$62,AI38+AH39-AQ38)))</f>
        <v>210.2</v>
      </c>
      <c r="AJ39" s="13">
        <f>AI39*VLOOKUP('Données projet'!$B$10,Paramètres!$A$1:$I$89,3,0)*VLOOKUP('Données projet'!$B$10,Paramètres!$A$1:$I$89,5,0)</f>
        <v>167.23511999999999</v>
      </c>
      <c r="AK39" s="13">
        <f t="shared" si="35"/>
        <v>42.470192710511604</v>
      </c>
      <c r="AL39" s="20">
        <f t="shared" si="4"/>
        <v>365.23675297080769</v>
      </c>
      <c r="AM39" s="59">
        <f t="shared" si="5"/>
        <v>658.570086304141</v>
      </c>
      <c r="AN39" s="59">
        <f ca="1">AVERAGE(OFFSET($AM$3,0,0,'Données projet'!$E$10+1,1))-AVERAGE(OFFSET($H$3,0,0,'Données projet'!$E$10+1,1))</f>
        <v>295.36463140471733</v>
      </c>
      <c r="AO39" s="59">
        <f t="shared" si="36"/>
        <v>295.34177980841878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15.374556006025074</v>
      </c>
      <c r="AV39" s="21">
        <f>EXP(-LN(2)/25)*AV38+(1-EXP(-LN(2)/25))/(LN(2)/25)*Calculateur!AQ39*Calculateur!AS39*VLOOKUP('Données projet'!$B$10,Paramètres!$A$1:$I$89,3,0)*0.475*44/12</f>
        <v>17.510592183732353</v>
      </c>
      <c r="AW39" s="21">
        <f>EXP(-LN(2)/2)*AW38+(1-EXP(-LN(2)/2))/(LN(2)/2)*AQ39*AT39*VLOOKUP('Données projet'!$B$10,Paramètres!$A$1:$I$89,3,0)*0.475*44/12</f>
        <v>1.4787151292605083</v>
      </c>
      <c r="AX39" s="21">
        <f t="shared" si="6"/>
        <v>34.363863319017938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274.78375889702613</v>
      </c>
      <c r="T40" s="59">
        <f t="shared" si="34"/>
        <v>180.48047802041276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6.3623705183689472</v>
      </c>
      <c r="AA40" s="21">
        <f>EXP(-LN(2)/25)*AA39+(1-EXP(-LN(2)/25))/(LN(2)/25)*Calculateur!V40*Calculateur!X40*VLOOKUP('Données projet'!$B$9,Paramètres!$A$1:$I$89,3,0)*0.475*44/12</f>
        <v>7.7127372614275709</v>
      </c>
      <c r="AB40" s="21">
        <f>EXP(-LN(2)/2)*AB39+(1-EXP(-LN(2)/2))/(LN(2)/2)*V40*Y40*VLOOKUP('Données projet'!$B$9,Paramètres!$A$1:$I$89,3,0)*0.475*44/12</f>
        <v>0.75437975002657898</v>
      </c>
      <c r="AC40" s="22">
        <f t="shared" si="3"/>
        <v>14.829487529823098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13.2</v>
      </c>
      <c r="AI40" s="13">
        <f>IF('Données projet'!$A$62&gt;35,AI39+AH40-AQ39,IF(A40&lt;'Données projet'!$A$62,$AF$205^A40,IF(A40='Données projet'!$A$62,'Données projet'!$B$62,AI39+AH40-AQ39)))</f>
        <v>223.39999999999998</v>
      </c>
      <c r="AJ40" s="13">
        <f>AI40*VLOOKUP('Données projet'!$B$10,Paramètres!$A$1:$I$89,3,0)*VLOOKUP('Données projet'!$B$10,Paramètres!$A$1:$I$89,5,0)</f>
        <v>177.73703999999998</v>
      </c>
      <c r="AK40" s="13">
        <f t="shared" si="35"/>
        <v>44.818349142210366</v>
      </c>
      <c r="AL40" s="20">
        <f t="shared" si="4"/>
        <v>387.61730275601627</v>
      </c>
      <c r="AM40" s="59">
        <f t="shared" si="5"/>
        <v>680.95063608934959</v>
      </c>
      <c r="AN40" s="59">
        <f ca="1">AVERAGE(OFFSET($AM$3,0,0,'Données projet'!$E$10+1,1))-AVERAGE(OFFSET($H$3,0,0,'Données projet'!$E$10+1,1))</f>
        <v>295.36463140471733</v>
      </c>
      <c r="AO40" s="59">
        <f t="shared" si="36"/>
        <v>295.34177980841878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15.073070340300129</v>
      </c>
      <c r="AV40" s="21">
        <f>EXP(-LN(2)/25)*AV39+(1-EXP(-LN(2)/25))/(LN(2)/25)*Calculateur!AQ40*Calculateur!AS40*VLOOKUP('Données projet'!$B$10,Paramètres!$A$1:$I$89,3,0)*0.475*44/12</f>
        <v>17.031764119626171</v>
      </c>
      <c r="AW40" s="21">
        <f>EXP(-LN(2)/2)*AW39+(1-EXP(-LN(2)/2))/(LN(2)/2)*AQ40*AT40*VLOOKUP('Données projet'!$B$10,Paramètres!$A$1:$I$89,3,0)*0.475*44/12</f>
        <v>1.0456094953432475</v>
      </c>
      <c r="AX40" s="21">
        <f t="shared" si="6"/>
        <v>33.150443955269552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274.78375889702613</v>
      </c>
      <c r="T41" s="59">
        <f t="shared" si="34"/>
        <v>180.48047802041276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6.2376083131665645</v>
      </c>
      <c r="AA41" s="21">
        <f>EXP(-LN(2)/25)*AA40+(1-EXP(-LN(2)/25))/(LN(2)/25)*Calculateur!V41*Calculateur!X41*VLOOKUP('Données projet'!$B$9,Paramètres!$A$1:$I$89,3,0)*0.475*44/12</f>
        <v>7.5018320554186086</v>
      </c>
      <c r="AB41" s="21">
        <f>EXP(-LN(2)/2)*AB40+(1-EXP(-LN(2)/2))/(LN(2)/2)*V41*Y41*VLOOKUP('Données projet'!$B$9,Paramètres!$A$1:$I$89,3,0)*0.475*44/12</f>
        <v>0.53342703683360659</v>
      </c>
      <c r="AC41" s="22">
        <f t="shared" si="3"/>
        <v>14.272867405418779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13.2</v>
      </c>
      <c r="AI41" s="13">
        <f>IF('Données projet'!$A$62&gt;35,AI40+AH41-AQ40,IF(A41&lt;'Données projet'!$A$62,$AF$205^A41,IF(A41='Données projet'!$A$62,'Données projet'!$B$62,AI40+AH41-AQ40)))</f>
        <v>236.59999999999997</v>
      </c>
      <c r="AJ41" s="13">
        <f>AI41*VLOOKUP('Données projet'!$B$10,Paramètres!$A$1:$I$89,3,0)*VLOOKUP('Données projet'!$B$10,Paramètres!$A$1:$I$89,5,0)</f>
        <v>188.23895999999999</v>
      </c>
      <c r="AK41" s="13">
        <f t="shared" si="35"/>
        <v>47.150401158990007</v>
      </c>
      <c r="AL41" s="20">
        <f t="shared" si="4"/>
        <v>409.96980401857422</v>
      </c>
      <c r="AM41" s="59">
        <f t="shared" si="5"/>
        <v>703.30313735190748</v>
      </c>
      <c r="AN41" s="59">
        <f ca="1">AVERAGE(OFFSET($AM$3,0,0,'Données projet'!$E$10+1,1))-AVERAGE(OFFSET($H$3,0,0,'Données projet'!$E$10+1,1))</f>
        <v>295.36463140471733</v>
      </c>
      <c r="AO41" s="59">
        <f t="shared" si="36"/>
        <v>295.34177980841878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14.777496624591953</v>
      </c>
      <c r="AV41" s="21">
        <f>EXP(-LN(2)/25)*AV40+(1-EXP(-LN(2)/25))/(LN(2)/25)*Calculateur!AQ41*Calculateur!AS41*VLOOKUP('Données projet'!$B$10,Paramètres!$A$1:$I$89,3,0)*0.475*44/12</f>
        <v>16.566029634113445</v>
      </c>
      <c r="AW41" s="21">
        <f>EXP(-LN(2)/2)*AW40+(1-EXP(-LN(2)/2))/(LN(2)/2)*AQ41*AT41*VLOOKUP('Données projet'!$B$10,Paramètres!$A$1:$I$89,3,0)*0.475*44/12</f>
        <v>0.73935756463025415</v>
      </c>
      <c r="AX41" s="21">
        <f t="shared" si="6"/>
        <v>32.082883823335649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274.78375889702613</v>
      </c>
      <c r="T42" s="59">
        <f t="shared" si="34"/>
        <v>180.48047802041276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6.1152926187107699</v>
      </c>
      <c r="AA42" s="21">
        <f>EXP(-LN(2)/25)*AA41+(1-EXP(-LN(2)/25))/(LN(2)/25)*Calculateur!V42*Calculateur!X42*VLOOKUP('Données projet'!$B$9,Paramètres!$A$1:$I$89,3,0)*0.475*44/12</f>
        <v>7.2966940633589843</v>
      </c>
      <c r="AB42" s="21">
        <f>EXP(-LN(2)/2)*AB41+(1-EXP(-LN(2)/2))/(LN(2)/2)*V42*Y42*VLOOKUP('Données projet'!$B$9,Paramètres!$A$1:$I$89,3,0)*0.475*44/12</f>
        <v>0.37718987501328949</v>
      </c>
      <c r="AC42" s="22">
        <f t="shared" si="3"/>
        <v>13.789176557083044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13.2</v>
      </c>
      <c r="AI42" s="13">
        <f>IF('Données projet'!$A$62&gt;35,AI41+AH42-AQ41,IF(A42&lt;'Données projet'!$A$62,$AF$205^A42,IF(A42='Données projet'!$A$62,'Données projet'!$B$62,AI41+AH42-AQ41)))</f>
        <v>249.79999999999995</v>
      </c>
      <c r="AJ42" s="13">
        <f>AI42*VLOOKUP('Données projet'!$B$10,Paramètres!$A$1:$I$89,3,0)*VLOOKUP('Données projet'!$B$10,Paramètres!$A$1:$I$89,5,0)</f>
        <v>198.74087999999998</v>
      </c>
      <c r="AK42" s="13">
        <f t="shared" si="35"/>
        <v>49.467349630825638</v>
      </c>
      <c r="AL42" s="20">
        <f t="shared" si="4"/>
        <v>432.29599994035453</v>
      </c>
      <c r="AM42" s="59">
        <f t="shared" si="5"/>
        <v>725.62933327368785</v>
      </c>
      <c r="AN42" s="59">
        <f ca="1">AVERAGE(OFFSET($AM$3,0,0,'Données projet'!$E$10+1,1))-AVERAGE(OFFSET($H$3,0,0,'Données projet'!$E$10+1,1))</f>
        <v>295.36463140471733</v>
      </c>
      <c r="AO42" s="59">
        <f t="shared" si="36"/>
        <v>295.34177980841878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14.487718929166649</v>
      </c>
      <c r="AV42" s="21">
        <f>EXP(-LN(2)/25)*AV41+(1-EXP(-LN(2)/25))/(LN(2)/25)*Calculateur!AQ42*Calculateur!AS42*VLOOKUP('Données projet'!$B$10,Paramètres!$A$1:$I$89,3,0)*0.475*44/12</f>
        <v>16.113030682598975</v>
      </c>
      <c r="AW42" s="21">
        <f>EXP(-LN(2)/2)*AW41+(1-EXP(-LN(2)/2))/(LN(2)/2)*AQ42*AT42*VLOOKUP('Données projet'!$B$10,Paramètres!$A$1:$I$89,3,0)*0.475*44/12</f>
        <v>0.52280474767162377</v>
      </c>
      <c r="AX42" s="21">
        <f t="shared" si="6"/>
        <v>31.123554359437247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274.78375889702613</v>
      </c>
      <c r="T43" s="59">
        <f t="shared" si="34"/>
        <v>180.48047802041276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5.995375460418046</v>
      </c>
      <c r="AA43" s="21">
        <f>EXP(-LN(2)/25)*AA42+(1-EXP(-LN(2)/25))/(LN(2)/25)*Calculateur!V43*Calculateur!X43*VLOOKUP('Données projet'!$B$9,Paramètres!$A$1:$I$89,3,0)*0.475*44/12</f>
        <v>7.0971655804799685</v>
      </c>
      <c r="AB43" s="21">
        <f>EXP(-LN(2)/2)*AB42+(1-EXP(-LN(2)/2))/(LN(2)/2)*V43*Y43*VLOOKUP('Données projet'!$B$9,Paramètres!$A$1:$I$89,3,0)*0.475*44/12</f>
        <v>0.2667135184168033</v>
      </c>
      <c r="AC43" s="22">
        <f t="shared" si="3"/>
        <v>13.359254559314818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13.2</v>
      </c>
      <c r="AH43" s="12">
        <f t="array" ref="AH43">INDEX(AG:AG,MIN(IF(ISNUMBER(AG43:AG239),ROW(AG43:AG239),"")))</f>
        <v>13.2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295.36463140471733</v>
      </c>
      <c r="AO43" s="59">
        <f t="shared" si="36"/>
        <v>295.34177980841878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40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14.203623597601693</v>
      </c>
      <c r="AV43" s="21">
        <f>EXP(-LN(2)/25)*AV42+(1-EXP(-LN(2)/25))/(LN(2)/25)*Calculateur!AQ43*Calculateur!AS43*VLOOKUP('Données projet'!$B$10,Paramètres!$A$1:$I$89,3,0)*0.475*44/12</f>
        <v>15.672419011235849</v>
      </c>
      <c r="AW43" s="21">
        <f>EXP(-LN(2)/2)*AW42+(1-EXP(-LN(2)/2))/(LN(2)/2)*AQ43*AT43*VLOOKUP('Données projet'!$B$10,Paramètres!$A$1:$I$89,3,0)*0.475*44/12</f>
        <v>0.36967878231512707</v>
      </c>
      <c r="AX43" s="21">
        <f t="shared" si="6"/>
        <v>30.245721391152671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274.78375889702613</v>
      </c>
      <c r="T44" s="59">
        <f t="shared" si="34"/>
        <v>180.48047802041276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5.8778098044571978</v>
      </c>
      <c r="AA44" s="21">
        <f>EXP(-LN(2)/25)*AA43+(1-EXP(-LN(2)/25))/(LN(2)/25)*Calculateur!V44*Calculateur!X44*VLOOKUP('Données projet'!$B$9,Paramètres!$A$1:$I$89,3,0)*0.475*44/12</f>
        <v>6.9030932144580266</v>
      </c>
      <c r="AB44" s="21">
        <f>EXP(-LN(2)/2)*AB43+(1-EXP(-LN(2)/2))/(LN(2)/2)*V44*Y44*VLOOKUP('Données projet'!$B$9,Paramètres!$A$1:$I$89,3,0)*0.475*44/12</f>
        <v>0.18859493750664474</v>
      </c>
      <c r="AC44" s="22">
        <f t="shared" si="3"/>
        <v>12.96949795642187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234.39999999999992</v>
      </c>
      <c r="AJ44" s="13">
        <f>AI44*VLOOKUP('Données projet'!$B$10,Paramètres!$A$1:$I$89,3,0)*VLOOKUP('Données projet'!$B$10,Paramètres!$A$1:$I$89,5,0)</f>
        <v>186.48863999999995</v>
      </c>
      <c r="AK44" s="13">
        <f t="shared" si="35"/>
        <v>46.762800221578807</v>
      </c>
      <c r="AL44" s="20">
        <f t="shared" si="4"/>
        <v>406.24625838591629</v>
      </c>
      <c r="AM44" s="59">
        <f t="shared" si="5"/>
        <v>699.57959171924961</v>
      </c>
      <c r="AN44" s="59">
        <f ca="1">AVERAGE(OFFSET($AM$3,0,0,'Données projet'!$E$10+1,1))-AVERAGE(OFFSET($H$3,0,0,'Données projet'!$E$10+1,1))</f>
        <v>295.36463140471733</v>
      </c>
      <c r="AO44" s="59">
        <f t="shared" si="36"/>
        <v>295.34177980841878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13.925099202207683</v>
      </c>
      <c r="AV44" s="21">
        <f>EXP(-LN(2)/25)*AV43+(1-EXP(-LN(2)/25))/(LN(2)/25)*Calculateur!AQ44*Calculateur!AS44*VLOOKUP('Données projet'!$B$10,Paramètres!$A$1:$I$89,3,0)*0.475*44/12</f>
        <v>15.24385588919691</v>
      </c>
      <c r="AW44" s="21">
        <f>EXP(-LN(2)/2)*AW43+(1-EXP(-LN(2)/2))/(LN(2)/2)*AQ44*AT44*VLOOKUP('Données projet'!$B$10,Paramètres!$A$1:$I$89,3,0)*0.475*44/12</f>
        <v>0.26140237383581189</v>
      </c>
      <c r="AX44" s="21">
        <f t="shared" si="6"/>
        <v>29.430357465240402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274.78375889702613</v>
      </c>
      <c r="T45" s="59">
        <f t="shared" si="34"/>
        <v>180.48047802041276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5.7625495393017729</v>
      </c>
      <c r="AA45" s="21">
        <f>EXP(-LN(2)/25)*AA44+(1-EXP(-LN(2)/25))/(LN(2)/25)*Calculateur!V45*Calculateur!X45*VLOOKUP('Données projet'!$B$9,Paramètres!$A$1:$I$89,3,0)*0.475*44/12</f>
        <v>6.7143277674907766</v>
      </c>
      <c r="AB45" s="21">
        <f>EXP(-LN(2)/2)*AB44+(1-EXP(-LN(2)/2))/(LN(2)/2)*V45*Y45*VLOOKUP('Données projet'!$B$9,Paramètres!$A$1:$I$89,3,0)*0.475*44/12</f>
        <v>0.13335675920840165</v>
      </c>
      <c r="AC45" s="22">
        <f t="shared" si="3"/>
        <v>12.610234066000951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245.79999999999993</v>
      </c>
      <c r="AJ45" s="13">
        <f>AI45*VLOOKUP('Données projet'!$B$10,Paramètres!$A$1:$I$89,3,0)*VLOOKUP('Données projet'!$B$10,Paramètres!$A$1:$I$89,5,0)</f>
        <v>195.55847999999995</v>
      </c>
      <c r="AK45" s="13">
        <f t="shared" si="35"/>
        <v>48.766783903364477</v>
      </c>
      <c r="AL45" s="20">
        <f t="shared" si="4"/>
        <v>425.53316796502639</v>
      </c>
      <c r="AM45" s="59">
        <f t="shared" si="5"/>
        <v>718.86650129835971</v>
      </c>
      <c r="AN45" s="59">
        <f ca="1">AVERAGE(OFFSET($AM$3,0,0,'Données projet'!$E$10+1,1))-AVERAGE(OFFSET($H$3,0,0,'Données projet'!$E$10+1,1))</f>
        <v>295.36463140471733</v>
      </c>
      <c r="AO45" s="59">
        <f t="shared" si="36"/>
        <v>295.34177980841878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13.652036500324243</v>
      </c>
      <c r="AV45" s="21">
        <f>EXP(-LN(2)/25)*AV44+(1-EXP(-LN(2)/25))/(LN(2)/25)*Calculateur!AQ45*Calculateur!AS45*VLOOKUP('Données projet'!$B$10,Paramètres!$A$1:$I$89,3,0)*0.475*44/12</f>
        <v>14.827011848267279</v>
      </c>
      <c r="AW45" s="21">
        <f>EXP(-LN(2)/2)*AW44+(1-EXP(-LN(2)/2))/(LN(2)/2)*AQ45*AT45*VLOOKUP('Données projet'!$B$10,Paramètres!$A$1:$I$89,3,0)*0.475*44/12</f>
        <v>0.18483939115756354</v>
      </c>
      <c r="AX45" s="21">
        <f t="shared" si="6"/>
        <v>28.663887739749086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274.78375889702613</v>
      </c>
      <c r="T46" s="59">
        <f t="shared" si="34"/>
        <v>180.48047802041276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5.649549457644226</v>
      </c>
      <c r="AA46" s="21">
        <f>EXP(-LN(2)/25)*AA45+(1-EXP(-LN(2)/25))/(LN(2)/25)*Calculateur!V46*Calculateur!X46*VLOOKUP('Données projet'!$B$9,Paramètres!$A$1:$I$89,3,0)*0.475*44/12</f>
        <v>6.53072412159759</v>
      </c>
      <c r="AB46" s="21">
        <f>EXP(-LN(2)/2)*AB45+(1-EXP(-LN(2)/2))/(LN(2)/2)*V46*Y46*VLOOKUP('Données projet'!$B$9,Paramètres!$A$1:$I$89,3,0)*0.475*44/12</f>
        <v>9.4297468753322372E-2</v>
      </c>
      <c r="AC46" s="22">
        <f t="shared" si="3"/>
        <v>12.274571047995138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257.19999999999993</v>
      </c>
      <c r="AJ46" s="13">
        <f>AI46*VLOOKUP('Données projet'!$B$10,Paramètres!$A$1:$I$89,3,0)*VLOOKUP('Données projet'!$B$10,Paramètres!$A$1:$I$89,5,0)</f>
        <v>204.62831999999995</v>
      </c>
      <c r="AK46" s="13">
        <f t="shared" si="35"/>
        <v>50.759974072251445</v>
      </c>
      <c r="AL46" s="20">
        <f t="shared" si="4"/>
        <v>444.80127884250447</v>
      </c>
      <c r="AM46" s="59">
        <f t="shared" si="5"/>
        <v>738.13461217583779</v>
      </c>
      <c r="AN46" s="59">
        <f ca="1">AVERAGE(OFFSET($AM$3,0,0,'Données projet'!$E$10+1,1))-AVERAGE(OFFSET($H$3,0,0,'Données projet'!$E$10+1,1))</f>
        <v>295.36463140471733</v>
      </c>
      <c r="AO46" s="59">
        <f t="shared" si="36"/>
        <v>295.34177980841878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13.384328391472934</v>
      </c>
      <c r="AV46" s="21">
        <f>EXP(-LN(2)/25)*AV45+(1-EXP(-LN(2)/25))/(LN(2)/25)*Calculateur!AQ46*Calculateur!AS46*VLOOKUP('Données projet'!$B$10,Paramètres!$A$1:$I$89,3,0)*0.475*44/12</f>
        <v>14.421566429557744</v>
      </c>
      <c r="AW46" s="21">
        <f>EXP(-LN(2)/2)*AW45+(1-EXP(-LN(2)/2))/(LN(2)/2)*AQ46*AT46*VLOOKUP('Données projet'!$B$10,Paramètres!$A$1:$I$89,3,0)*0.475*44/12</f>
        <v>0.13070118691790594</v>
      </c>
      <c r="AX46" s="21">
        <f t="shared" si="6"/>
        <v>27.936596007948584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274.78375889702613</v>
      </c>
      <c r="T47" s="59">
        <f t="shared" si="34"/>
        <v>180.48047802041276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5.5387652386647392</v>
      </c>
      <c r="AA47" s="21">
        <f>EXP(-LN(2)/25)*AA46+(1-EXP(-LN(2)/25))/(LN(2)/25)*Calculateur!V47*Calculateur!X47*VLOOKUP('Données projet'!$B$9,Paramètres!$A$1:$I$89,3,0)*0.475*44/12</f>
        <v>6.3521411270566484</v>
      </c>
      <c r="AB47" s="21">
        <f>EXP(-LN(2)/2)*AB46+(1-EXP(-LN(2)/2))/(LN(2)/2)*V47*Y47*VLOOKUP('Données projet'!$B$9,Paramètres!$A$1:$I$89,3,0)*0.475*44/12</f>
        <v>6.6678379604200824E-2</v>
      </c>
      <c r="AC47" s="22">
        <f t="shared" si="3"/>
        <v>11.957584745325589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268.59999999999991</v>
      </c>
      <c r="AJ47" s="13">
        <f>AI47*VLOOKUP('Données projet'!$B$10,Paramètres!$A$1:$I$89,3,0)*VLOOKUP('Données projet'!$B$10,Paramètres!$A$1:$I$89,5,0)</f>
        <v>213.69815999999994</v>
      </c>
      <c r="AK47" s="13">
        <f t="shared" si="35"/>
        <v>52.742903801874164</v>
      </c>
      <c r="AL47" s="20">
        <f t="shared" si="4"/>
        <v>464.05151945493071</v>
      </c>
      <c r="AM47" s="59">
        <f t="shared" si="5"/>
        <v>757.38485278826397</v>
      </c>
      <c r="AN47" s="59">
        <f ca="1">AVERAGE(OFFSET($AM$3,0,0,'Données projet'!$E$10+1,1))-AVERAGE(OFFSET($H$3,0,0,'Données projet'!$E$10+1,1))</f>
        <v>295.36463140471733</v>
      </c>
      <c r="AO47" s="59">
        <f t="shared" si="36"/>
        <v>295.34177980841878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13.121869875350377</v>
      </c>
      <c r="AV47" s="21">
        <f>EXP(-LN(2)/25)*AV46+(1-EXP(-LN(2)/25))/(LN(2)/25)*Calculateur!AQ47*Calculateur!AS47*VLOOKUP('Données projet'!$B$10,Paramètres!$A$1:$I$89,3,0)*0.475*44/12</f>
        <v>14.02720793714427</v>
      </c>
      <c r="AW47" s="21">
        <f>EXP(-LN(2)/2)*AW46+(1-EXP(-LN(2)/2))/(LN(2)/2)*AQ47*AT47*VLOOKUP('Données projet'!$B$10,Paramètres!$A$1:$I$89,3,0)*0.475*44/12</f>
        <v>9.2419695578781769E-2</v>
      </c>
      <c r="AX47" s="21">
        <f t="shared" si="6"/>
        <v>27.241497508073429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274.78375889702613</v>
      </c>
      <c r="T48" s="59">
        <f t="shared" si="34"/>
        <v>180.48047802041276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5.4301534306477386</v>
      </c>
      <c r="AA48" s="21">
        <f>EXP(-LN(2)/25)*AA47+(1-EXP(-LN(2)/25))/(LN(2)/25)*Calculateur!V48*Calculateur!X48*VLOOKUP('Données projet'!$B$9,Paramètres!$A$1:$I$89,3,0)*0.475*44/12</f>
        <v>6.1784414938927004</v>
      </c>
      <c r="AB48" s="21">
        <f>EXP(-LN(2)/2)*AB47+(1-EXP(-LN(2)/2))/(LN(2)/2)*V48*Y48*VLOOKUP('Données projet'!$B$9,Paramètres!$A$1:$I$89,3,0)*0.475*44/12</f>
        <v>4.7148734376661186E-2</v>
      </c>
      <c r="AC48" s="22">
        <f t="shared" si="3"/>
        <v>11.6557436589171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280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279.99999999999989</v>
      </c>
      <c r="AJ48" s="13">
        <f>AI48*VLOOKUP('Données projet'!$B$10,Paramètres!$A$1:$I$89,3,0)*VLOOKUP('Données projet'!$B$10,Paramètres!$A$1:$I$89,5,0)</f>
        <v>222.76799999999994</v>
      </c>
      <c r="AK48" s="13">
        <f t="shared" si="35"/>
        <v>54.716058356609508</v>
      </c>
      <c r="AL48" s="20">
        <f t="shared" si="4"/>
        <v>483.28473497109485</v>
      </c>
      <c r="AM48" s="59">
        <f t="shared" si="5"/>
        <v>776.61806830442811</v>
      </c>
      <c r="AN48" s="59">
        <f ca="1">AVERAGE(OFFSET($AM$3,0,0,'Données projet'!$E$10+1,1))-AVERAGE(OFFSET($H$3,0,0,'Données projet'!$E$10+1,1))</f>
        <v>295.36463140471733</v>
      </c>
      <c r="AO48" s="59">
        <f t="shared" si="36"/>
        <v>295.34177980841878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26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12.864558010645096</v>
      </c>
      <c r="AV48" s="21">
        <f>EXP(-LN(2)/25)*AV47+(1-EXP(-LN(2)/25))/(LN(2)/25)*Calculateur!AQ48*Calculateur!AS48*VLOOKUP('Données projet'!$B$10,Paramètres!$A$1:$I$89,3,0)*0.475*44/12</f>
        <v>13.643633198444254</v>
      </c>
      <c r="AW48" s="21">
        <f>EXP(-LN(2)/2)*AW47+(1-EXP(-LN(2)/2))/(LN(2)/2)*AQ48*AT48*VLOOKUP('Données projet'!$B$10,Paramètres!$A$1:$I$89,3,0)*0.475*44/12</f>
        <v>6.5350593458952971E-2</v>
      </c>
      <c r="AX48" s="21">
        <f t="shared" si="6"/>
        <v>26.573541802548302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274.78375889702613</v>
      </c>
      <c r="T49" s="59">
        <f t="shared" si="34"/>
        <v>180.48047802041276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5.3236714339392899</v>
      </c>
      <c r="AA49" s="21">
        <f>EXP(-LN(2)/25)*AA48+(1-EXP(-LN(2)/25))/(LN(2)/25)*Calculateur!V49*Calculateur!X49*VLOOKUP('Données projet'!$B$9,Paramètres!$A$1:$I$89,3,0)*0.475*44/12</f>
        <v>6.0094916863320877</v>
      </c>
      <c r="AB49" s="21">
        <f>EXP(-LN(2)/2)*AB48+(1-EXP(-LN(2)/2))/(LN(2)/2)*V49*Y49*VLOOKUP('Données projet'!$B$9,Paramètres!$A$1:$I$89,3,0)*0.475*44/12</f>
        <v>3.3339189802100412E-2</v>
      </c>
      <c r="AC49" s="22">
        <f t="shared" si="3"/>
        <v>11.366502310073479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9.8000000000000007</v>
      </c>
      <c r="AI49" s="13">
        <f>IF('Données projet'!$A$62&gt;35,AI48+AH49-AQ48,IF(A49&lt;'Données projet'!$A$62,$AF$205^A49,IF(A49='Données projet'!$A$62,'Données projet'!$B$62,AI48+AH49-AQ48)))</f>
        <v>263.7999999999999</v>
      </c>
      <c r="AJ49" s="13">
        <f>AI49*VLOOKUP('Données projet'!$B$10,Paramètres!$A$1:$I$89,3,0)*VLOOKUP('Données projet'!$B$10,Paramètres!$A$1:$I$89,5,0)</f>
        <v>209.87927999999994</v>
      </c>
      <c r="AK49" s="13">
        <f t="shared" si="35"/>
        <v>51.909204458241767</v>
      </c>
      <c r="AL49" s="20">
        <f t="shared" si="4"/>
        <v>455.94827709810426</v>
      </c>
      <c r="AM49" s="59">
        <f t="shared" si="5"/>
        <v>749.28161043143757</v>
      </c>
      <c r="AN49" s="59">
        <f ca="1">AVERAGE(OFFSET($AM$3,0,0,'Données projet'!$E$10+1,1))-AVERAGE(OFFSET($H$3,0,0,'Données projet'!$E$10+1,1))</f>
        <v>295.36463140471733</v>
      </c>
      <c r="AO49" s="59">
        <f t="shared" si="36"/>
        <v>295.34177980841878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12.612291874661944</v>
      </c>
      <c r="AV49" s="21">
        <f>EXP(-LN(2)/25)*AV48+(1-EXP(-LN(2)/25))/(LN(2)/25)*Calculateur!AQ49*Calculateur!AS49*VLOOKUP('Données projet'!$B$10,Paramètres!$A$1:$I$89,3,0)*0.475*44/12</f>
        <v>13.270547331145309</v>
      </c>
      <c r="AW49" s="21">
        <f>EXP(-LN(2)/2)*AW48+(1-EXP(-LN(2)/2))/(LN(2)/2)*AQ49*AT49*VLOOKUP('Données projet'!$B$10,Paramètres!$A$1:$I$89,3,0)*0.475*44/12</f>
        <v>4.6209847789390884E-2</v>
      </c>
      <c r="AX49" s="21">
        <f t="shared" si="6"/>
        <v>25.929049053596643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274.78375889702613</v>
      </c>
      <c r="T50" s="59">
        <f t="shared" si="34"/>
        <v>180.48047802041276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5.2192774842386891</v>
      </c>
      <c r="AA50" s="21">
        <f>EXP(-LN(2)/25)*AA49+(1-EXP(-LN(2)/25))/(LN(2)/25)*Calculateur!V50*Calculateur!X50*VLOOKUP('Données projet'!$B$9,Paramètres!$A$1:$I$89,3,0)*0.475*44/12</f>
        <v>5.845161820143904</v>
      </c>
      <c r="AB50" s="21">
        <f>EXP(-LN(2)/2)*AB49+(1-EXP(-LN(2)/2))/(LN(2)/2)*V50*Y50*VLOOKUP('Données projet'!$B$9,Paramètres!$A$1:$I$89,3,0)*0.475*44/12</f>
        <v>2.3574367188330593E-2</v>
      </c>
      <c r="AC50" s="22">
        <f t="shared" si="3"/>
        <v>11.088013671570923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9.8000000000000007</v>
      </c>
      <c r="AI50" s="13">
        <f>IF('Données projet'!$A$62&gt;35,AI49+AH50-AQ49,IF(A50&lt;'Données projet'!$A$62,$AF$205^A50,IF(A50='Données projet'!$A$62,'Données projet'!$B$62,AI49+AH50-AQ49)))</f>
        <v>273.59999999999991</v>
      </c>
      <c r="AJ50" s="13">
        <f>AI50*VLOOKUP('Données projet'!$B$10,Paramètres!$A$1:$I$89,3,0)*VLOOKUP('Données projet'!$B$10,Paramètres!$A$1:$I$89,5,0)</f>
        <v>217.67615999999992</v>
      </c>
      <c r="AK50" s="13">
        <f t="shared" si="35"/>
        <v>53.609498850196708</v>
      </c>
      <c r="AL50" s="20">
        <f t="shared" si="4"/>
        <v>472.48918916409235</v>
      </c>
      <c r="AM50" s="59">
        <f t="shared" si="5"/>
        <v>765.82252249742567</v>
      </c>
      <c r="AN50" s="59">
        <f ca="1">AVERAGE(OFFSET($AM$3,0,0,'Données projet'!$E$10+1,1))-AVERAGE(OFFSET($H$3,0,0,'Données projet'!$E$10+1,1))</f>
        <v>295.36463140471733</v>
      </c>
      <c r="AO50" s="59">
        <f t="shared" si="36"/>
        <v>295.34177980841878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12.364972523738272</v>
      </c>
      <c r="AV50" s="21">
        <f>EXP(-LN(2)/25)*AV49+(1-EXP(-LN(2)/25))/(LN(2)/25)*Calculateur!AQ50*Calculateur!AS50*VLOOKUP('Données projet'!$B$10,Paramètres!$A$1:$I$89,3,0)*0.475*44/12</f>
        <v>12.907663516507387</v>
      </c>
      <c r="AW50" s="21">
        <f>EXP(-LN(2)/2)*AW49+(1-EXP(-LN(2)/2))/(LN(2)/2)*AQ50*AT50*VLOOKUP('Données projet'!$B$10,Paramètres!$A$1:$I$89,3,0)*0.475*44/12</f>
        <v>3.2675296729476486E-2</v>
      </c>
      <c r="AX50" s="21">
        <f t="shared" si="6"/>
        <v>25.305311336975134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274.78375889702613</v>
      </c>
      <c r="T51" s="59">
        <f t="shared" si="34"/>
        <v>180.48047802041276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5.1169306362176945</v>
      </c>
      <c r="AA51" s="21">
        <f>EXP(-LN(2)/25)*AA50+(1-EXP(-LN(2)/25))/(LN(2)/25)*Calculateur!V51*Calculateur!X51*VLOOKUP('Données projet'!$B$9,Paramètres!$A$1:$I$89,3,0)*0.475*44/12</f>
        <v>5.6853255627883676</v>
      </c>
      <c r="AB51" s="21">
        <f>EXP(-LN(2)/2)*AB50+(1-EXP(-LN(2)/2))/(LN(2)/2)*V51*Y51*VLOOKUP('Données projet'!$B$9,Paramètres!$A$1:$I$89,3,0)*0.475*44/12</f>
        <v>1.6669594901050206E-2</v>
      </c>
      <c r="AC51" s="22">
        <f t="shared" si="3"/>
        <v>10.818925793907113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9.8000000000000007</v>
      </c>
      <c r="AI51" s="13">
        <f>IF('Données projet'!$A$62&gt;35,AI50+AH51-AQ50,IF(A51&lt;'Données projet'!$A$62,$AF$205^A51,IF(A51='Données projet'!$A$62,'Données projet'!$B$62,AI50+AH51-AQ50)))</f>
        <v>283.39999999999992</v>
      </c>
      <c r="AJ51" s="13">
        <f>AI51*VLOOKUP('Données projet'!$B$10,Paramètres!$A$1:$I$89,3,0)*VLOOKUP('Données projet'!$B$10,Paramètres!$A$1:$I$89,5,0)</f>
        <v>225.47303999999994</v>
      </c>
      <c r="AK51" s="13">
        <f t="shared" si="35"/>
        <v>55.302717367103824</v>
      </c>
      <c r="AL51" s="20">
        <f t="shared" si="4"/>
        <v>489.0177774143724</v>
      </c>
      <c r="AM51" s="59">
        <f t="shared" si="5"/>
        <v>782.35111074770566</v>
      </c>
      <c r="AN51" s="59">
        <f ca="1">AVERAGE(OFFSET($AM$3,0,0,'Données projet'!$E$10+1,1))-AVERAGE(OFFSET($H$3,0,0,'Données projet'!$E$10+1,1))</f>
        <v>295.36463140471733</v>
      </c>
      <c r="AO51" s="59">
        <f t="shared" si="36"/>
        <v>295.34177980841878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12.122502954436305</v>
      </c>
      <c r="AV51" s="21">
        <f>EXP(-LN(2)/25)*AV50+(1-EXP(-LN(2)/25))/(LN(2)/25)*Calculateur!AQ51*Calculateur!AS51*VLOOKUP('Données projet'!$B$10,Paramètres!$A$1:$I$89,3,0)*0.475*44/12</f>
        <v>12.55470277886397</v>
      </c>
      <c r="AW51" s="21">
        <f>EXP(-LN(2)/2)*AW50+(1-EXP(-LN(2)/2))/(LN(2)/2)*AQ51*AT51*VLOOKUP('Données projet'!$B$10,Paramètres!$A$1:$I$89,3,0)*0.475*44/12</f>
        <v>2.3104923894695442E-2</v>
      </c>
      <c r="AX51" s="21">
        <f t="shared" si="6"/>
        <v>24.700310657194972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274.78375889702613</v>
      </c>
      <c r="T52" s="59">
        <f t="shared" si="34"/>
        <v>180.48047802041276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5.0165907474609783</v>
      </c>
      <c r="AA52" s="21">
        <f>EXP(-LN(2)/25)*AA51+(1-EXP(-LN(2)/25))/(LN(2)/25)*Calculateur!V52*Calculateur!X52*VLOOKUP('Données projet'!$B$9,Paramètres!$A$1:$I$89,3,0)*0.475*44/12</f>
        <v>5.5298600362956423</v>
      </c>
      <c r="AB52" s="21">
        <f>EXP(-LN(2)/2)*AB51+(1-EXP(-LN(2)/2))/(LN(2)/2)*V52*Y52*VLOOKUP('Données projet'!$B$9,Paramètres!$A$1:$I$89,3,0)*0.475*44/12</f>
        <v>1.1787183594165297E-2</v>
      </c>
      <c r="AC52" s="22">
        <f t="shared" si="3"/>
        <v>10.558237967350786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9.8000000000000007</v>
      </c>
      <c r="AI52" s="13">
        <f>IF('Données projet'!$A$62&gt;35,AI51+AH52-AQ51,IF(A52&lt;'Données projet'!$A$62,$AF$205^A52,IF(A52='Données projet'!$A$62,'Données projet'!$B$62,AI51+AH52-AQ51)))</f>
        <v>293.19999999999993</v>
      </c>
      <c r="AJ52" s="13">
        <f>AI52*VLOOKUP('Données projet'!$B$10,Paramètres!$A$1:$I$89,3,0)*VLOOKUP('Données projet'!$B$10,Paramètres!$A$1:$I$89,5,0)</f>
        <v>233.26991999999993</v>
      </c>
      <c r="AK52" s="13">
        <f t="shared" si="35"/>
        <v>56.989132736134763</v>
      </c>
      <c r="AL52" s="20">
        <f t="shared" si="4"/>
        <v>505.53451684876785</v>
      </c>
      <c r="AM52" s="59">
        <f t="shared" si="5"/>
        <v>798.86785018210117</v>
      </c>
      <c r="AN52" s="59">
        <f ca="1">AVERAGE(OFFSET($AM$3,0,0,'Données projet'!$E$10+1,1))-AVERAGE(OFFSET($H$3,0,0,'Données projet'!$E$10+1,1))</f>
        <v>295.36463140471733</v>
      </c>
      <c r="AO52" s="59">
        <f t="shared" si="36"/>
        <v>295.34177980841878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11.884788065496515</v>
      </c>
      <c r="AV52" s="21">
        <f>EXP(-LN(2)/25)*AV51+(1-EXP(-LN(2)/25))/(LN(2)/25)*Calculateur!AQ52*Calculateur!AS52*VLOOKUP('Données projet'!$B$10,Paramètres!$A$1:$I$89,3,0)*0.475*44/12</f>
        <v>12.21139377115281</v>
      </c>
      <c r="AW52" s="21">
        <f>EXP(-LN(2)/2)*AW51+(1-EXP(-LN(2)/2))/(LN(2)/2)*AQ52*AT52*VLOOKUP('Données projet'!$B$10,Paramètres!$A$1:$I$89,3,0)*0.475*44/12</f>
        <v>1.6337648364738243E-2</v>
      </c>
      <c r="AX52" s="21">
        <f t="shared" si="6"/>
        <v>24.112519485014065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274.78375889702613</v>
      </c>
      <c r="T53" s="59">
        <f t="shared" si="34"/>
        <v>180.48047802041276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4.9182184627214927</v>
      </c>
      <c r="AA53" s="21">
        <f>EXP(-LN(2)/25)*AA52+(1-EXP(-LN(2)/25))/(LN(2)/25)*Calculateur!V53*Calculateur!X53*VLOOKUP('Données projet'!$B$9,Paramètres!$A$1:$I$89,3,0)*0.475*44/12</f>
        <v>5.378645722800437</v>
      </c>
      <c r="AB53" s="21">
        <f>EXP(-LN(2)/2)*AB52+(1-EXP(-LN(2)/2))/(LN(2)/2)*V53*Y53*VLOOKUP('Données projet'!$B$9,Paramètres!$A$1:$I$89,3,0)*0.475*44/12</f>
        <v>8.334797450525103E-3</v>
      </c>
      <c r="AC53" s="22">
        <f t="shared" si="3"/>
        <v>10.305198982972454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303</v>
      </c>
      <c r="AG53" s="12">
        <f>VLOOKUP(A53,'Données projet'!$A$61:$I$81,9,0)</f>
        <v>9.8000000000000007</v>
      </c>
      <c r="AH53" s="12">
        <f t="array" ref="AH53">INDEX(AG:AG,MIN(IF(ISNUMBER(AG53:AG249),ROW(AG53:AG249),"")))</f>
        <v>9.8000000000000007</v>
      </c>
      <c r="AI53" s="13">
        <f>IF('Données projet'!$A$62&gt;35,AI52+AH53-AQ52,IF(A53&lt;'Données projet'!$A$62,$AF$205^A53,IF(A53='Données projet'!$A$62,'Données projet'!$B$62,AI52+AH53-AQ52)))</f>
        <v>302.99999999999994</v>
      </c>
      <c r="AJ53" s="13">
        <f>AI53*VLOOKUP('Données projet'!$B$10,Paramètres!$A$1:$I$89,3,0)*VLOOKUP('Données projet'!$B$10,Paramètres!$A$1:$I$89,5,0)</f>
        <v>241.06679999999997</v>
      </c>
      <c r="AK53" s="13">
        <f t="shared" si="35"/>
        <v>58.668998418543559</v>
      </c>
      <c r="AL53" s="20">
        <f t="shared" si="4"/>
        <v>522.03984891229663</v>
      </c>
      <c r="AM53" s="59">
        <f t="shared" si="5"/>
        <v>815.37318224563001</v>
      </c>
      <c r="AN53" s="59">
        <f ca="1">AVERAGE(OFFSET($AM$3,0,0,'Données projet'!$E$10+1,1))-AVERAGE(OFFSET($H$3,0,0,'Données projet'!$E$10+1,1))</f>
        <v>295.36463140471733</v>
      </c>
      <c r="AO53" s="59">
        <f t="shared" si="36"/>
        <v>295.34177980841878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11.651734620537068</v>
      </c>
      <c r="AV53" s="21">
        <f>EXP(-LN(2)/25)*AV52+(1-EXP(-LN(2)/25))/(LN(2)/25)*Calculateur!AQ53*Calculateur!AS53*VLOOKUP('Données projet'!$B$10,Paramètres!$A$1:$I$89,3,0)*0.475*44/12</f>
        <v>11.877472566311347</v>
      </c>
      <c r="AW53" s="21">
        <f>EXP(-LN(2)/2)*AW52+(1-EXP(-LN(2)/2))/(LN(2)/2)*AQ53*AT53*VLOOKUP('Données projet'!$B$10,Paramètres!$A$1:$I$89,3,0)*0.475*44/12</f>
        <v>1.1552461947347721E-2</v>
      </c>
      <c r="AX53" s="21">
        <f t="shared" si="6"/>
        <v>23.540759648795763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274.78375889702613</v>
      </c>
      <c r="T54" s="59">
        <f t="shared" si="34"/>
        <v>180.48047802041276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4.8217751984845787</v>
      </c>
      <c r="AA54" s="21">
        <f>EXP(-LN(2)/25)*AA53+(1-EXP(-LN(2)/25))/(LN(2)/25)*Calculateur!V54*Calculateur!X54*VLOOKUP('Données projet'!$B$9,Paramètres!$A$1:$I$89,3,0)*0.475*44/12</f>
        <v>5.2315663726597732</v>
      </c>
      <c r="AB54" s="21">
        <f>EXP(-LN(2)/2)*AB53+(1-EXP(-LN(2)/2))/(LN(2)/2)*V54*Y54*VLOOKUP('Données projet'!$B$9,Paramètres!$A$1:$I$89,3,0)*0.475*44/12</f>
        <v>5.8935917970826483E-3</v>
      </c>
      <c r="AC54" s="22">
        <f t="shared" si="3"/>
        <v>10.059235162941434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8.4</v>
      </c>
      <c r="AI54" s="13">
        <f>IF('Données projet'!$A$62&gt;35,AI53+AH54-AQ53,IF(A54&lt;'Données projet'!$A$62,$AF$205^A54,IF(A54='Données projet'!$A$62,'Données projet'!$B$62,AI53+AH54-AQ53)))</f>
        <v>290.39999999999992</v>
      </c>
      <c r="AJ54" s="13">
        <f>AI54*VLOOKUP('Données projet'!$B$10,Paramètres!$A$1:$I$89,3,0)*VLOOKUP('Données projet'!$B$10,Paramètres!$A$1:$I$89,5,0)</f>
        <v>231.04223999999994</v>
      </c>
      <c r="AK54" s="13">
        <f t="shared" si="35"/>
        <v>56.507978852931409</v>
      </c>
      <c r="AL54" s="20">
        <f t="shared" si="4"/>
        <v>500.81663116885539</v>
      </c>
      <c r="AM54" s="59">
        <f t="shared" si="5"/>
        <v>794.14996450218871</v>
      </c>
      <c r="AN54" s="59">
        <f ca="1">AVERAGE(OFFSET($AM$3,0,0,'Données projet'!$E$10+1,1))-AVERAGE(OFFSET($H$3,0,0,'Données projet'!$E$10+1,1))</f>
        <v>295.36463140471733</v>
      </c>
      <c r="AO54" s="59">
        <f t="shared" si="36"/>
        <v>295.34177980841878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11.423251211484711</v>
      </c>
      <c r="AV54" s="21">
        <f>EXP(-LN(2)/25)*AV53+(1-EXP(-LN(2)/25))/(LN(2)/25)*Calculateur!AQ54*Calculateur!AS54*VLOOKUP('Données projet'!$B$10,Paramètres!$A$1:$I$89,3,0)*0.475*44/12</f>
        <v>11.552682454376427</v>
      </c>
      <c r="AW54" s="21">
        <f>EXP(-LN(2)/2)*AW53+(1-EXP(-LN(2)/2))/(LN(2)/2)*AQ54*AT54*VLOOKUP('Données projet'!$B$10,Paramètres!$A$1:$I$89,3,0)*0.475*44/12</f>
        <v>8.1688241823691214E-3</v>
      </c>
      <c r="AX54" s="21">
        <f t="shared" si="6"/>
        <v>22.984102490043508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274.78375889702613</v>
      </c>
      <c r="T55" s="59">
        <f t="shared" si="34"/>
        <v>180.48047802041276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4.7272231278347681</v>
      </c>
      <c r="AA55" s="21">
        <f>EXP(-LN(2)/25)*AA54+(1-EXP(-LN(2)/25))/(LN(2)/25)*Calculateur!V55*Calculateur!X55*VLOOKUP('Données projet'!$B$9,Paramètres!$A$1:$I$89,3,0)*0.475*44/12</f>
        <v>5.0885089150832732</v>
      </c>
      <c r="AB55" s="21">
        <f>EXP(-LN(2)/2)*AB54+(1-EXP(-LN(2)/2))/(LN(2)/2)*V55*Y55*VLOOKUP('Données projet'!$B$9,Paramètres!$A$1:$I$89,3,0)*0.475*44/12</f>
        <v>4.1673987252625515E-3</v>
      </c>
      <c r="AC55" s="22">
        <f t="shared" si="3"/>
        <v>9.8198994416433045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8.4</v>
      </c>
      <c r="AI55" s="13">
        <f>IF('Données projet'!$A$62&gt;35,AI54+AH55-AQ54,IF(A55&lt;'Données projet'!$A$62,$AF$205^A55,IF(A55='Données projet'!$A$62,'Données projet'!$B$62,AI54+AH55-AQ54)))</f>
        <v>298.7999999999999</v>
      </c>
      <c r="AJ55" s="13">
        <f>AI55*VLOOKUP('Données projet'!$B$10,Paramètres!$A$1:$I$89,3,0)*VLOOKUP('Données projet'!$B$10,Paramètres!$A$1:$I$89,5,0)</f>
        <v>237.72527999999994</v>
      </c>
      <c r="AK55" s="13">
        <f t="shared" si="35"/>
        <v>57.949842464086196</v>
      </c>
      <c r="AL55" s="20">
        <f t="shared" si="4"/>
        <v>514.96750495828326</v>
      </c>
      <c r="AM55" s="59">
        <f t="shared" si="5"/>
        <v>808.30083829161663</v>
      </c>
      <c r="AN55" s="59">
        <f ca="1">AVERAGE(OFFSET($AM$3,0,0,'Données projet'!$E$10+1,1))-AVERAGE(OFFSET($H$3,0,0,'Données projet'!$E$10+1,1))</f>
        <v>295.36463140471733</v>
      </c>
      <c r="AO55" s="59">
        <f t="shared" si="36"/>
        <v>295.34177980841878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11.199248222722751</v>
      </c>
      <c r="AV55" s="21">
        <f>EXP(-LN(2)/25)*AV54+(1-EXP(-LN(2)/25))/(LN(2)/25)*Calculateur!AQ55*Calculateur!AS55*VLOOKUP('Données projet'!$B$10,Paramètres!$A$1:$I$89,3,0)*0.475*44/12</f>
        <v>11.236773745132338</v>
      </c>
      <c r="AW55" s="21">
        <f>EXP(-LN(2)/2)*AW54+(1-EXP(-LN(2)/2))/(LN(2)/2)*AQ55*AT55*VLOOKUP('Données projet'!$B$10,Paramètres!$A$1:$I$89,3,0)*0.475*44/12</f>
        <v>5.7762309736738605E-3</v>
      </c>
      <c r="AX55" s="21">
        <f t="shared" si="6"/>
        <v>22.441798198828764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274.78375889702613</v>
      </c>
      <c r="T56" s="59">
        <f t="shared" si="34"/>
        <v>180.48047802041276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4.6345251656193316</v>
      </c>
      <c r="AA56" s="21">
        <f>EXP(-LN(2)/25)*AA55+(1-EXP(-LN(2)/25))/(LN(2)/25)*Calculateur!V56*Calculateur!X56*VLOOKUP('Données projet'!$B$9,Paramètres!$A$1:$I$89,3,0)*0.475*44/12</f>
        <v>4.9493633712072675</v>
      </c>
      <c r="AB56" s="21">
        <f>EXP(-LN(2)/2)*AB55+(1-EXP(-LN(2)/2))/(LN(2)/2)*V56*Y56*VLOOKUP('Données projet'!$B$9,Paramètres!$A$1:$I$89,3,0)*0.475*44/12</f>
        <v>2.9467958985413241E-3</v>
      </c>
      <c r="AC56" s="22">
        <f t="shared" si="3"/>
        <v>9.5868353327251405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8.4</v>
      </c>
      <c r="AI56" s="13">
        <f>IF('Données projet'!$A$62&gt;35,AI55+AH56-AQ55,IF(A56&lt;'Données projet'!$A$62,$AF$205^A56,IF(A56='Données projet'!$A$62,'Données projet'!$B$62,AI55+AH56-AQ55)))</f>
        <v>307.19999999999987</v>
      </c>
      <c r="AJ56" s="13">
        <f>AI56*VLOOKUP('Données projet'!$B$10,Paramètres!$A$1:$I$89,3,0)*VLOOKUP('Données projet'!$B$10,Paramètres!$A$1:$I$89,5,0)</f>
        <v>244.40831999999992</v>
      </c>
      <c r="AK56" s="13">
        <f t="shared" si="35"/>
        <v>59.38699493610541</v>
      </c>
      <c r="AL56" s="20">
        <f t="shared" si="4"/>
        <v>529.11017351371675</v>
      </c>
      <c r="AM56" s="59">
        <f t="shared" si="5"/>
        <v>822.44350684705</v>
      </c>
      <c r="AN56" s="59">
        <f ca="1">AVERAGE(OFFSET($AM$3,0,0,'Données projet'!$E$10+1,1))-AVERAGE(OFFSET($H$3,0,0,'Données projet'!$E$10+1,1))</f>
        <v>295.36463140471733</v>
      </c>
      <c r="AO56" s="59">
        <f t="shared" si="36"/>
        <v>295.34177980841878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10.979637795942082</v>
      </c>
      <c r="AV56" s="21">
        <f>EXP(-LN(2)/25)*AV55+(1-EXP(-LN(2)/25))/(LN(2)/25)*Calculateur!AQ56*Calculateur!AS56*VLOOKUP('Données projet'!$B$10,Paramètres!$A$1:$I$89,3,0)*0.475*44/12</f>
        <v>10.929503576155444</v>
      </c>
      <c r="AW56" s="21">
        <f>EXP(-LN(2)/2)*AW55+(1-EXP(-LN(2)/2))/(LN(2)/2)*AQ56*AT56*VLOOKUP('Données projet'!$B$10,Paramètres!$A$1:$I$89,3,0)*0.475*44/12</f>
        <v>4.0844120911845607E-3</v>
      </c>
      <c r="AX56" s="21">
        <f t="shared" si="6"/>
        <v>21.913225784188711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274.78375889702613</v>
      </c>
      <c r="T57" s="59">
        <f t="shared" si="34"/>
        <v>180.48047802041276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4.5436449539027661</v>
      </c>
      <c r="AA57" s="21">
        <f>EXP(-LN(2)/25)*AA56+(1-EXP(-LN(2)/25))/(LN(2)/25)*Calculateur!V57*Calculateur!X57*VLOOKUP('Données projet'!$B$9,Paramètres!$A$1:$I$89,3,0)*0.475*44/12</f>
        <v>4.8140227695458968</v>
      </c>
      <c r="AB57" s="21">
        <f>EXP(-LN(2)/2)*AB56+(1-EXP(-LN(2)/2))/(LN(2)/2)*V57*Y57*VLOOKUP('Données projet'!$B$9,Paramètres!$A$1:$I$89,3,0)*0.475*44/12</f>
        <v>2.0836993626312758E-3</v>
      </c>
      <c r="AC57" s="22">
        <f t="shared" si="3"/>
        <v>9.3597514228112946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8.4</v>
      </c>
      <c r="AI57" s="13">
        <f>IF('Données projet'!$A$62&gt;35,AI56+AH57-AQ56,IF(A57&lt;'Données projet'!$A$62,$AF$205^A57,IF(A57='Données projet'!$A$62,'Données projet'!$B$62,AI56+AH57-AQ56)))</f>
        <v>315.59999999999985</v>
      </c>
      <c r="AJ57" s="13">
        <f>AI57*VLOOKUP('Données projet'!$B$10,Paramètres!$A$1:$I$89,3,0)*VLOOKUP('Données projet'!$B$10,Paramètres!$A$1:$I$89,5,0)</f>
        <v>251.0913599999999</v>
      </c>
      <c r="AK57" s="13">
        <f t="shared" si="35"/>
        <v>60.81957989149403</v>
      </c>
      <c r="AL57" s="20">
        <f t="shared" si="4"/>
        <v>543.24488697768527</v>
      </c>
      <c r="AM57" s="59">
        <f t="shared" si="5"/>
        <v>836.57822031101864</v>
      </c>
      <c r="AN57" s="59">
        <f ca="1">AVERAGE(OFFSET($AM$3,0,0,'Données projet'!$E$10+1,1))-AVERAGE(OFFSET($H$3,0,0,'Données projet'!$E$10+1,1))</f>
        <v>295.36463140471733</v>
      </c>
      <c r="AO57" s="59">
        <f t="shared" si="36"/>
        <v>295.34177980841878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10.764333795681448</v>
      </c>
      <c r="AV57" s="21">
        <f>EXP(-LN(2)/25)*AV56+(1-EXP(-LN(2)/25))/(LN(2)/25)*Calculateur!AQ57*Calculateur!AS57*VLOOKUP('Données projet'!$B$10,Paramètres!$A$1:$I$89,3,0)*0.475*44/12</f>
        <v>10.63063572610786</v>
      </c>
      <c r="AW57" s="21">
        <f>EXP(-LN(2)/2)*AW56+(1-EXP(-LN(2)/2))/(LN(2)/2)*AQ57*AT57*VLOOKUP('Données projet'!$B$10,Paramètres!$A$1:$I$89,3,0)*0.475*44/12</f>
        <v>2.8881154868369303E-3</v>
      </c>
      <c r="AX57" s="21">
        <f t="shared" si="6"/>
        <v>21.397857637276143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274.78375889702613</v>
      </c>
      <c r="T58" s="59">
        <f t="shared" si="34"/>
        <v>180.48047802041276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4.4545468477065064</v>
      </c>
      <c r="AA58" s="21">
        <f>EXP(-LN(2)/25)*AA57+(1-EXP(-LN(2)/25))/(LN(2)/25)*Calculateur!V58*Calculateur!X58*VLOOKUP('Données projet'!$B$9,Paramètres!$A$1:$I$89,3,0)*0.475*44/12</f>
        <v>4.6823830637542097</v>
      </c>
      <c r="AB58" s="21">
        <f>EXP(-LN(2)/2)*AB57+(1-EXP(-LN(2)/2))/(LN(2)/2)*V58*Y58*VLOOKUP('Données projet'!$B$9,Paramètres!$A$1:$I$89,3,0)*0.475*44/12</f>
        <v>1.4733979492706621E-3</v>
      </c>
      <c r="AC58" s="22">
        <f t="shared" si="3"/>
        <v>9.1384033094099859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324</v>
      </c>
      <c r="AG58" s="12">
        <f>VLOOKUP(A58,'Données projet'!$A$61:$I$81,9,0)</f>
        <v>8.4</v>
      </c>
      <c r="AH58" s="12">
        <f t="array" ref="AH58">INDEX(AG:AG,MIN(IF(ISNUMBER(AG58:AG254),ROW(AG58:AG254),"")))</f>
        <v>8.4</v>
      </c>
      <c r="AI58" s="13">
        <f>IF('Données projet'!$A$62&gt;35,AI57+AH58-AQ57,IF(A58&lt;'Données projet'!$A$62,$AF$205^A58,IF(A58='Données projet'!$A$62,'Données projet'!$B$62,AI57+AH58-AQ57)))</f>
        <v>323.99999999999983</v>
      </c>
      <c r="AJ58" s="13">
        <f>AI58*VLOOKUP('Données projet'!$B$10,Paramètres!$A$1:$I$89,3,0)*VLOOKUP('Données projet'!$B$10,Paramètres!$A$1:$I$89,5,0)</f>
        <v>257.7743999999999</v>
      </c>
      <c r="AK58" s="13">
        <f t="shared" si="35"/>
        <v>62.247732872134243</v>
      </c>
      <c r="AL58" s="20">
        <f t="shared" si="4"/>
        <v>557.37188141896695</v>
      </c>
      <c r="AM58" s="59">
        <f t="shared" si="5"/>
        <v>850.70521475230021</v>
      </c>
      <c r="AN58" s="59">
        <f ca="1">AVERAGE(OFFSET($AM$3,0,0,'Données projet'!$E$10+1,1))-AVERAGE(OFFSET($H$3,0,0,'Données projet'!$E$10+1,1))</f>
        <v>295.36463140471733</v>
      </c>
      <c r="AO58" s="59">
        <f t="shared" si="36"/>
        <v>295.34177980841878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18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10.553251775543451</v>
      </c>
      <c r="AV58" s="21">
        <f>EXP(-LN(2)/25)*AV57+(1-EXP(-LN(2)/25))/(LN(2)/25)*Calculateur!AQ58*Calculateur!AS58*VLOOKUP('Données projet'!$B$10,Paramètres!$A$1:$I$89,3,0)*0.475*44/12</f>
        <v>10.339940433136604</v>
      </c>
      <c r="AW58" s="21">
        <f>EXP(-LN(2)/2)*AW57+(1-EXP(-LN(2)/2))/(LN(2)/2)*AQ58*AT58*VLOOKUP('Données projet'!$B$10,Paramètres!$A$1:$I$89,3,0)*0.475*44/12</f>
        <v>2.0422060455922804E-3</v>
      </c>
      <c r="AX58" s="21">
        <f t="shared" si="6"/>
        <v>20.895234414725646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274.78375889702613</v>
      </c>
      <c r="T59" s="59">
        <f t="shared" si="34"/>
        <v>180.48047802041276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4.3671959010282766</v>
      </c>
      <c r="AA59" s="21">
        <f>EXP(-LN(2)/25)*AA58+(1-EXP(-LN(2)/25))/(LN(2)/25)*Calculateur!V59*Calculateur!X59*VLOOKUP('Données projet'!$B$9,Paramètres!$A$1:$I$89,3,0)*0.475*44/12</f>
        <v>4.5543430526400268</v>
      </c>
      <c r="AB59" s="21">
        <f>EXP(-LN(2)/2)*AB58+(1-EXP(-LN(2)/2))/(LN(2)/2)*V59*Y59*VLOOKUP('Données projet'!$B$9,Paramètres!$A$1:$I$89,3,0)*0.475*44/12</f>
        <v>1.0418496813156379E-3</v>
      </c>
      <c r="AC59" s="22">
        <f t="shared" si="3"/>
        <v>8.9225808033496197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7.4</v>
      </c>
      <c r="AI59" s="13">
        <f>IF('Données projet'!$A$62&gt;35,AI58+AH59-AQ58,IF(A59&lt;'Données projet'!$A$62,$AF$205^A59,IF(A59='Données projet'!$A$62,'Données projet'!$B$62,AI58+AH59-AQ58)))</f>
        <v>313.39999999999981</v>
      </c>
      <c r="AJ59" s="13">
        <f>AI59*VLOOKUP('Données projet'!$B$10,Paramètres!$A$1:$I$89,3,0)*VLOOKUP('Données projet'!$B$10,Paramètres!$A$1:$I$89,5,0)</f>
        <v>249.34103999999988</v>
      </c>
      <c r="AK59" s="13">
        <f t="shared" si="35"/>
        <v>60.444812818312201</v>
      </c>
      <c r="AL59" s="20">
        <f t="shared" si="4"/>
        <v>539.54369365856019</v>
      </c>
      <c r="AM59" s="59">
        <f t="shared" si="5"/>
        <v>832.87702699189344</v>
      </c>
      <c r="AN59" s="59">
        <f ca="1">AVERAGE(OFFSET($AM$3,0,0,'Données projet'!$E$10+1,1))-AVERAGE(OFFSET($H$3,0,0,'Données projet'!$E$10+1,1))</f>
        <v>295.36463140471733</v>
      </c>
      <c r="AO59" s="59">
        <f t="shared" si="36"/>
        <v>295.34177980841878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10.346308945073041</v>
      </c>
      <c r="AV59" s="21">
        <f>EXP(-LN(2)/25)*AV58+(1-EXP(-LN(2)/25))/(LN(2)/25)*Calculateur!AQ59*Calculateur!AS59*VLOOKUP('Données projet'!$B$10,Paramètres!$A$1:$I$89,3,0)*0.475*44/12</f>
        <v>10.057194218238649</v>
      </c>
      <c r="AW59" s="21">
        <f>EXP(-LN(2)/2)*AW58+(1-EXP(-LN(2)/2))/(LN(2)/2)*AQ59*AT59*VLOOKUP('Données projet'!$B$10,Paramètres!$A$1:$I$89,3,0)*0.475*44/12</f>
        <v>1.4440577434184651E-3</v>
      </c>
      <c r="AX59" s="21">
        <f t="shared" si="6"/>
        <v>20.40494722105511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274.78375889702613</v>
      </c>
      <c r="T60" s="59">
        <f t="shared" si="34"/>
        <v>180.48047802041276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4.2815578531355909</v>
      </c>
      <c r="AA60" s="21">
        <f>EXP(-LN(2)/25)*AA59+(1-EXP(-LN(2)/25))/(LN(2)/25)*Calculateur!V60*Calculateur!X60*VLOOKUP('Données projet'!$B$9,Paramètres!$A$1:$I$89,3,0)*0.475*44/12</f>
        <v>4.4298043023630935</v>
      </c>
      <c r="AB60" s="21">
        <f>EXP(-LN(2)/2)*AB59+(1-EXP(-LN(2)/2))/(LN(2)/2)*V60*Y60*VLOOKUP('Données projet'!$B$9,Paramètres!$A$1:$I$89,3,0)*0.475*44/12</f>
        <v>7.3669897463533103E-4</v>
      </c>
      <c r="AC60" s="22">
        <f t="shared" si="3"/>
        <v>8.712098854473318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7.4</v>
      </c>
      <c r="AI60" s="13">
        <f>IF('Données projet'!$A$62&gt;35,AI59+AH60-AQ59,IF(A60&lt;'Données projet'!$A$62,$AF$205^A60,IF(A60='Données projet'!$A$62,'Données projet'!$B$62,AI59+AH60-AQ59)))</f>
        <v>320.79999999999978</v>
      </c>
      <c r="AJ60" s="13">
        <f>AI60*VLOOKUP('Données projet'!$B$10,Paramètres!$A$1:$I$89,3,0)*VLOOKUP('Données projet'!$B$10,Paramètres!$A$1:$I$89,5,0)</f>
        <v>255.22847999999985</v>
      </c>
      <c r="AK60" s="13">
        <f t="shared" si="35"/>
        <v>61.704188876103551</v>
      </c>
      <c r="AL60" s="20">
        <f t="shared" si="4"/>
        <v>551.99106495921342</v>
      </c>
      <c r="AM60" s="59">
        <f t="shared" si="5"/>
        <v>845.32439829254668</v>
      </c>
      <c r="AN60" s="59">
        <f ca="1">AVERAGE(OFFSET($AM$3,0,0,'Données projet'!$E$10+1,1))-AVERAGE(OFFSET($H$3,0,0,'Données projet'!$E$10+1,1))</f>
        <v>295.36463140471733</v>
      </c>
      <c r="AO60" s="59">
        <f t="shared" si="36"/>
        <v>295.34177980841878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10.143424137285493</v>
      </c>
      <c r="AV60" s="21">
        <f>EXP(-LN(2)/25)*AV59+(1-EXP(-LN(2)/25))/(LN(2)/25)*Calculateur!AQ60*Calculateur!AS60*VLOOKUP('Données projet'!$B$10,Paramètres!$A$1:$I$89,3,0)*0.475*44/12</f>
        <v>9.7821797134560562</v>
      </c>
      <c r="AW60" s="21">
        <f>EXP(-LN(2)/2)*AW59+(1-EXP(-LN(2)/2))/(LN(2)/2)*AQ60*AT60*VLOOKUP('Données projet'!$B$10,Paramètres!$A$1:$I$89,3,0)*0.475*44/12</f>
        <v>1.0211030227961402E-3</v>
      </c>
      <c r="AX60" s="21">
        <f t="shared" si="6"/>
        <v>19.926624953764346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274.78375889702613</v>
      </c>
      <c r="T61" s="59">
        <f t="shared" si="34"/>
        <v>180.48047802041276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4.1975991151280292</v>
      </c>
      <c r="AA61" s="21">
        <f>EXP(-LN(2)/25)*AA60+(1-EXP(-LN(2)/25))/(LN(2)/25)*Calculateur!V61*Calculateur!X61*VLOOKUP('Données projet'!$B$9,Paramètres!$A$1:$I$89,3,0)*0.475*44/12</f>
        <v>4.3086710707616911</v>
      </c>
      <c r="AB61" s="21">
        <f>EXP(-LN(2)/2)*AB60+(1-EXP(-LN(2)/2))/(LN(2)/2)*V61*Y61*VLOOKUP('Données projet'!$B$9,Paramètres!$A$1:$I$89,3,0)*0.475*44/12</f>
        <v>5.2092484065781894E-4</v>
      </c>
      <c r="AC61" s="22">
        <f t="shared" si="3"/>
        <v>8.5067911107303775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7.4</v>
      </c>
      <c r="AI61" s="13">
        <f>IF('Données projet'!$A$62&gt;35,AI60+AH61-AQ60,IF(A61&lt;'Données projet'!$A$62,$AF$205^A61,IF(A61='Données projet'!$A$62,'Données projet'!$B$62,AI60+AH61-AQ60)))</f>
        <v>328.19999999999976</v>
      </c>
      <c r="AJ61" s="13">
        <f>AI61*VLOOKUP('Données projet'!$B$10,Paramètres!$A$1:$I$89,3,0)*VLOOKUP('Données projet'!$B$10,Paramètres!$A$1:$I$89,5,0)</f>
        <v>261.11591999999985</v>
      </c>
      <c r="AK61" s="13">
        <f t="shared" si="35"/>
        <v>62.960187681145797</v>
      </c>
      <c r="AL61" s="20">
        <f t="shared" si="4"/>
        <v>564.43255421132858</v>
      </c>
      <c r="AM61" s="59">
        <f t="shared" si="5"/>
        <v>857.76588754466184</v>
      </c>
      <c r="AN61" s="59">
        <f ca="1">AVERAGE(OFFSET($AM$3,0,0,'Données projet'!$E$10+1,1))-AVERAGE(OFFSET($H$3,0,0,'Données projet'!$E$10+1,1))</f>
        <v>295.36463140471733</v>
      </c>
      <c r="AO61" s="59">
        <f t="shared" si="36"/>
        <v>295.34177980841878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9.9445177768311446</v>
      </c>
      <c r="AV61" s="21">
        <f>EXP(-LN(2)/25)*AV60+(1-EXP(-LN(2)/25))/(LN(2)/25)*Calculateur!AQ61*Calculateur!AS61*VLOOKUP('Données projet'!$B$10,Paramètres!$A$1:$I$89,3,0)*0.475*44/12</f>
        <v>9.5146854947691271</v>
      </c>
      <c r="AW61" s="21">
        <f>EXP(-LN(2)/2)*AW60+(1-EXP(-LN(2)/2))/(LN(2)/2)*AQ61*AT61*VLOOKUP('Données projet'!$B$10,Paramètres!$A$1:$I$89,3,0)*0.475*44/12</f>
        <v>7.2202887170923257E-4</v>
      </c>
      <c r="AX61" s="21">
        <f t="shared" si="6"/>
        <v>19.459925300471983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274.78375889702613</v>
      </c>
      <c r="T62" s="59">
        <f t="shared" si="34"/>
        <v>180.48047802041276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4.1152867567630222</v>
      </c>
      <c r="AA62" s="21">
        <f>EXP(-LN(2)/25)*AA61+(1-EXP(-LN(2)/25))/(LN(2)/25)*Calculateur!V62*Calculateur!X62*VLOOKUP('Données projet'!$B$9,Paramètres!$A$1:$I$89,3,0)*0.475*44/12</f>
        <v>4.1908502337485487</v>
      </c>
      <c r="AB62" s="21">
        <f>EXP(-LN(2)/2)*AB61+(1-EXP(-LN(2)/2))/(LN(2)/2)*V62*Y62*VLOOKUP('Données projet'!$B$9,Paramètres!$A$1:$I$89,3,0)*0.475*44/12</f>
        <v>3.6834948731766552E-4</v>
      </c>
      <c r="AC62" s="22">
        <f t="shared" si="3"/>
        <v>8.3065053399988891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7.4</v>
      </c>
      <c r="AI62" s="13">
        <f>IF('Données projet'!$A$62&gt;35,AI61+AH62-AQ61,IF(A62&lt;'Données projet'!$A$62,$AF$205^A62,IF(A62='Données projet'!$A$62,'Données projet'!$B$62,AI61+AH62-AQ61)))</f>
        <v>335.59999999999974</v>
      </c>
      <c r="AJ62" s="13">
        <f>AI62*VLOOKUP('Données projet'!$B$10,Paramètres!$A$1:$I$89,3,0)*VLOOKUP('Données projet'!$B$10,Paramètres!$A$1:$I$89,5,0)</f>
        <v>267.00335999999982</v>
      </c>
      <c r="AK62" s="13">
        <f t="shared" si="35"/>
        <v>64.212894147794728</v>
      </c>
      <c r="AL62" s="20">
        <f t="shared" si="4"/>
        <v>576.86830930740882</v>
      </c>
      <c r="AM62" s="59">
        <f t="shared" si="5"/>
        <v>870.20164264074219</v>
      </c>
      <c r="AN62" s="59">
        <f ca="1">AVERAGE(OFFSET($AM$3,0,0,'Données projet'!$E$10+1,1))-AVERAGE(OFFSET($H$3,0,0,'Données projet'!$E$10+1,1))</f>
        <v>295.36463140471733</v>
      </c>
      <c r="AO62" s="59">
        <f t="shared" si="36"/>
        <v>295.34177980841878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9.7495118487844064</v>
      </c>
      <c r="AV62" s="21">
        <f>EXP(-LN(2)/25)*AV61+(1-EXP(-LN(2)/25))/(LN(2)/25)*Calculateur!AQ62*Calculateur!AS62*VLOOKUP('Données projet'!$B$10,Paramètres!$A$1:$I$89,3,0)*0.475*44/12</f>
        <v>9.2545059195591008</v>
      </c>
      <c r="AW62" s="21">
        <f>EXP(-LN(2)/2)*AW61+(1-EXP(-LN(2)/2))/(LN(2)/2)*AQ62*AT62*VLOOKUP('Données projet'!$B$10,Paramètres!$A$1:$I$89,3,0)*0.475*44/12</f>
        <v>5.1055151139807009E-4</v>
      </c>
      <c r="AX62" s="21">
        <f t="shared" si="6"/>
        <v>19.004528319854906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274.78375889702613</v>
      </c>
      <c r="T63" s="59">
        <f t="shared" si="34"/>
        <v>180.48047802041276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4.0345884935399718</v>
      </c>
      <c r="AA63" s="21">
        <f>EXP(-LN(2)/25)*AA62+(1-EXP(-LN(2)/25))/(LN(2)/25)*Calculateur!V63*Calculateur!X63*VLOOKUP('Données projet'!$B$9,Paramètres!$A$1:$I$89,3,0)*0.475*44/12</f>
        <v>4.0762512137194591</v>
      </c>
      <c r="AB63" s="21">
        <f>EXP(-LN(2)/2)*AB62+(1-EXP(-LN(2)/2))/(LN(2)/2)*V63*Y63*VLOOKUP('Données projet'!$B$9,Paramètres!$A$1:$I$89,3,0)*0.475*44/12</f>
        <v>2.6046242032890947E-4</v>
      </c>
      <c r="AC63" s="22">
        <f t="shared" si="3"/>
        <v>8.1111001696797587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343</v>
      </c>
      <c r="AG63" s="12">
        <f>VLOOKUP(A63,'Données projet'!$A$61:$I$81,9,0)</f>
        <v>7.4</v>
      </c>
      <c r="AH63" s="12">
        <f t="array" ref="AH63">INDEX(AG:AG,MIN(IF(ISNUMBER(AG63:AG259),ROW(AG63:AG259),"")))</f>
        <v>7.4</v>
      </c>
      <c r="AI63" s="13">
        <f>IF('Données projet'!$A$62&gt;35,AI62+AH63-AQ62,IF(A63&lt;'Données projet'!$A$62,$AF$205^A63,IF(A63='Données projet'!$A$62,'Données projet'!$B$62,AI62+AH63-AQ62)))</f>
        <v>342.99999999999972</v>
      </c>
      <c r="AJ63" s="13">
        <f>AI63*VLOOKUP('Données projet'!$B$10,Paramètres!$A$1:$I$89,3,0)*VLOOKUP('Données projet'!$B$10,Paramètres!$A$1:$I$89,5,0)</f>
        <v>272.89079999999979</v>
      </c>
      <c r="AK63" s="13">
        <f t="shared" si="35"/>
        <v>65.462389231846373</v>
      </c>
      <c r="AL63" s="20">
        <f t="shared" si="4"/>
        <v>589.29847124546529</v>
      </c>
      <c r="AM63" s="59">
        <f t="shared" si="5"/>
        <v>882.63180457879866</v>
      </c>
      <c r="AN63" s="59">
        <f ca="1">AVERAGE(OFFSET($AM$3,0,0,'Données projet'!$E$10+1,1))-AVERAGE(OFFSET($H$3,0,0,'Données projet'!$E$10+1,1))</f>
        <v>295.36463140471733</v>
      </c>
      <c r="AO63" s="59">
        <f t="shared" si="36"/>
        <v>295.34177980841878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9.5583298680447921</v>
      </c>
      <c r="AV63" s="21">
        <f>EXP(-LN(2)/25)*AV62+(1-EXP(-LN(2)/25))/(LN(2)/25)*Calculateur!AQ63*Calculateur!AS63*VLOOKUP('Données projet'!$B$10,Paramètres!$A$1:$I$89,3,0)*0.475*44/12</f>
        <v>9.0014409685154426</v>
      </c>
      <c r="AW63" s="21">
        <f>EXP(-LN(2)/2)*AW62+(1-EXP(-LN(2)/2))/(LN(2)/2)*AQ63*AT63*VLOOKUP('Données projet'!$B$10,Paramètres!$A$1:$I$89,3,0)*0.475*44/12</f>
        <v>3.6101443585461628E-4</v>
      </c>
      <c r="AX63" s="21">
        <f t="shared" si="6"/>
        <v>18.560131850996086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274.78375889702613</v>
      </c>
      <c r="T64" s="59">
        <f t="shared" si="34"/>
        <v>180.48047802041276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3.9554726740376447</v>
      </c>
      <c r="AA64" s="21">
        <f>EXP(-LN(2)/25)*AA63+(1-EXP(-LN(2)/25))/(LN(2)/25)*Calculateur!V64*Calculateur!X64*VLOOKUP('Données projet'!$B$9,Paramètres!$A$1:$I$89,3,0)*0.475*44/12</f>
        <v>3.9647859099195655</v>
      </c>
      <c r="AB64" s="21">
        <f>EXP(-LN(2)/2)*AB63+(1-EXP(-LN(2)/2))/(LN(2)/2)*V64*Y64*VLOOKUP('Données projet'!$B$9,Paramètres!$A$1:$I$89,3,0)*0.475*44/12</f>
        <v>1.8417474365883276E-4</v>
      </c>
      <c r="AC64" s="22">
        <f t="shared" si="3"/>
        <v>7.9204427587008688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331.99999999999972</v>
      </c>
      <c r="AJ64" s="13">
        <f>AI64*VLOOKUP('Données projet'!$B$10,Paramètres!$A$1:$I$89,3,0)*VLOOKUP('Données projet'!$B$10,Paramètres!$A$1:$I$89,5,0)</f>
        <v>264.13919999999979</v>
      </c>
      <c r="AK64" s="13">
        <f t="shared" si="35"/>
        <v>63.60387543087441</v>
      </c>
      <c r="AL64" s="20">
        <f t="shared" si="4"/>
        <v>570.81918970877257</v>
      </c>
      <c r="AM64" s="59">
        <f t="shared" si="5"/>
        <v>864.15252304210594</v>
      </c>
      <c r="AN64" s="59">
        <f ca="1">AVERAGE(OFFSET($AM$3,0,0,'Données projet'!$E$10+1,1))-AVERAGE(OFFSET($H$3,0,0,'Données projet'!$E$10+1,1))</f>
        <v>295.36463140471733</v>
      </c>
      <c r="AO64" s="59">
        <f t="shared" si="36"/>
        <v>295.34177980841878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9.3708968493379885</v>
      </c>
      <c r="AV64" s="21">
        <f>EXP(-LN(2)/25)*AV63+(1-EXP(-LN(2)/25))/(LN(2)/25)*Calculateur!AQ64*Calculateur!AS64*VLOOKUP('Données projet'!$B$10,Paramètres!$A$1:$I$89,3,0)*0.475*44/12</f>
        <v>8.75529609186618</v>
      </c>
      <c r="AW64" s="21">
        <f>EXP(-LN(2)/2)*AW63+(1-EXP(-LN(2)/2))/(LN(2)/2)*AQ64*AT64*VLOOKUP('Données projet'!$B$10,Paramètres!$A$1:$I$89,3,0)*0.475*44/12</f>
        <v>2.5527575569903504E-4</v>
      </c>
      <c r="AX64" s="21">
        <f t="shared" si="6"/>
        <v>18.126448216959865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274.78375889702613</v>
      </c>
      <c r="T65" s="59">
        <f t="shared" si="34"/>
        <v>180.48047802041276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3.8779082674998731</v>
      </c>
      <c r="AA65" s="21">
        <f>EXP(-LN(2)/25)*AA64+(1-EXP(-LN(2)/25))/(LN(2)/25)*Calculateur!V65*Calculateur!X65*VLOOKUP('Données projet'!$B$9,Paramètres!$A$1:$I$89,3,0)*0.475*44/12</f>
        <v>3.8563686307137854</v>
      </c>
      <c r="AB65" s="21">
        <f>EXP(-LN(2)/2)*AB64+(1-EXP(-LN(2)/2))/(LN(2)/2)*V65*Y65*VLOOKUP('Données projet'!$B$9,Paramètres!$A$1:$I$89,3,0)*0.475*44/12</f>
        <v>1.3023121016445473E-4</v>
      </c>
      <c r="AC65" s="22">
        <f t="shared" si="3"/>
        <v>7.7344071294238228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337.99999999999972</v>
      </c>
      <c r="AJ65" s="13">
        <f>AI65*VLOOKUP('Données projet'!$B$10,Paramètres!$A$1:$I$89,3,0)*VLOOKUP('Données projet'!$B$10,Paramètres!$A$1:$I$89,5,0)</f>
        <v>268.91279999999978</v>
      </c>
      <c r="AK65" s="13">
        <f t="shared" si="35"/>
        <v>64.618483855217065</v>
      </c>
      <c r="AL65" s="20">
        <f t="shared" si="4"/>
        <v>580.90031938116931</v>
      </c>
      <c r="AM65" s="59">
        <f t="shared" si="5"/>
        <v>874.23365271450257</v>
      </c>
      <c r="AN65" s="59">
        <f ca="1">AVERAGE(OFFSET($AM$3,0,0,'Données projet'!$E$10+1,1))-AVERAGE(OFFSET($H$3,0,0,'Données projet'!$E$10+1,1))</f>
        <v>295.36463140471733</v>
      </c>
      <c r="AO65" s="59">
        <f t="shared" si="36"/>
        <v>295.34177980841878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9.187139277805171</v>
      </c>
      <c r="AV65" s="21">
        <f>EXP(-LN(2)/25)*AV64+(1-EXP(-LN(2)/25))/(LN(2)/25)*Calculateur!AQ65*Calculateur!AS65*VLOOKUP('Données projet'!$B$10,Paramètres!$A$1:$I$89,3,0)*0.475*44/12</f>
        <v>8.5158820598130891</v>
      </c>
      <c r="AW65" s="21">
        <f>EXP(-LN(2)/2)*AW64+(1-EXP(-LN(2)/2))/(LN(2)/2)*AQ65*AT65*VLOOKUP('Données projet'!$B$10,Paramètres!$A$1:$I$89,3,0)*0.475*44/12</f>
        <v>1.8050721792730814E-4</v>
      </c>
      <c r="AX65" s="21">
        <f t="shared" si="6"/>
        <v>17.703201844836187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274.78375889702613</v>
      </c>
      <c r="T66" s="59">
        <f t="shared" si="34"/>
        <v>180.48047802041276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3.8018648516646905</v>
      </c>
      <c r="AA66" s="21">
        <f>EXP(-LN(2)/25)*AA65+(1-EXP(-LN(2)/25))/(LN(2)/25)*Calculateur!V66*Calculateur!X66*VLOOKUP('Données projet'!$B$9,Paramètres!$A$1:$I$89,3,0)*0.475*44/12</f>
        <v>3.7509160277093043</v>
      </c>
      <c r="AB66" s="21">
        <f>EXP(-LN(2)/2)*AB65+(1-EXP(-LN(2)/2))/(LN(2)/2)*V66*Y66*VLOOKUP('Données projet'!$B$9,Paramètres!$A$1:$I$89,3,0)*0.475*44/12</f>
        <v>9.2087371829416379E-5</v>
      </c>
      <c r="AC66" s="22">
        <f t="shared" si="3"/>
        <v>7.5528729667458236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343.99999999999972</v>
      </c>
      <c r="AJ66" s="13">
        <f>AI66*VLOOKUP('Données projet'!$B$10,Paramètres!$A$1:$I$89,3,0)*VLOOKUP('Données projet'!$B$10,Paramètres!$A$1:$I$89,5,0)</f>
        <v>273.68639999999976</v>
      </c>
      <c r="AK66" s="13">
        <f t="shared" si="35"/>
        <v>65.630997870536959</v>
      </c>
      <c r="AL66" s="20">
        <f t="shared" si="4"/>
        <v>590.97780129118485</v>
      </c>
      <c r="AM66" s="59">
        <f t="shared" si="5"/>
        <v>884.31113462451822</v>
      </c>
      <c r="AN66" s="59">
        <f ca="1">AVERAGE(OFFSET($AM$3,0,0,'Données projet'!$E$10+1,1))-AVERAGE(OFFSET($H$3,0,0,'Données projet'!$E$10+1,1))</f>
        <v>295.36463140471733</v>
      </c>
      <c r="AO66" s="59">
        <f t="shared" si="36"/>
        <v>295.34177980841878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9.006985080169061</v>
      </c>
      <c r="AV66" s="21">
        <f>EXP(-LN(2)/25)*AV65+(1-EXP(-LN(2)/25))/(LN(2)/25)*Calculateur!AQ66*Calculateur!AS66*VLOOKUP('Données projet'!$B$10,Paramètres!$A$1:$I$89,3,0)*0.475*44/12</f>
        <v>8.2830148170567259</v>
      </c>
      <c r="AW66" s="21">
        <f>EXP(-LN(2)/2)*AW65+(1-EXP(-LN(2)/2))/(LN(2)/2)*AQ66*AT66*VLOOKUP('Données projet'!$B$10,Paramètres!$A$1:$I$89,3,0)*0.475*44/12</f>
        <v>1.2763787784951752E-4</v>
      </c>
      <c r="AX66" s="21">
        <f t="shared" si="6"/>
        <v>17.290127535103636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274.78375889702613</v>
      </c>
      <c r="T67" s="59">
        <f t="shared" si="34"/>
        <v>180.48047802041276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3.727312600832132</v>
      </c>
      <c r="AA67" s="21">
        <f>EXP(-LN(2)/25)*AA66+(1-EXP(-LN(2)/25))/(LN(2)/25)*Calculateur!V67*Calculateur!X67*VLOOKUP('Données projet'!$B$9,Paramètres!$A$1:$I$89,3,0)*0.475*44/12</f>
        <v>3.6483470316794921</v>
      </c>
      <c r="AB67" s="21">
        <f>EXP(-LN(2)/2)*AB66+(1-EXP(-LN(2)/2))/(LN(2)/2)*V67*Y67*VLOOKUP('Données projet'!$B$9,Paramètres!$A$1:$I$89,3,0)*0.475*44/12</f>
        <v>6.5115605082227367E-5</v>
      </c>
      <c r="AC67" s="22">
        <f t="shared" si="3"/>
        <v>7.3757247481167063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349.99999999999972</v>
      </c>
      <c r="AJ67" s="13">
        <f>AI67*VLOOKUP('Données projet'!$B$10,Paramètres!$A$1:$I$89,3,0)*VLOOKUP('Données projet'!$B$10,Paramètres!$A$1:$I$89,5,0)</f>
        <v>278.45999999999981</v>
      </c>
      <c r="AK67" s="13">
        <f t="shared" si="35"/>
        <v>66.641458222154824</v>
      </c>
      <c r="AL67" s="20">
        <f t="shared" si="4"/>
        <v>601.05170640358597</v>
      </c>
      <c r="AM67" s="59">
        <f t="shared" si="5"/>
        <v>894.38503973691923</v>
      </c>
      <c r="AN67" s="59">
        <f ca="1">AVERAGE(OFFSET($AM$3,0,0,'Données projet'!$E$10+1,1))-AVERAGE(OFFSET($H$3,0,0,'Données projet'!$E$10+1,1))</f>
        <v>295.36463140471733</v>
      </c>
      <c r="AO67" s="59">
        <f t="shared" si="36"/>
        <v>295.34177980841878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8.8303635964653857</v>
      </c>
      <c r="AV67" s="21">
        <f>EXP(-LN(2)/25)*AV66+(1-EXP(-LN(2)/25))/(LN(2)/25)*Calculateur!AQ67*Calculateur!AS67*VLOOKUP('Données projet'!$B$10,Paramètres!$A$1:$I$89,3,0)*0.475*44/12</f>
        <v>8.056515341299491</v>
      </c>
      <c r="AW67" s="21">
        <f>EXP(-LN(2)/2)*AW66+(1-EXP(-LN(2)/2))/(LN(2)/2)*AQ67*AT67*VLOOKUP('Données projet'!$B$10,Paramètres!$A$1:$I$89,3,0)*0.475*44/12</f>
        <v>9.0253608963654071E-5</v>
      </c>
      <c r="AX67" s="21">
        <f t="shared" si="6"/>
        <v>16.88696919137384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274.78375889702613</v>
      </c>
      <c r="T68" s="59">
        <f t="shared" si="34"/>
        <v>180.48047802041276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3.6542222741660173</v>
      </c>
      <c r="AA68" s="21">
        <f>EXP(-LN(2)/25)*AA67+(1-EXP(-LN(2)/25))/(LN(2)/25)*Calculateur!V68*Calculateur!X68*VLOOKUP('Données projet'!$B$9,Paramètres!$A$1:$I$89,3,0)*0.475*44/12</f>
        <v>3.5485827902399842</v>
      </c>
      <c r="AB68" s="21">
        <f>EXP(-LN(2)/2)*AB67+(1-EXP(-LN(2)/2))/(LN(2)/2)*V68*Y68*VLOOKUP('Données projet'!$B$9,Paramètres!$A$1:$I$89,3,0)*0.475*44/12</f>
        <v>4.604368591470819E-5</v>
      </c>
      <c r="AC68" s="22">
        <f t="shared" ref="AC68:AC131" si="57">SUM(Z68:AB68)</f>
        <v>7.2028511080919166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356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355.99999999999972</v>
      </c>
      <c r="AJ68" s="13">
        <f>AI68*VLOOKUP('Données projet'!$B$10,Paramètres!$A$1:$I$89,3,0)*VLOOKUP('Données projet'!$B$10,Paramètres!$A$1:$I$89,5,0)</f>
        <v>283.2335999999998</v>
      </c>
      <c r="AK68" s="13">
        <f t="shared" si="35"/>
        <v>67.649904178362377</v>
      </c>
      <c r="AL68" s="20">
        <f t="shared" ref="AL68:AL131" si="58">(AJ68+AK68)*0.475*44/12</f>
        <v>611.12210311064734</v>
      </c>
      <c r="AM68" s="59">
        <f t="shared" ref="AM68:AM131" si="59">AL68+(AD68+AE68)*44/12</f>
        <v>904.45543644398072</v>
      </c>
      <c r="AN68" s="59">
        <f ca="1">AVERAGE(OFFSET($AM$3,0,0,'Données projet'!$E$10+1,1))-AVERAGE(OFFSET($H$3,0,0,'Données projet'!$E$10+1,1))</f>
        <v>295.36463140471733</v>
      </c>
      <c r="AO68" s="59">
        <f t="shared" si="36"/>
        <v>295.34177980841878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16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8.6572055523286711</v>
      </c>
      <c r="AV68" s="21">
        <f>EXP(-LN(2)/25)*AV67+(1-EXP(-LN(2)/25))/(LN(2)/25)*Calculateur!AQ68*Calculateur!AS68*VLOOKUP('Données projet'!$B$10,Paramètres!$A$1:$I$89,3,0)*0.475*44/12</f>
        <v>7.8362095056179282</v>
      </c>
      <c r="AW68" s="21">
        <f>EXP(-LN(2)/2)*AW67+(1-EXP(-LN(2)/2))/(LN(2)/2)*AQ68*AT68*VLOOKUP('Données projet'!$B$10,Paramètres!$A$1:$I$89,3,0)*0.475*44/12</f>
        <v>6.3818938924758761E-5</v>
      </c>
      <c r="AX68" s="21">
        <f t="shared" ref="AX68:AX131" si="60">SUM(AU68:AW68)</f>
        <v>16.493478876885526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274.78375889702613</v>
      </c>
      <c r="T69" s="59">
        <f t="shared" ref="T69:T132" si="88">$T$3</f>
        <v>180.48047802041276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3.5825652042251277</v>
      </c>
      <c r="AA69" s="21">
        <f>EXP(-LN(2)/25)*AA68+(1-EXP(-LN(2)/25))/(LN(2)/25)*Calculateur!V69*Calculateur!X69*VLOOKUP('Données projet'!$B$9,Paramètres!$A$1:$I$89,3,0)*0.475*44/12</f>
        <v>3.4515466072290133</v>
      </c>
      <c r="AB69" s="21">
        <f>EXP(-LN(2)/2)*AB68+(1-EXP(-LN(2)/2))/(LN(2)/2)*V69*Y69*VLOOKUP('Données projet'!$B$9,Paramètres!$A$1:$I$89,3,0)*0.475*44/12</f>
        <v>3.2557802541113684E-5</v>
      </c>
      <c r="AC69" s="22">
        <f t="shared" si="57"/>
        <v>7.0341443692566816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345.1999999999997</v>
      </c>
      <c r="AJ69" s="13">
        <f>AI69*VLOOKUP('Données projet'!$B$10,Paramètres!$A$1:$I$89,3,0)*VLOOKUP('Données projet'!$B$10,Paramètres!$A$1:$I$89,5,0)</f>
        <v>274.64111999999977</v>
      </c>
      <c r="AK69" s="13">
        <f t="shared" ref="AK69:AK132" si="89">EXP(-1.0587+0.8836*LN(AJ69)+0.284)</f>
        <v>65.833252956609641</v>
      </c>
      <c r="AL69" s="20">
        <f t="shared" si="58"/>
        <v>592.99286623276123</v>
      </c>
      <c r="AM69" s="59">
        <f t="shared" si="59"/>
        <v>886.3261995660946</v>
      </c>
      <c r="AN69" s="59">
        <f ca="1">AVERAGE(OFFSET($AM$3,0,0,'Données projet'!$E$10+1,1))-AVERAGE(OFFSET($H$3,0,0,'Données projet'!$E$10+1,1))</f>
        <v>295.36463140471733</v>
      </c>
      <c r="AO69" s="59">
        <f t="shared" ref="AO69:AO132" si="90">$AO$3</f>
        <v>295.34177980841878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8.4874430318214991</v>
      </c>
      <c r="AV69" s="21">
        <f>EXP(-LN(2)/25)*AV68+(1-EXP(-LN(2)/25))/(LN(2)/25)*Calculateur!AQ69*Calculateur!AS69*VLOOKUP('Données projet'!$B$10,Paramètres!$A$1:$I$89,3,0)*0.475*44/12</f>
        <v>7.6219279445984576</v>
      </c>
      <c r="AW69" s="21">
        <f>EXP(-LN(2)/2)*AW68+(1-EXP(-LN(2)/2))/(LN(2)/2)*AQ69*AT69*VLOOKUP('Données projet'!$B$10,Paramètres!$A$1:$I$89,3,0)*0.475*44/12</f>
        <v>4.5126804481827035E-5</v>
      </c>
      <c r="AX69" s="21">
        <f t="shared" si="60"/>
        <v>16.10941610322444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274.78375889702613</v>
      </c>
      <c r="T70" s="59">
        <f t="shared" si="88"/>
        <v>180.48047802041276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3.5123132857192818</v>
      </c>
      <c r="AA70" s="21">
        <f>EXP(-LN(2)/25)*AA69+(1-EXP(-LN(2)/25))/(LN(2)/25)*Calculateur!V70*Calculateur!X70*VLOOKUP('Données projet'!$B$9,Paramètres!$A$1:$I$89,3,0)*0.475*44/12</f>
        <v>3.3571638837453883</v>
      </c>
      <c r="AB70" s="21">
        <f>EXP(-LN(2)/2)*AB69+(1-EXP(-LN(2)/2))/(LN(2)/2)*V70*Y70*VLOOKUP('Données projet'!$B$9,Paramètres!$A$1:$I$89,3,0)*0.475*44/12</f>
        <v>2.3021842957354095E-5</v>
      </c>
      <c r="AC70" s="22">
        <f t="shared" si="57"/>
        <v>6.869500191307627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350.39999999999969</v>
      </c>
      <c r="AJ70" s="13">
        <f>AI70*VLOOKUP('Données projet'!$B$10,Paramètres!$A$1:$I$89,3,0)*VLOOKUP('Données projet'!$B$10,Paramètres!$A$1:$I$89,5,0)</f>
        <v>278.77823999999976</v>
      </c>
      <c r="AK70" s="13">
        <f t="shared" si="89"/>
        <v>66.70875019643654</v>
      </c>
      <c r="AL70" s="20">
        <f t="shared" si="58"/>
        <v>601.7231745921265</v>
      </c>
      <c r="AM70" s="59">
        <f t="shared" si="59"/>
        <v>895.05650792545975</v>
      </c>
      <c r="AN70" s="59">
        <f ca="1">AVERAGE(OFFSET($AM$3,0,0,'Données projet'!$E$10+1,1))-AVERAGE(OFFSET($H$3,0,0,'Données projet'!$E$10+1,1))</f>
        <v>295.36463140471733</v>
      </c>
      <c r="AO70" s="59">
        <f t="shared" si="90"/>
        <v>295.34177980841878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8.3210094507965593</v>
      </c>
      <c r="AV70" s="21">
        <f>EXP(-LN(2)/25)*AV69+(1-EXP(-LN(2)/25))/(LN(2)/25)*Calculateur!AQ70*Calculateur!AS70*VLOOKUP('Données projet'!$B$10,Paramètres!$A$1:$I$89,3,0)*0.475*44/12</f>
        <v>7.4135059241336423</v>
      </c>
      <c r="AW70" s="21">
        <f>EXP(-LN(2)/2)*AW69+(1-EXP(-LN(2)/2))/(LN(2)/2)*AQ70*AT70*VLOOKUP('Données projet'!$B$10,Paramètres!$A$1:$I$89,3,0)*0.475*44/12</f>
        <v>3.1909469462379381E-5</v>
      </c>
      <c r="AX70" s="21">
        <f t="shared" si="60"/>
        <v>15.734547284399664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274.78375889702613</v>
      </c>
      <c r="T71" s="59">
        <f t="shared" si="88"/>
        <v>180.48047802041276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3.4434389644858965</v>
      </c>
      <c r="AA71" s="21">
        <f>EXP(-LN(2)/25)*AA70+(1-EXP(-LN(2)/25))/(LN(2)/25)*Calculateur!V71*Calculateur!X71*VLOOKUP('Données projet'!$B$9,Paramètres!$A$1:$I$89,3,0)*0.475*44/12</f>
        <v>3.265362060798795</v>
      </c>
      <c r="AB71" s="21">
        <f>EXP(-LN(2)/2)*AB70+(1-EXP(-LN(2)/2))/(LN(2)/2)*V71*Y71*VLOOKUP('Données projet'!$B$9,Paramètres!$A$1:$I$89,3,0)*0.475*44/12</f>
        <v>1.6278901270556842E-5</v>
      </c>
      <c r="AC71" s="22">
        <f t="shared" si="57"/>
        <v>6.7088173041859616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355.59999999999968</v>
      </c>
      <c r="AJ71" s="13">
        <f>AI71*VLOOKUP('Données projet'!$B$10,Paramètres!$A$1:$I$89,3,0)*VLOOKUP('Données projet'!$B$10,Paramètres!$A$1:$I$89,5,0)</f>
        <v>282.91535999999979</v>
      </c>
      <c r="AK71" s="13">
        <f t="shared" si="89"/>
        <v>67.582736351531807</v>
      </c>
      <c r="AL71" s="20">
        <f t="shared" si="58"/>
        <v>610.45085114558412</v>
      </c>
      <c r="AM71" s="59">
        <f t="shared" si="59"/>
        <v>903.7841844789175</v>
      </c>
      <c r="AN71" s="59">
        <f ca="1">AVERAGE(OFFSET($AM$3,0,0,'Données projet'!$E$10+1,1))-AVERAGE(OFFSET($H$3,0,0,'Données projet'!$E$10+1,1))</f>
        <v>295.36463140471733</v>
      </c>
      <c r="AO71" s="59">
        <f t="shared" si="90"/>
        <v>295.34177980841878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8.1578395307810574</v>
      </c>
      <c r="AV71" s="21">
        <f>EXP(-LN(2)/25)*AV70+(1-EXP(-LN(2)/25))/(LN(2)/25)*Calculateur!AQ71*Calculateur!AS71*VLOOKUP('Données projet'!$B$10,Paramètres!$A$1:$I$89,3,0)*0.475*44/12</f>
        <v>7.2107832147788749</v>
      </c>
      <c r="AW71" s="21">
        <f>EXP(-LN(2)/2)*AW70+(1-EXP(-LN(2)/2))/(LN(2)/2)*AQ71*AT71*VLOOKUP('Données projet'!$B$10,Paramètres!$A$1:$I$89,3,0)*0.475*44/12</f>
        <v>2.2563402240913518E-5</v>
      </c>
      <c r="AX71" s="21">
        <f t="shared" si="60"/>
        <v>15.368645308962174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274.78375889702613</v>
      </c>
      <c r="T72" s="59">
        <f t="shared" si="88"/>
        <v>180.48047802041276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3.3759152266827099</v>
      </c>
      <c r="AA72" s="21">
        <f>EXP(-LN(2)/25)*AA71+(1-EXP(-LN(2)/25))/(LN(2)/25)*Calculateur!V72*Calculateur!X72*VLOOKUP('Données projet'!$B$9,Paramètres!$A$1:$I$89,3,0)*0.475*44/12</f>
        <v>3.1760705635283242</v>
      </c>
      <c r="AB72" s="21">
        <f>EXP(-LN(2)/2)*AB71+(1-EXP(-LN(2)/2))/(LN(2)/2)*V72*Y72*VLOOKUP('Données projet'!$B$9,Paramètres!$A$1:$I$89,3,0)*0.475*44/12</f>
        <v>1.1510921478677047E-5</v>
      </c>
      <c r="AC72" s="22">
        <f t="shared" si="57"/>
        <v>6.5519973011325137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360.79999999999967</v>
      </c>
      <c r="AJ72" s="13">
        <f>AI72*VLOOKUP('Données projet'!$B$10,Paramètres!$A$1:$I$89,3,0)*VLOOKUP('Données projet'!$B$10,Paramètres!$A$1:$I$89,5,0)</f>
        <v>287.05247999999978</v>
      </c>
      <c r="AK72" s="13">
        <f t="shared" si="89"/>
        <v>68.455236071606535</v>
      </c>
      <c r="AL72" s="20">
        <f t="shared" si="58"/>
        <v>619.17593882471431</v>
      </c>
      <c r="AM72" s="59">
        <f t="shared" si="59"/>
        <v>912.50927215804768</v>
      </c>
      <c r="AN72" s="59">
        <f ca="1">AVERAGE(OFFSET($AM$3,0,0,'Données projet'!$E$10+1,1))-AVERAGE(OFFSET($H$3,0,0,'Données projet'!$E$10+1,1))</f>
        <v>295.36463140471733</v>
      </c>
      <c r="AO72" s="59">
        <f t="shared" si="90"/>
        <v>295.34177980841878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7.9978692733732357</v>
      </c>
      <c r="AV72" s="21">
        <f>EXP(-LN(2)/25)*AV71+(1-EXP(-LN(2)/25))/(LN(2)/25)*Calculateur!AQ72*Calculateur!AS72*VLOOKUP('Données projet'!$B$10,Paramètres!$A$1:$I$89,3,0)*0.475*44/12</f>
        <v>7.0136039685721379</v>
      </c>
      <c r="AW72" s="21">
        <f>EXP(-LN(2)/2)*AW71+(1-EXP(-LN(2)/2))/(LN(2)/2)*AQ72*AT72*VLOOKUP('Données projet'!$B$10,Paramètres!$A$1:$I$89,3,0)*0.475*44/12</f>
        <v>1.595473473118969E-5</v>
      </c>
      <c r="AX72" s="21">
        <f t="shared" si="60"/>
        <v>15.011489196680106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274.78375889702613</v>
      </c>
      <c r="T73" s="59">
        <f t="shared" si="88"/>
        <v>180.48047802041276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3.3097155881924305</v>
      </c>
      <c r="AA73" s="21">
        <f>EXP(-LN(2)/25)*AA72+(1-EXP(-LN(2)/25))/(LN(2)/25)*Calculateur!V73*Calculateur!X73*VLOOKUP('Données projet'!$B$9,Paramètres!$A$1:$I$89,3,0)*0.475*44/12</f>
        <v>3.0892207469463502</v>
      </c>
      <c r="AB73" s="21">
        <f>EXP(-LN(2)/2)*AB72+(1-EXP(-LN(2)/2))/(LN(2)/2)*V73*Y73*VLOOKUP('Données projet'!$B$9,Paramètres!$A$1:$I$89,3,0)*0.475*44/12</f>
        <v>8.1394506352784209E-6</v>
      </c>
      <c r="AC73" s="22">
        <f t="shared" si="57"/>
        <v>6.398944474589416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366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365.99999999999966</v>
      </c>
      <c r="AJ73" s="13">
        <f>AI73*VLOOKUP('Données projet'!$B$10,Paramètres!$A$1:$I$89,3,0)*VLOOKUP('Données projet'!$B$10,Paramètres!$A$1:$I$89,5,0)</f>
        <v>291.18959999999976</v>
      </c>
      <c r="AK73" s="13">
        <f t="shared" si="89"/>
        <v>69.326273255048633</v>
      </c>
      <c r="AL73" s="20">
        <f t="shared" si="58"/>
        <v>627.89847925254264</v>
      </c>
      <c r="AM73" s="59">
        <f t="shared" si="59"/>
        <v>921.23181258587601</v>
      </c>
      <c r="AN73" s="59">
        <f ca="1">AVERAGE(OFFSET($AM$3,0,0,'Données projet'!$E$10+1,1))-AVERAGE(OFFSET($H$3,0,0,'Données projet'!$E$10+1,1))</f>
        <v>295.36463140471733</v>
      </c>
      <c r="AO73" s="59">
        <f t="shared" si="90"/>
        <v>295.34177980841878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7.8410359351409591</v>
      </c>
      <c r="AV73" s="21">
        <f>EXP(-LN(2)/25)*AV72+(1-EXP(-LN(2)/25))/(LN(2)/25)*Calculateur!AQ73*Calculateur!AS73*VLOOKUP('Données projet'!$B$10,Paramètres!$A$1:$I$89,3,0)*0.475*44/12</f>
        <v>6.8218165992221298</v>
      </c>
      <c r="AW73" s="21">
        <f>EXP(-LN(2)/2)*AW72+(1-EXP(-LN(2)/2))/(LN(2)/2)*AQ73*AT73*VLOOKUP('Données projet'!$B$10,Paramètres!$A$1:$I$89,3,0)*0.475*44/12</f>
        <v>1.1281701120456759E-5</v>
      </c>
      <c r="AX73" s="21">
        <f t="shared" si="60"/>
        <v>14.66286381606421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274.78375889702613</v>
      </c>
      <c r="T74" s="59">
        <f t="shared" si="88"/>
        <v>180.48047802041276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3.2448140842351529</v>
      </c>
      <c r="AA74" s="21">
        <f>EXP(-LN(2)/25)*AA73+(1-EXP(-LN(2)/25))/(LN(2)/25)*Calculateur!V74*Calculateur!X74*VLOOKUP('Données projet'!$B$9,Paramètres!$A$1:$I$89,3,0)*0.475*44/12</f>
        <v>3.0047458431660439</v>
      </c>
      <c r="AB74" s="21">
        <f>EXP(-LN(2)/2)*AB73+(1-EXP(-LN(2)/2))/(LN(2)/2)*V74*Y74*VLOOKUP('Données projet'!$B$9,Paramètres!$A$1:$I$89,3,0)*0.475*44/12</f>
        <v>5.7554607393385237E-6</v>
      </c>
      <c r="AC74" s="22">
        <f t="shared" si="57"/>
        <v>6.2495656828619364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355.79999999999967</v>
      </c>
      <c r="AJ74" s="13">
        <f>AI74*VLOOKUP('Données projet'!$B$10,Paramètres!$A$1:$I$89,3,0)*VLOOKUP('Données projet'!$B$10,Paramètres!$A$1:$I$89,5,0)</f>
        <v>283.07447999999977</v>
      </c>
      <c r="AK74" s="13">
        <f t="shared" si="89"/>
        <v>67.616321363645156</v>
      </c>
      <c r="AL74" s="20">
        <f t="shared" si="58"/>
        <v>610.78647904168156</v>
      </c>
      <c r="AM74" s="59">
        <f t="shared" si="59"/>
        <v>904.11981237501482</v>
      </c>
      <c r="AN74" s="59">
        <f ca="1">AVERAGE(OFFSET($AM$3,0,0,'Données projet'!$E$10+1,1))-AVERAGE(OFFSET($H$3,0,0,'Données projet'!$E$10+1,1))</f>
        <v>295.36463140471733</v>
      </c>
      <c r="AO74" s="59">
        <f t="shared" si="90"/>
        <v>295.34177980841878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7.6872780030125272</v>
      </c>
      <c r="AV74" s="21">
        <f>EXP(-LN(2)/25)*AV73+(1-EXP(-LN(2)/25))/(LN(2)/25)*Calculateur!AQ74*Calculateur!AS74*VLOOKUP('Données projet'!$B$10,Paramètres!$A$1:$I$89,3,0)*0.475*44/12</f>
        <v>6.6352736655726572</v>
      </c>
      <c r="AW74" s="21">
        <f>EXP(-LN(2)/2)*AW73+(1-EXP(-LN(2)/2))/(LN(2)/2)*AQ74*AT74*VLOOKUP('Données projet'!$B$10,Paramètres!$A$1:$I$89,3,0)*0.475*44/12</f>
        <v>7.9773673655948451E-6</v>
      </c>
      <c r="AX74" s="21">
        <f t="shared" si="60"/>
        <v>14.32255964595255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274.78375889702613</v>
      </c>
      <c r="T75" s="59">
        <f t="shared" si="88"/>
        <v>180.48047802041276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3.1811852591844691</v>
      </c>
      <c r="AA75" s="21">
        <f>EXP(-LN(2)/25)*AA74+(1-EXP(-LN(2)/25))/(LN(2)/25)*Calculateur!V75*Calculateur!X75*VLOOKUP('Données projet'!$B$9,Paramètres!$A$1:$I$89,3,0)*0.475*44/12</f>
        <v>2.922580910071952</v>
      </c>
      <c r="AB75" s="21">
        <f>EXP(-LN(2)/2)*AB74+(1-EXP(-LN(2)/2))/(LN(2)/2)*V75*Y75*VLOOKUP('Données projet'!$B$9,Paramètres!$A$1:$I$89,3,0)*0.475*44/12</f>
        <v>4.0697253176392105E-6</v>
      </c>
      <c r="AC75" s="22">
        <f t="shared" si="57"/>
        <v>6.1037702389817383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360.59999999999968</v>
      </c>
      <c r="AJ75" s="13">
        <f>AI75*VLOOKUP('Données projet'!$B$10,Paramètres!$A$1:$I$89,3,0)*VLOOKUP('Données projet'!$B$10,Paramètres!$A$1:$I$89,5,0)</f>
        <v>286.89335999999975</v>
      </c>
      <c r="AK75" s="13">
        <f t="shared" si="89"/>
        <v>68.421705584684744</v>
      </c>
      <c r="AL75" s="20">
        <f t="shared" si="58"/>
        <v>618.84040589332551</v>
      </c>
      <c r="AM75" s="59">
        <f t="shared" si="59"/>
        <v>912.17373922665888</v>
      </c>
      <c r="AN75" s="59">
        <f ca="1">AVERAGE(OFFSET($AM$3,0,0,'Données projet'!$E$10+1,1))-AVERAGE(OFFSET($H$3,0,0,'Données projet'!$E$10+1,1))</f>
        <v>295.36463140471733</v>
      </c>
      <c r="AO75" s="59">
        <f t="shared" si="90"/>
        <v>295.34177980841878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7.5365351701500547</v>
      </c>
      <c r="AV75" s="21">
        <f>EXP(-LN(2)/25)*AV74+(1-EXP(-LN(2)/25))/(LN(2)/25)*Calculateur!AQ75*Calculateur!AS75*VLOOKUP('Données projet'!$B$10,Paramètres!$A$1:$I$89,3,0)*0.475*44/12</f>
        <v>6.4538317582536955</v>
      </c>
      <c r="AW75" s="21">
        <f>EXP(-LN(2)/2)*AW74+(1-EXP(-LN(2)/2))/(LN(2)/2)*AQ75*AT75*VLOOKUP('Données projet'!$B$10,Paramètres!$A$1:$I$89,3,0)*0.475*44/12</f>
        <v>5.6408505602283794E-6</v>
      </c>
      <c r="AX75" s="21">
        <f t="shared" si="60"/>
        <v>13.99037256925431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274.78375889702613</v>
      </c>
      <c r="T76" s="59">
        <f t="shared" si="88"/>
        <v>180.48047802041276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3.1188041565832778</v>
      </c>
      <c r="AA76" s="21">
        <f>EXP(-LN(2)/25)*AA75+(1-EXP(-LN(2)/25))/(LN(2)/25)*Calculateur!V76*Calculateur!X76*VLOOKUP('Données projet'!$B$9,Paramètres!$A$1:$I$89,3,0)*0.475*44/12</f>
        <v>2.8426627813941838</v>
      </c>
      <c r="AB76" s="21">
        <f>EXP(-LN(2)/2)*AB75+(1-EXP(-LN(2)/2))/(LN(2)/2)*V76*Y76*VLOOKUP('Données projet'!$B$9,Paramètres!$A$1:$I$89,3,0)*0.475*44/12</f>
        <v>2.8777303696692618E-6</v>
      </c>
      <c r="AC76" s="22">
        <f t="shared" si="57"/>
        <v>5.9614698157078312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365.39999999999969</v>
      </c>
      <c r="AJ76" s="13">
        <f>AI76*VLOOKUP('Données projet'!$B$10,Paramètres!$A$1:$I$89,3,0)*VLOOKUP('Données projet'!$B$10,Paramètres!$A$1:$I$89,5,0)</f>
        <v>290.71223999999978</v>
      </c>
      <c r="AK76" s="13">
        <f t="shared" si="89"/>
        <v>69.225842856510994</v>
      </c>
      <c r="AL76" s="20">
        <f t="shared" si="58"/>
        <v>626.89216097508961</v>
      </c>
      <c r="AM76" s="59">
        <f t="shared" si="59"/>
        <v>920.22549430842287</v>
      </c>
      <c r="AN76" s="59">
        <f ca="1">AVERAGE(OFFSET($AM$3,0,0,'Données projet'!$E$10+1,1))-AVERAGE(OFFSET($H$3,0,0,'Données projet'!$E$10+1,1))</f>
        <v>295.36463140471733</v>
      </c>
      <c r="AO76" s="59">
        <f t="shared" si="90"/>
        <v>295.34177980841878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7.3887483122959665</v>
      </c>
      <c r="AV76" s="21">
        <f>EXP(-LN(2)/25)*AV75+(1-EXP(-LN(2)/25))/(LN(2)/25)*Calculateur!AQ76*Calculateur!AS76*VLOOKUP('Données projet'!$B$10,Paramètres!$A$1:$I$89,3,0)*0.475*44/12</f>
        <v>6.2773513894319866</v>
      </c>
      <c r="AW76" s="21">
        <f>EXP(-LN(2)/2)*AW75+(1-EXP(-LN(2)/2))/(LN(2)/2)*AQ76*AT76*VLOOKUP('Données projet'!$B$10,Paramètres!$A$1:$I$89,3,0)*0.475*44/12</f>
        <v>3.9886836827974226E-6</v>
      </c>
      <c r="AX76" s="21">
        <f t="shared" si="60"/>
        <v>13.666103690411635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274.78375889702613</v>
      </c>
      <c r="T77" s="59">
        <f t="shared" si="88"/>
        <v>180.48047802041276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3.0576463093553805</v>
      </c>
      <c r="AA77" s="21">
        <f>EXP(-LN(2)/25)*AA76+(1-EXP(-LN(2)/25))/(LN(2)/25)*Calculateur!V77*Calculateur!X77*VLOOKUP('Données projet'!$B$9,Paramètres!$A$1:$I$89,3,0)*0.475*44/12</f>
        <v>2.7649300181478211</v>
      </c>
      <c r="AB77" s="21">
        <f>EXP(-LN(2)/2)*AB76+(1-EXP(-LN(2)/2))/(LN(2)/2)*V77*Y77*VLOOKUP('Données projet'!$B$9,Paramètres!$A$1:$I$89,3,0)*0.475*44/12</f>
        <v>2.0348626588196052E-6</v>
      </c>
      <c r="AC77" s="22">
        <f t="shared" si="57"/>
        <v>5.82257836236586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370.1999999999997</v>
      </c>
      <c r="AJ77" s="13">
        <f>AI77*VLOOKUP('Données projet'!$B$10,Paramètres!$A$1:$I$89,3,0)*VLOOKUP('Données projet'!$B$10,Paramètres!$A$1:$I$89,5,0)</f>
        <v>294.53111999999976</v>
      </c>
      <c r="AK77" s="13">
        <f t="shared" si="89"/>
        <v>70.028751453157682</v>
      </c>
      <c r="AL77" s="20">
        <f t="shared" si="58"/>
        <v>634.94177611424914</v>
      </c>
      <c r="AM77" s="59">
        <f t="shared" si="59"/>
        <v>928.27510944758251</v>
      </c>
      <c r="AN77" s="59">
        <f ca="1">AVERAGE(OFFSET($AM$3,0,0,'Données projet'!$E$10+1,1))-AVERAGE(OFFSET($H$3,0,0,'Données projet'!$E$10+1,1))</f>
        <v>295.36463140471733</v>
      </c>
      <c r="AO77" s="59">
        <f t="shared" si="90"/>
        <v>295.34177980841878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7.2438594645833145</v>
      </c>
      <c r="AV77" s="21">
        <f>EXP(-LN(2)/25)*AV76+(1-EXP(-LN(2)/25))/(LN(2)/25)*Calculateur!AQ77*Calculateur!AS77*VLOOKUP('Données projet'!$B$10,Paramètres!$A$1:$I$89,3,0)*0.475*44/12</f>
        <v>6.105696885576406</v>
      </c>
      <c r="AW77" s="21">
        <f>EXP(-LN(2)/2)*AW76+(1-EXP(-LN(2)/2))/(LN(2)/2)*AQ77*AT77*VLOOKUP('Données projet'!$B$10,Paramètres!$A$1:$I$89,3,0)*0.475*44/12</f>
        <v>2.8204252801141897E-6</v>
      </c>
      <c r="AX77" s="21">
        <f t="shared" si="60"/>
        <v>13.349559170585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274.78375889702613</v>
      </c>
      <c r="T78" s="59">
        <f t="shared" si="88"/>
        <v>180.48047802041276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2.9976877302090186</v>
      </c>
      <c r="AA78" s="21">
        <f>EXP(-LN(2)/25)*AA77+(1-EXP(-LN(2)/25))/(LN(2)/25)*Calculateur!V78*Calculateur!X78*VLOOKUP('Données projet'!$B$9,Paramètres!$A$1:$I$89,3,0)*0.475*44/12</f>
        <v>2.6893228614002185</v>
      </c>
      <c r="AB78" s="21">
        <f>EXP(-LN(2)/2)*AB77+(1-EXP(-LN(2)/2))/(LN(2)/2)*V78*Y78*VLOOKUP('Données projet'!$B$9,Paramètres!$A$1:$I$89,3,0)*0.475*44/12</f>
        <v>1.4388651848346309E-6</v>
      </c>
      <c r="AC78" s="22">
        <f t="shared" si="57"/>
        <v>5.6870120304744223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375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374.99999999999972</v>
      </c>
      <c r="AJ78" s="13">
        <f>AI78*VLOOKUP('Données projet'!$B$10,Paramètres!$A$1:$I$89,3,0)*VLOOKUP('Données projet'!$B$10,Paramètres!$A$1:$I$89,5,0)</f>
        <v>298.3499999999998</v>
      </c>
      <c r="AK78" s="13">
        <f t="shared" si="89"/>
        <v>70.83044914753448</v>
      </c>
      <c r="AL78" s="20">
        <f t="shared" si="58"/>
        <v>642.98928226528881</v>
      </c>
      <c r="AM78" s="59">
        <f t="shared" si="59"/>
        <v>936.32261559862218</v>
      </c>
      <c r="AN78" s="59">
        <f ca="1">AVERAGE(OFFSET($AM$3,0,0,'Données projet'!$E$10+1,1))-AVERAGE(OFFSET($H$3,0,0,'Données projet'!$E$10+1,1))</f>
        <v>295.36463140471733</v>
      </c>
      <c r="AO78" s="59">
        <f t="shared" si="90"/>
        <v>295.34177980841878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7.1018117988008367</v>
      </c>
      <c r="AV78" s="21">
        <f>EXP(-LN(2)/25)*AV77+(1-EXP(-LN(2)/25))/(LN(2)/25)*Calculateur!AQ78*Calculateur!AS78*VLOOKUP('Données projet'!$B$10,Paramètres!$A$1:$I$89,3,0)*0.475*44/12</f>
        <v>5.9387362831556745</v>
      </c>
      <c r="AW78" s="21">
        <f>EXP(-LN(2)/2)*AW77+(1-EXP(-LN(2)/2))/(LN(2)/2)*AQ78*AT78*VLOOKUP('Données projet'!$B$10,Paramètres!$A$1:$I$89,3,0)*0.475*44/12</f>
        <v>1.9943418413987113E-6</v>
      </c>
      <c r="AX78" s="21">
        <f t="shared" si="60"/>
        <v>13.040550076298354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274.78375889702613</v>
      </c>
      <c r="T79" s="59">
        <f t="shared" si="88"/>
        <v>180.48047802041276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2.9389049022285949</v>
      </c>
      <c r="AA79" s="21">
        <f>EXP(-LN(2)/25)*AA78+(1-EXP(-LN(2)/25))/(LN(2)/25)*Calculateur!V79*Calculateur!X79*VLOOKUP('Données projet'!$B$9,Paramètres!$A$1:$I$89,3,0)*0.475*44/12</f>
        <v>2.6157831863298866</v>
      </c>
      <c r="AB79" s="21">
        <f>EXP(-LN(2)/2)*AB78+(1-EXP(-LN(2)/2))/(LN(2)/2)*V79*Y79*VLOOKUP('Données projet'!$B$9,Paramètres!$A$1:$I$89,3,0)*0.475*44/12</f>
        <v>1.0174313294098026E-6</v>
      </c>
      <c r="AC79" s="22">
        <f t="shared" si="57"/>
        <v>5.5546891059898114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</v>
      </c>
      <c r="AI79" s="13">
        <f>IF('Données projet'!$A$62&gt;35,AI78+AH79-AQ78,IF(A79&lt;'Données projet'!$A$62,$AF$205^A79,IF(A79='Données projet'!$A$62,'Données projet'!$B$62,AI78+AH79-AQ78)))</f>
        <v>364.99999999999972</v>
      </c>
      <c r="AJ79" s="13">
        <f>AI79*VLOOKUP('Données projet'!$B$10,Paramètres!$A$1:$I$89,3,0)*VLOOKUP('Données projet'!$B$10,Paramètres!$A$1:$I$89,5,0)</f>
        <v>290.39399999999978</v>
      </c>
      <c r="AK79" s="13">
        <f t="shared" si="89"/>
        <v>69.158878594433091</v>
      </c>
      <c r="AL79" s="20">
        <f t="shared" si="58"/>
        <v>626.22126355197054</v>
      </c>
      <c r="AM79" s="59">
        <f t="shared" si="59"/>
        <v>919.55459688530391</v>
      </c>
      <c r="AN79" s="59">
        <f ca="1">AVERAGE(OFFSET($AM$3,0,0,'Données projet'!$E$10+1,1))-AVERAGE(OFFSET($H$3,0,0,'Données projet'!$E$10+1,1))</f>
        <v>295.36463140471733</v>
      </c>
      <c r="AO79" s="59">
        <f t="shared" si="90"/>
        <v>295.34177980841878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6.9625496011038317</v>
      </c>
      <c r="AV79" s="21">
        <f>EXP(-LN(2)/25)*AV78+(1-EXP(-LN(2)/25))/(LN(2)/25)*Calculateur!AQ79*Calculateur!AS79*VLOOKUP('Données projet'!$B$10,Paramètres!$A$1:$I$89,3,0)*0.475*44/12</f>
        <v>5.7763412271882144</v>
      </c>
      <c r="AW79" s="21">
        <f>EXP(-LN(2)/2)*AW78+(1-EXP(-LN(2)/2))/(LN(2)/2)*AQ79*AT79*VLOOKUP('Données projet'!$B$10,Paramètres!$A$1:$I$89,3,0)*0.475*44/12</f>
        <v>1.4102126400570949E-6</v>
      </c>
      <c r="AX79" s="21">
        <f t="shared" si="60"/>
        <v>12.738892238504686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274.78375889702613</v>
      </c>
      <c r="T80" s="59">
        <f t="shared" si="88"/>
        <v>180.48047802041276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2.8812747696508825</v>
      </c>
      <c r="AA80" s="21">
        <f>EXP(-LN(2)/25)*AA79+(1-EXP(-LN(2)/25))/(LN(2)/25)*Calculateur!V80*Calculateur!X80*VLOOKUP('Données projet'!$B$9,Paramètres!$A$1:$I$89,3,0)*0.475*44/12</f>
        <v>2.5442544575416366</v>
      </c>
      <c r="AB80" s="21">
        <f>EXP(-LN(2)/2)*AB79+(1-EXP(-LN(2)/2))/(LN(2)/2)*V80*Y80*VLOOKUP('Données projet'!$B$9,Paramètres!$A$1:$I$89,3,0)*0.475*44/12</f>
        <v>7.1943259241731546E-7</v>
      </c>
      <c r="AC80" s="22">
        <f t="shared" si="57"/>
        <v>5.4255299466251117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</v>
      </c>
      <c r="AI80" s="13">
        <f>IF('Données projet'!$A$62&gt;35,AI79+AH80-AQ79,IF(A80&lt;'Données projet'!$A$62,$AF$205^A80,IF(A80='Données projet'!$A$62,'Données projet'!$B$62,AI79+AH80-AQ79)))</f>
        <v>368.99999999999972</v>
      </c>
      <c r="AJ80" s="13">
        <f>AI80*VLOOKUP('Données projet'!$B$10,Paramètres!$A$1:$I$89,3,0)*VLOOKUP('Données projet'!$B$10,Paramètres!$A$1:$I$89,5,0)</f>
        <v>293.57639999999981</v>
      </c>
      <c r="AK80" s="13">
        <f t="shared" si="89"/>
        <v>69.828138511965548</v>
      </c>
      <c r="AL80" s="20">
        <f t="shared" si="58"/>
        <v>632.92957124167299</v>
      </c>
      <c r="AM80" s="59">
        <f t="shared" si="59"/>
        <v>926.26290457500636</v>
      </c>
      <c r="AN80" s="59">
        <f ca="1">AVERAGE(OFFSET($AM$3,0,0,'Données projet'!$E$10+1,1))-AVERAGE(OFFSET($H$3,0,0,'Données projet'!$E$10+1,1))</f>
        <v>295.36463140471733</v>
      </c>
      <c r="AO80" s="59">
        <f t="shared" si="90"/>
        <v>295.34177980841878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6.8260182501621118</v>
      </c>
      <c r="AV80" s="21">
        <f>EXP(-LN(2)/25)*AV79+(1-EXP(-LN(2)/25))/(LN(2)/25)*Calculateur!AQ80*Calculateur!AS80*VLOOKUP('Données projet'!$B$10,Paramètres!$A$1:$I$89,3,0)*0.475*44/12</f>
        <v>5.6183868725661696</v>
      </c>
      <c r="AW80" s="21">
        <f>EXP(-LN(2)/2)*AW79+(1-EXP(-LN(2)/2))/(LN(2)/2)*AQ80*AT80*VLOOKUP('Données projet'!$B$10,Paramètres!$A$1:$I$89,3,0)*0.475*44/12</f>
        <v>9.9717092069935564E-7</v>
      </c>
      <c r="AX80" s="21">
        <f t="shared" si="60"/>
        <v>12.444406119899201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274.78375889702613</v>
      </c>
      <c r="T81" s="59">
        <f t="shared" si="88"/>
        <v>180.48047802041276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2.824774728822109</v>
      </c>
      <c r="AA81" s="21">
        <f>EXP(-LN(2)/25)*AA80+(1-EXP(-LN(2)/25))/(LN(2)/25)*Calculateur!V81*Calculateur!X81*VLOOKUP('Données projet'!$B$9,Paramètres!$A$1:$I$89,3,0)*0.475*44/12</f>
        <v>2.4746816856036338</v>
      </c>
      <c r="AB81" s="21">
        <f>EXP(-LN(2)/2)*AB80+(1-EXP(-LN(2)/2))/(LN(2)/2)*V81*Y81*VLOOKUP('Données projet'!$B$9,Paramètres!$A$1:$I$89,3,0)*0.475*44/12</f>
        <v>5.0871566470490131E-7</v>
      </c>
      <c r="AC81" s="22">
        <f t="shared" si="57"/>
        <v>5.2994569231414079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</v>
      </c>
      <c r="AI81" s="13">
        <f>IF('Données projet'!$A$62&gt;35,AI80+AH81-AQ80,IF(A81&lt;'Données projet'!$A$62,$AF$205^A81,IF(A81='Données projet'!$A$62,'Données projet'!$B$62,AI80+AH81-AQ80)))</f>
        <v>372.99999999999972</v>
      </c>
      <c r="AJ81" s="13">
        <f>AI81*VLOOKUP('Données projet'!$B$10,Paramètres!$A$1:$I$89,3,0)*VLOOKUP('Données projet'!$B$10,Paramètres!$A$1:$I$89,5,0)</f>
        <v>296.75879999999978</v>
      </c>
      <c r="AK81" s="13">
        <f t="shared" si="89"/>
        <v>70.496554480015604</v>
      </c>
      <c r="AL81" s="20">
        <f t="shared" si="58"/>
        <v>639.63640905269347</v>
      </c>
      <c r="AM81" s="59">
        <f t="shared" si="59"/>
        <v>932.96974238602684</v>
      </c>
      <c r="AN81" s="59">
        <f ca="1">AVERAGE(OFFSET($AM$3,0,0,'Données projet'!$E$10+1,1))-AVERAGE(OFFSET($H$3,0,0,'Données projet'!$E$10+1,1))</f>
        <v>295.36463140471733</v>
      </c>
      <c r="AO81" s="59">
        <f t="shared" si="90"/>
        <v>295.34177980841878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6.6921641957364582</v>
      </c>
      <c r="AV81" s="21">
        <f>EXP(-LN(2)/25)*AV80+(1-EXP(-LN(2)/25))/(LN(2)/25)*Calculateur!AQ81*Calculateur!AS81*VLOOKUP('Données projet'!$B$10,Paramètres!$A$1:$I$89,3,0)*0.475*44/12</f>
        <v>5.4647517880777228</v>
      </c>
      <c r="AW81" s="21">
        <f>EXP(-LN(2)/2)*AW80+(1-EXP(-LN(2)/2))/(LN(2)/2)*AQ81*AT81*VLOOKUP('Données projet'!$B$10,Paramètres!$A$1:$I$89,3,0)*0.475*44/12</f>
        <v>7.0510632002854743E-7</v>
      </c>
      <c r="AX81" s="21">
        <f t="shared" si="60"/>
        <v>12.1569166889205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274.78375889702613</v>
      </c>
      <c r="T82" s="59">
        <f t="shared" si="88"/>
        <v>180.48047802041276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2.7693826193323656</v>
      </c>
      <c r="AA82" s="21">
        <f>EXP(-LN(2)/25)*AA81+(1-EXP(-LN(2)/25))/(LN(2)/25)*Calculateur!V82*Calculateur!X82*VLOOKUP('Données projet'!$B$9,Paramètres!$A$1:$I$89,3,0)*0.475*44/12</f>
        <v>2.4070113847729484</v>
      </c>
      <c r="AB82" s="21">
        <f>EXP(-LN(2)/2)*AB81+(1-EXP(-LN(2)/2))/(LN(2)/2)*V82*Y82*VLOOKUP('Données projet'!$B$9,Paramètres!$A$1:$I$89,3,0)*0.475*44/12</f>
        <v>3.5971629620865773E-7</v>
      </c>
      <c r="AC82" s="22">
        <f t="shared" si="57"/>
        <v>5.1763943638216094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</v>
      </c>
      <c r="AI82" s="13">
        <f>IF('Données projet'!$A$62&gt;35,AI81+AH82-AQ81,IF(A82&lt;'Données projet'!$A$62,$AF$205^A82,IF(A82='Données projet'!$A$62,'Données projet'!$B$62,AI81+AH82-AQ81)))</f>
        <v>376.99999999999972</v>
      </c>
      <c r="AJ82" s="13">
        <f>AI82*VLOOKUP('Données projet'!$B$10,Paramètres!$A$1:$I$89,3,0)*VLOOKUP('Données projet'!$B$10,Paramètres!$A$1:$I$89,5,0)</f>
        <v>299.94119999999981</v>
      </c>
      <c r="AK82" s="13">
        <f t="shared" si="89"/>
        <v>71.164136596531506</v>
      </c>
      <c r="AL82" s="20">
        <f t="shared" si="58"/>
        <v>646.34179457229197</v>
      </c>
      <c r="AM82" s="59">
        <f t="shared" si="59"/>
        <v>939.67512790562523</v>
      </c>
      <c r="AN82" s="59">
        <f ca="1">AVERAGE(OFFSET($AM$3,0,0,'Données projet'!$E$10+1,1))-AVERAGE(OFFSET($H$3,0,0,'Données projet'!$E$10+1,1))</f>
        <v>295.36463140471733</v>
      </c>
      <c r="AO82" s="59">
        <f t="shared" si="90"/>
        <v>295.34177980841878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6.5609349376751798</v>
      </c>
      <c r="AV82" s="21">
        <f>EXP(-LN(2)/25)*AV81+(1-EXP(-LN(2)/25))/(LN(2)/25)*Calculateur!AQ82*Calculateur!AS82*VLOOKUP('Données projet'!$B$10,Paramètres!$A$1:$I$89,3,0)*0.475*44/12</f>
        <v>5.3153178630539308</v>
      </c>
      <c r="AW82" s="21">
        <f>EXP(-LN(2)/2)*AW81+(1-EXP(-LN(2)/2))/(LN(2)/2)*AQ82*AT82*VLOOKUP('Données projet'!$B$10,Paramètres!$A$1:$I$89,3,0)*0.475*44/12</f>
        <v>4.9858546034967782E-7</v>
      </c>
      <c r="AX82" s="21">
        <f t="shared" si="60"/>
        <v>11.876253299314572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274.78375889702613</v>
      </c>
      <c r="T83" s="59">
        <f t="shared" si="88"/>
        <v>180.48047802041276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2.7150767153238653</v>
      </c>
      <c r="AA83" s="21">
        <f>EXP(-LN(2)/25)*AA82+(1-EXP(-LN(2)/25))/(LN(2)/25)*Calculateur!V83*Calculateur!X83*VLOOKUP('Données projet'!$B$9,Paramètres!$A$1:$I$89,3,0)*0.475*44/12</f>
        <v>2.3411915318771048</v>
      </c>
      <c r="AB83" s="21">
        <f>EXP(-LN(2)/2)*AB82+(1-EXP(-LN(2)/2))/(LN(2)/2)*V83*Y83*VLOOKUP('Données projet'!$B$9,Paramètres!$A$1:$I$89,3,0)*0.475*44/12</f>
        <v>2.5435783235245065E-7</v>
      </c>
      <c r="AC83" s="22">
        <f t="shared" si="57"/>
        <v>5.0562685015588027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381</v>
      </c>
      <c r="AG83" s="12">
        <f>VLOOKUP(A83,'Données projet'!$A$61:$I$81,9,0)</f>
        <v>4</v>
      </c>
      <c r="AH83" s="12">
        <f t="array" ref="AH83">INDEX(AG:AG,MIN(IF(ISNUMBER(AG83:AG279),ROW(AG83:AG279),"")))</f>
        <v>4</v>
      </c>
      <c r="AI83" s="13">
        <f>IF('Données projet'!$A$62&gt;35,AI82+AH83-AQ82,IF(A83&lt;'Données projet'!$A$62,$AF$205^A83,IF(A83='Données projet'!$A$62,'Données projet'!$B$62,AI82+AH83-AQ82)))</f>
        <v>380.99999999999972</v>
      </c>
      <c r="AJ83" s="13">
        <f>AI83*VLOOKUP('Données projet'!$B$10,Paramètres!$A$1:$I$89,3,0)*VLOOKUP('Données projet'!$B$10,Paramètres!$A$1:$I$89,5,0)</f>
        <v>303.12359999999978</v>
      </c>
      <c r="AK83" s="13">
        <f t="shared" si="89"/>
        <v>71.830894732837621</v>
      </c>
      <c r="AL83" s="20">
        <f t="shared" si="58"/>
        <v>653.0457449930251</v>
      </c>
      <c r="AM83" s="59">
        <f t="shared" si="59"/>
        <v>946.37907832635847</v>
      </c>
      <c r="AN83" s="59">
        <f ca="1">AVERAGE(OFFSET($AM$3,0,0,'Données projet'!$E$10+1,1))-AVERAGE(OFFSET($H$3,0,0,'Données projet'!$E$10+1,1))</f>
        <v>295.36463140471733</v>
      </c>
      <c r="AO83" s="59">
        <f t="shared" si="90"/>
        <v>295.34177980841878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381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6.4322790053225392</v>
      </c>
      <c r="AV83" s="21">
        <f>EXP(-LN(2)/25)*AV82+(1-EXP(-LN(2)/25))/(LN(2)/25)*Calculateur!AQ83*Calculateur!AS83*VLOOKUP('Données projet'!$B$10,Paramètres!$A$1:$I$89,3,0)*0.475*44/12</f>
        <v>5.169970216568303</v>
      </c>
      <c r="AW83" s="21">
        <f>EXP(-LN(2)/2)*AW82+(1-EXP(-LN(2)/2))/(LN(2)/2)*AQ83*AT83*VLOOKUP('Données projet'!$B$10,Paramètres!$A$1:$I$89,3,0)*0.475*44/12</f>
        <v>3.5255316001427371E-7</v>
      </c>
      <c r="AX83" s="21">
        <f t="shared" si="60"/>
        <v>11.602249574444002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274.78375889702613</v>
      </c>
      <c r="T84" s="59">
        <f t="shared" si="88"/>
        <v>180.48047802041276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2.6618357169696409</v>
      </c>
      <c r="AA84" s="21">
        <f>EXP(-LN(2)/25)*AA83+(1-EXP(-LN(2)/25))/(LN(2)/25)*Calculateur!V84*Calculateur!X84*VLOOKUP('Données projet'!$B$9,Paramètres!$A$1:$I$89,3,0)*0.475*44/12</f>
        <v>2.2771715263200134</v>
      </c>
      <c r="AB84" s="21">
        <f>EXP(-LN(2)/2)*AB83+(1-EXP(-LN(2)/2))/(LN(2)/2)*V84*Y84*VLOOKUP('Données projet'!$B$9,Paramètres!$A$1:$I$89,3,0)*0.475*44/12</f>
        <v>1.7985814810432887E-7</v>
      </c>
      <c r="AC84" s="22">
        <f t="shared" si="57"/>
        <v>4.9390074231478023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-2.8421709430404007E-13</v>
      </c>
      <c r="AJ84" s="13">
        <f>AI84*VLOOKUP('Données projet'!$B$10,Paramètres!$A$1:$I$89,3,0)*VLOOKUP('Données projet'!$B$10,Paramètres!$A$1:$I$89,5,0)</f>
        <v>-2.2612312022829427E-13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295.36463140471733</v>
      </c>
      <c r="AO84" s="59">
        <f t="shared" si="90"/>
        <v>295.34177980841878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6.3061459373309638</v>
      </c>
      <c r="AV84" s="21">
        <f>EXP(-LN(2)/25)*AV83+(1-EXP(-LN(2)/25))/(LN(2)/25)*Calculateur!AQ84*Calculateur!AS84*VLOOKUP('Données projet'!$B$10,Paramètres!$A$1:$I$89,3,0)*0.475*44/12</f>
        <v>5.0285971091193256</v>
      </c>
      <c r="AW84" s="21">
        <f>EXP(-LN(2)/2)*AW83+(1-EXP(-LN(2)/2))/(LN(2)/2)*AQ84*AT84*VLOOKUP('Données projet'!$B$10,Paramètres!$A$1:$I$89,3,0)*0.475*44/12</f>
        <v>2.4929273017483891E-7</v>
      </c>
      <c r="AX84" s="21">
        <f t="shared" si="60"/>
        <v>11.334743295743019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274.78375889702613</v>
      </c>
      <c r="T85" s="59">
        <f t="shared" si="88"/>
        <v>180.48047802041276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2.6096387421193405</v>
      </c>
      <c r="AA85" s="21">
        <f>EXP(-LN(2)/25)*AA84+(1-EXP(-LN(2)/25))/(LN(2)/25)*Calculateur!V85*Calculateur!X85*VLOOKUP('Données projet'!$B$9,Paramètres!$A$1:$I$89,3,0)*0.475*44/12</f>
        <v>2.2149021511815468</v>
      </c>
      <c r="AB85" s="21">
        <f>EXP(-LN(2)/2)*AB84+(1-EXP(-LN(2)/2))/(LN(2)/2)*V85*Y85*VLOOKUP('Données projet'!$B$9,Paramètres!$A$1:$I$89,3,0)*0.475*44/12</f>
        <v>1.2717891617622533E-7</v>
      </c>
      <c r="AC85" s="22">
        <f t="shared" si="57"/>
        <v>4.8245410204798036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-2.8421709430404007E-13</v>
      </c>
      <c r="AJ85" s="13">
        <f>AI85*VLOOKUP('Données projet'!$B$10,Paramètres!$A$1:$I$89,3,0)*VLOOKUP('Données projet'!$B$10,Paramètres!$A$1:$I$89,5,0)</f>
        <v>-2.2612312022829427E-13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295.36463140471733</v>
      </c>
      <c r="AO85" s="59">
        <f t="shared" si="90"/>
        <v>295.34177980841878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6.1824862618691281</v>
      </c>
      <c r="AV85" s="21">
        <f>EXP(-LN(2)/25)*AV84+(1-EXP(-LN(2)/25))/(LN(2)/25)*Calculateur!AQ85*Calculateur!AS85*VLOOKUP('Données projet'!$B$10,Paramètres!$A$1:$I$89,3,0)*0.475*44/12</f>
        <v>4.891089856728029</v>
      </c>
      <c r="AW85" s="21">
        <f>EXP(-LN(2)/2)*AW84+(1-EXP(-LN(2)/2))/(LN(2)/2)*AQ85*AT85*VLOOKUP('Données projet'!$B$10,Paramètres!$A$1:$I$89,3,0)*0.475*44/12</f>
        <v>1.7627658000713686E-7</v>
      </c>
      <c r="AX85" s="21">
        <f t="shared" si="60"/>
        <v>11.073576294873737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274.78375889702613</v>
      </c>
      <c r="T86" s="59">
        <f t="shared" si="88"/>
        <v>180.48047802041276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2.5584653181088433</v>
      </c>
      <c r="AA86" s="21">
        <f>EXP(-LN(2)/25)*AA85+(1-EXP(-LN(2)/25))/(LN(2)/25)*Calculateur!V86*Calculateur!X86*VLOOKUP('Données projet'!$B$9,Paramètres!$A$1:$I$89,3,0)*0.475*44/12</f>
        <v>2.1543355353808455</v>
      </c>
      <c r="AB86" s="21">
        <f>EXP(-LN(2)/2)*AB85+(1-EXP(-LN(2)/2))/(LN(2)/2)*V86*Y86*VLOOKUP('Données projet'!$B$9,Paramètres!$A$1:$I$89,3,0)*0.475*44/12</f>
        <v>8.9929074052164433E-8</v>
      </c>
      <c r="AC86" s="22">
        <f t="shared" si="57"/>
        <v>4.7128009434187632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-2.8421709430404007E-13</v>
      </c>
      <c r="AJ86" s="13">
        <f>AI86*VLOOKUP('Données projet'!$B$10,Paramètres!$A$1:$I$89,3,0)*VLOOKUP('Données projet'!$B$10,Paramètres!$A$1:$I$89,5,0)</f>
        <v>-2.2612312022829427E-13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295.36463140471733</v>
      </c>
      <c r="AO86" s="59">
        <f t="shared" si="90"/>
        <v>295.34177980841878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6.0612514772181445</v>
      </c>
      <c r="AV86" s="21">
        <f>EXP(-LN(2)/25)*AV85+(1-EXP(-LN(2)/25))/(LN(2)/25)*Calculateur!AQ86*Calculateur!AS86*VLOOKUP('Données projet'!$B$10,Paramètres!$A$1:$I$89,3,0)*0.475*44/12</f>
        <v>4.7573427473845644</v>
      </c>
      <c r="AW86" s="21">
        <f>EXP(-LN(2)/2)*AW85+(1-EXP(-LN(2)/2))/(LN(2)/2)*AQ86*AT86*VLOOKUP('Données projet'!$B$10,Paramètres!$A$1:$I$89,3,0)*0.475*44/12</f>
        <v>1.2464636508741946E-7</v>
      </c>
      <c r="AX86" s="21">
        <f t="shared" si="60"/>
        <v>10.818594349249073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274.78375889702613</v>
      </c>
      <c r="T87" s="59">
        <f t="shared" si="88"/>
        <v>180.48047802041276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2.5082953737304852</v>
      </c>
      <c r="AA87" s="21">
        <f>EXP(-LN(2)/25)*AA86+(1-EXP(-LN(2)/25))/(LN(2)/25)*Calculateur!V87*Calculateur!X87*VLOOKUP('Données projet'!$B$9,Paramètres!$A$1:$I$89,3,0)*0.475*44/12</f>
        <v>2.0954251168742744</v>
      </c>
      <c r="AB87" s="21">
        <f>EXP(-LN(2)/2)*AB86+(1-EXP(-LN(2)/2))/(LN(2)/2)*V87*Y87*VLOOKUP('Données projet'!$B$9,Paramètres!$A$1:$I$89,3,0)*0.475*44/12</f>
        <v>6.3589458088112663E-8</v>
      </c>
      <c r="AC87" s="22">
        <f t="shared" si="57"/>
        <v>4.6037205541942177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-2.8421709430404007E-13</v>
      </c>
      <c r="AJ87" s="13">
        <f>AI87*VLOOKUP('Données projet'!$B$10,Paramètres!$A$1:$I$89,3,0)*VLOOKUP('Données projet'!$B$10,Paramètres!$A$1:$I$89,5,0)</f>
        <v>-2.2612312022829427E-13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295.36463140471733</v>
      </c>
      <c r="AO87" s="59">
        <f t="shared" si="90"/>
        <v>295.34177980841878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5.9423940327482496</v>
      </c>
      <c r="AV87" s="21">
        <f>EXP(-LN(2)/25)*AV86+(1-EXP(-LN(2)/25))/(LN(2)/25)*Calculateur!AQ87*Calculateur!AS87*VLOOKUP('Données projet'!$B$10,Paramètres!$A$1:$I$89,3,0)*0.475*44/12</f>
        <v>4.6272529597795513</v>
      </c>
      <c r="AW87" s="21">
        <f>EXP(-LN(2)/2)*AW86+(1-EXP(-LN(2)/2))/(LN(2)/2)*AQ87*AT87*VLOOKUP('Données projet'!$B$10,Paramètres!$A$1:$I$89,3,0)*0.475*44/12</f>
        <v>8.8138290003568429E-8</v>
      </c>
      <c r="AX87" s="21">
        <f t="shared" si="60"/>
        <v>10.56964708066609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274.78375889702613</v>
      </c>
      <c r="T88" s="59">
        <f t="shared" si="88"/>
        <v>180.48047802041276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2.4591092313607423</v>
      </c>
      <c r="AA88" s="21">
        <f>EXP(-LN(2)/25)*AA87+(1-EXP(-LN(2)/25))/(LN(2)/25)*Calculateur!V88*Calculateur!X88*VLOOKUP('Données projet'!$B$9,Paramètres!$A$1:$I$89,3,0)*0.475*44/12</f>
        <v>2.0381256068597295</v>
      </c>
      <c r="AB88" s="21">
        <f>EXP(-LN(2)/2)*AB87+(1-EXP(-LN(2)/2))/(LN(2)/2)*V88*Y88*VLOOKUP('Données projet'!$B$9,Paramètres!$A$1:$I$89,3,0)*0.475*44/12</f>
        <v>4.4964537026082216E-8</v>
      </c>
      <c r="AC88" s="22">
        <f t="shared" si="57"/>
        <v>4.4972348831850084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-2.8421709430404007E-13</v>
      </c>
      <c r="AJ88" s="13">
        <f>AI88*VLOOKUP('Données projet'!$B$10,Paramètres!$A$1:$I$89,3,0)*VLOOKUP('Données projet'!$B$10,Paramètres!$A$1:$I$89,5,0)</f>
        <v>-2.2612312022829427E-13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295.36463140471733</v>
      </c>
      <c r="AO88" s="59">
        <f t="shared" si="90"/>
        <v>295.34177980841878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5.8258673102685261</v>
      </c>
      <c r="AV88" s="21">
        <f>EXP(-LN(2)/25)*AV87+(1-EXP(-LN(2)/25))/(LN(2)/25)*Calculateur!AQ88*Calculateur!AS88*VLOOKUP('Données projet'!$B$10,Paramètres!$A$1:$I$89,3,0)*0.475*44/12</f>
        <v>4.5007204842577222</v>
      </c>
      <c r="AW88" s="21">
        <f>EXP(-LN(2)/2)*AW87+(1-EXP(-LN(2)/2))/(LN(2)/2)*AQ88*AT88*VLOOKUP('Données projet'!$B$10,Paramètres!$A$1:$I$89,3,0)*0.475*44/12</f>
        <v>6.2323182543709728E-8</v>
      </c>
      <c r="AX88" s="21">
        <f t="shared" si="60"/>
        <v>10.32658785684943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274.78375889702613</v>
      </c>
      <c r="T89" s="59">
        <f t="shared" si="88"/>
        <v>180.48047802041276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2.4108875992422858</v>
      </c>
      <c r="AA89" s="21">
        <f>EXP(-LN(2)/25)*AA88+(1-EXP(-LN(2)/25))/(LN(2)/25)*Calculateur!V89*Calculateur!X89*VLOOKUP('Données projet'!$B$9,Paramètres!$A$1:$I$89,3,0)*0.475*44/12</f>
        <v>1.9823929549597827</v>
      </c>
      <c r="AB89" s="21">
        <f>EXP(-LN(2)/2)*AB88+(1-EXP(-LN(2)/2))/(LN(2)/2)*V89*Y89*VLOOKUP('Données projet'!$B$9,Paramètres!$A$1:$I$89,3,0)*0.475*44/12</f>
        <v>3.1794729044056332E-8</v>
      </c>
      <c r="AC89" s="22">
        <f t="shared" si="57"/>
        <v>4.3932805859967967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-2.8421709430404007E-13</v>
      </c>
      <c r="AJ89" s="13">
        <f>AI89*VLOOKUP('Données projet'!$B$10,Paramètres!$A$1:$I$89,3,0)*VLOOKUP('Données projet'!$B$10,Paramètres!$A$1:$I$89,5,0)</f>
        <v>-2.2612312022829427E-13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295.36463140471733</v>
      </c>
      <c r="AO89" s="59">
        <f t="shared" si="90"/>
        <v>295.34177980841878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5.7116256057423476</v>
      </c>
      <c r="AV89" s="21">
        <f>EXP(-LN(2)/25)*AV88+(1-EXP(-LN(2)/25))/(LN(2)/25)*Calculateur!AQ89*Calculateur!AS89*VLOOKUP('Données projet'!$B$10,Paramètres!$A$1:$I$89,3,0)*0.475*44/12</f>
        <v>4.3776480459330909</v>
      </c>
      <c r="AW89" s="21">
        <f>EXP(-LN(2)/2)*AW88+(1-EXP(-LN(2)/2))/(LN(2)/2)*AQ89*AT89*VLOOKUP('Données projet'!$B$10,Paramètres!$A$1:$I$89,3,0)*0.475*44/12</f>
        <v>4.4069145001784214E-8</v>
      </c>
      <c r="AX89" s="21">
        <f t="shared" si="60"/>
        <v>10.089273695744582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274.78375889702613</v>
      </c>
      <c r="T90" s="59">
        <f t="shared" si="88"/>
        <v>180.48047802041276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2.3636115639173805</v>
      </c>
      <c r="AA90" s="21">
        <f>EXP(-LN(2)/25)*AA89+(1-EXP(-LN(2)/25))/(LN(2)/25)*Calculateur!V90*Calculateur!X90*VLOOKUP('Données projet'!$B$9,Paramètres!$A$1:$I$89,3,0)*0.475*44/12</f>
        <v>1.9281843153568927</v>
      </c>
      <c r="AB90" s="21">
        <f>EXP(-LN(2)/2)*AB89+(1-EXP(-LN(2)/2))/(LN(2)/2)*V90*Y90*VLOOKUP('Données projet'!$B$9,Paramètres!$A$1:$I$89,3,0)*0.475*44/12</f>
        <v>2.2482268513041108E-8</v>
      </c>
      <c r="AC90" s="22">
        <f t="shared" si="57"/>
        <v>4.2917959017565419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-2.8421709430404007E-13</v>
      </c>
      <c r="AJ90" s="13">
        <f>AI90*VLOOKUP('Données projet'!$B$10,Paramètres!$A$1:$I$89,3,0)*VLOOKUP('Données projet'!$B$10,Paramètres!$A$1:$I$89,5,0)</f>
        <v>-2.2612312022829427E-13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295.36463140471733</v>
      </c>
      <c r="AO90" s="59">
        <f t="shared" si="90"/>
        <v>295.34177980841878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5.5996241113613685</v>
      </c>
      <c r="AV90" s="21">
        <f>EXP(-LN(2)/25)*AV89+(1-EXP(-LN(2)/25))/(LN(2)/25)*Calculateur!AQ90*Calculateur!AS90*VLOOKUP('Données projet'!$B$10,Paramètres!$A$1:$I$89,3,0)*0.475*44/12</f>
        <v>4.2579410299065454</v>
      </c>
      <c r="AW90" s="21">
        <f>EXP(-LN(2)/2)*AW89+(1-EXP(-LN(2)/2))/(LN(2)/2)*AQ90*AT90*VLOOKUP('Données projet'!$B$10,Paramètres!$A$1:$I$89,3,0)*0.475*44/12</f>
        <v>3.1161591271854864E-8</v>
      </c>
      <c r="AX90" s="21">
        <f t="shared" si="60"/>
        <v>9.8575651724295046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274.78375889702613</v>
      </c>
      <c r="T91" s="59">
        <f t="shared" si="88"/>
        <v>180.48047802041276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2.3172625828096627</v>
      </c>
      <c r="AA91" s="21">
        <f>EXP(-LN(2)/25)*AA90+(1-EXP(-LN(2)/25))/(LN(2)/25)*Calculateur!V91*Calculateur!X91*VLOOKUP('Données projet'!$B$9,Paramètres!$A$1:$I$89,3,0)*0.475*44/12</f>
        <v>1.8754580138546522</v>
      </c>
      <c r="AB91" s="21">
        <f>EXP(-LN(2)/2)*AB90+(1-EXP(-LN(2)/2))/(LN(2)/2)*V91*Y91*VLOOKUP('Données projet'!$B$9,Paramètres!$A$1:$I$89,3,0)*0.475*44/12</f>
        <v>1.5897364522028166E-8</v>
      </c>
      <c r="AC91" s="22">
        <f t="shared" si="57"/>
        <v>4.1927206125616792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-2.8421709430404007E-13</v>
      </c>
      <c r="AJ91" s="13">
        <f>AI91*VLOOKUP('Données projet'!$B$10,Paramètres!$A$1:$I$89,3,0)*VLOOKUP('Données projet'!$B$10,Paramètres!$A$1:$I$89,5,0)</f>
        <v>-2.2612312022829427E-13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295.36463140471733</v>
      </c>
      <c r="AO91" s="59">
        <f t="shared" si="90"/>
        <v>295.34177980841878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5.4898188979710341</v>
      </c>
      <c r="AV91" s="21">
        <f>EXP(-LN(2)/25)*AV90+(1-EXP(-LN(2)/25))/(LN(2)/25)*Calculateur!AQ91*Calculateur!AS91*VLOOKUP('Données projet'!$B$10,Paramètres!$A$1:$I$89,3,0)*0.475*44/12</f>
        <v>4.1415074085283639</v>
      </c>
      <c r="AW91" s="21">
        <f>EXP(-LN(2)/2)*AW90+(1-EXP(-LN(2)/2))/(LN(2)/2)*AQ91*AT91*VLOOKUP('Données projet'!$B$10,Paramètres!$A$1:$I$89,3,0)*0.475*44/12</f>
        <v>2.2034572500892107E-8</v>
      </c>
      <c r="AX91" s="21">
        <f t="shared" si="60"/>
        <v>9.6313263285339712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274.78375889702613</v>
      </c>
      <c r="T92" s="59">
        <f t="shared" si="88"/>
        <v>180.48047802041276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2.27182247695138</v>
      </c>
      <c r="AA92" s="21">
        <f>EXP(-LN(2)/25)*AA91+(1-EXP(-LN(2)/25))/(LN(2)/25)*Calculateur!V92*Calculateur!X92*VLOOKUP('Données projet'!$B$9,Paramètres!$A$1:$I$89,3,0)*0.475*44/12</f>
        <v>1.8241735158397461</v>
      </c>
      <c r="AB92" s="21">
        <f>EXP(-LN(2)/2)*AB91+(1-EXP(-LN(2)/2))/(LN(2)/2)*V92*Y92*VLOOKUP('Données projet'!$B$9,Paramètres!$A$1:$I$89,3,0)*0.475*44/12</f>
        <v>1.1241134256520554E-8</v>
      </c>
      <c r="AC92" s="22">
        <f t="shared" si="57"/>
        <v>4.0959960040322603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-2.8421709430404007E-13</v>
      </c>
      <c r="AJ92" s="13">
        <f>AI92*VLOOKUP('Données projet'!$B$10,Paramètres!$A$1:$I$89,3,0)*VLOOKUP('Données projet'!$B$10,Paramètres!$A$1:$I$89,5,0)</f>
        <v>-2.2612312022829427E-13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295.36463140471733</v>
      </c>
      <c r="AO92" s="59">
        <f t="shared" si="90"/>
        <v>295.34177980841878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5.3821668978407171</v>
      </c>
      <c r="AV92" s="21">
        <f>EXP(-LN(2)/25)*AV91+(1-EXP(-LN(2)/25))/(LN(2)/25)*Calculateur!AQ92*Calculateur!AS92*VLOOKUP('Données projet'!$B$10,Paramètres!$A$1:$I$89,3,0)*0.475*44/12</f>
        <v>4.0282576706497464</v>
      </c>
      <c r="AW92" s="21">
        <f>EXP(-LN(2)/2)*AW91+(1-EXP(-LN(2)/2))/(LN(2)/2)*AQ92*AT92*VLOOKUP('Données projet'!$B$10,Paramètres!$A$1:$I$89,3,0)*0.475*44/12</f>
        <v>1.5580795635927432E-8</v>
      </c>
      <c r="AX92" s="21">
        <f t="shared" si="60"/>
        <v>9.4104245840712579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274.78375889702613</v>
      </c>
      <c r="T93" s="59">
        <f t="shared" si="88"/>
        <v>180.48047802041276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2.2272734238532501</v>
      </c>
      <c r="AA93" s="21">
        <f>EXP(-LN(2)/25)*AA92+(1-EXP(-LN(2)/25))/(LN(2)/25)*Calculateur!V93*Calculateur!X93*VLOOKUP('Données projet'!$B$9,Paramètres!$A$1:$I$89,3,0)*0.475*44/12</f>
        <v>1.7742913951199921</v>
      </c>
      <c r="AB93" s="21">
        <f>EXP(-LN(2)/2)*AB92+(1-EXP(-LN(2)/2))/(LN(2)/2)*V93*Y93*VLOOKUP('Données projet'!$B$9,Paramètres!$A$1:$I$89,3,0)*0.475*44/12</f>
        <v>7.9486822610140829E-9</v>
      </c>
      <c r="AC93" s="22">
        <f t="shared" si="57"/>
        <v>4.0015648269219248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-2.8421709430404007E-13</v>
      </c>
      <c r="AJ93" s="13">
        <f>AI93*VLOOKUP('Données projet'!$B$10,Paramètres!$A$1:$I$89,3,0)*VLOOKUP('Données projet'!$B$10,Paramètres!$A$1:$I$89,5,0)</f>
        <v>-2.2612312022829427E-13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295.36463140471733</v>
      </c>
      <c r="AO93" s="59">
        <f t="shared" si="90"/>
        <v>295.34177980841878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5.2766258877717194</v>
      </c>
      <c r="AV93" s="21">
        <f>EXP(-LN(2)/25)*AV92+(1-EXP(-LN(2)/25))/(LN(2)/25)*Calculateur!AQ93*Calculateur!AS93*VLOOKUP('Données projet'!$B$10,Paramètres!$A$1:$I$89,3,0)*0.475*44/12</f>
        <v>3.918104752808965</v>
      </c>
      <c r="AW93" s="21">
        <f>EXP(-LN(2)/2)*AW92+(1-EXP(-LN(2)/2))/(LN(2)/2)*AQ93*AT93*VLOOKUP('Données projet'!$B$10,Paramètres!$A$1:$I$89,3,0)*0.475*44/12</f>
        <v>1.1017286250446054E-8</v>
      </c>
      <c r="AX93" s="21">
        <f t="shared" si="60"/>
        <v>9.1947306515979701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274.78375889702613</v>
      </c>
      <c r="T94" s="59">
        <f t="shared" si="88"/>
        <v>180.48047802041276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2.1835979505141356</v>
      </c>
      <c r="AA94" s="21">
        <f>EXP(-LN(2)/25)*AA93+(1-EXP(-LN(2)/25))/(LN(2)/25)*Calculateur!V94*Calculateur!X94*VLOOKUP('Données projet'!$B$9,Paramètres!$A$1:$I$89,3,0)*0.475*44/12</f>
        <v>1.7257733036145066</v>
      </c>
      <c r="AB94" s="21">
        <f>EXP(-LN(2)/2)*AB93+(1-EXP(-LN(2)/2))/(LN(2)/2)*V94*Y94*VLOOKUP('Données projet'!$B$9,Paramètres!$A$1:$I$89,3,0)*0.475*44/12</f>
        <v>5.620567128260277E-9</v>
      </c>
      <c r="AC94" s="22">
        <f t="shared" si="57"/>
        <v>3.9093712597492094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-2.8421709430404007E-13</v>
      </c>
      <c r="AJ94" s="13">
        <f>AI94*VLOOKUP('Données projet'!$B$10,Paramètres!$A$1:$I$89,3,0)*VLOOKUP('Données projet'!$B$10,Paramètres!$A$1:$I$89,5,0)</f>
        <v>-2.2612312022829427E-13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295.36463140471733</v>
      </c>
      <c r="AO94" s="59">
        <f t="shared" si="90"/>
        <v>295.34177980841878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5.1731544725365142</v>
      </c>
      <c r="AV94" s="21">
        <f>EXP(-LN(2)/25)*AV93+(1-EXP(-LN(2)/25))/(LN(2)/25)*Calculateur!AQ94*Calculateur!AS94*VLOOKUP('Données projet'!$B$10,Paramètres!$A$1:$I$89,3,0)*0.475*44/12</f>
        <v>3.8109639722992297</v>
      </c>
      <c r="AW94" s="21">
        <f>EXP(-LN(2)/2)*AW93+(1-EXP(-LN(2)/2))/(LN(2)/2)*AQ94*AT94*VLOOKUP('Données projet'!$B$10,Paramètres!$A$1:$I$89,3,0)*0.475*44/12</f>
        <v>7.790397817963716E-9</v>
      </c>
      <c r="AX94" s="21">
        <f t="shared" si="60"/>
        <v>8.9841184526261415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907.06132866343501</v>
      </c>
      <c r="S95" s="59">
        <f ca="1">AVERAGE(OFFSET($R$3,0,0,'Données projet'!$E$9+1,1))-AVERAGE(OFFSET($H$3,0,0,'Données projet'!$E$9+1,1))</f>
        <v>274.78375889702613</v>
      </c>
      <c r="T95" s="59">
        <f t="shared" si="88"/>
        <v>180.48047802041276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2.1407789265677928</v>
      </c>
      <c r="AA95" s="21">
        <f>EXP(-LN(2)/25)*AA94+(1-EXP(-LN(2)/25))/(LN(2)/25)*Calculateur!V95*Calculateur!X95*VLOOKUP('Données projet'!$B$9,Paramètres!$A$1:$I$89,3,0)*0.475*44/12</f>
        <v>1.6785819418726942</v>
      </c>
      <c r="AB95" s="21">
        <f>EXP(-LN(2)/2)*AB94+(1-EXP(-LN(2)/2))/(LN(2)/2)*V95*Y95*VLOOKUP('Données projet'!$B$9,Paramètres!$A$1:$I$89,3,0)*0.475*44/12</f>
        <v>3.9743411305070415E-9</v>
      </c>
      <c r="AC95" s="22">
        <f t="shared" si="57"/>
        <v>3.8193608724148285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-2.8421709430404007E-13</v>
      </c>
      <c r="AJ95" s="13">
        <f>AI95*VLOOKUP('Données projet'!$B$10,Paramètres!$A$1:$I$89,3,0)*VLOOKUP('Données projet'!$B$10,Paramètres!$A$1:$I$89,5,0)</f>
        <v>-2.2612312022829427E-13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295.36463140471733</v>
      </c>
      <c r="AO95" s="59">
        <f t="shared" si="90"/>
        <v>295.34177980841878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5.0717120686427402</v>
      </c>
      <c r="AV95" s="21">
        <f>EXP(-LN(2)/25)*AV94+(1-EXP(-LN(2)/25))/(LN(2)/25)*Calculateur!AQ95*Calculateur!AS95*VLOOKUP('Données projet'!$B$10,Paramètres!$A$1:$I$89,3,0)*0.475*44/12</f>
        <v>3.706752962066822</v>
      </c>
      <c r="AW95" s="21">
        <f>EXP(-LN(2)/2)*AW94+(1-EXP(-LN(2)/2))/(LN(2)/2)*AQ95*AT95*VLOOKUP('Données projet'!$B$10,Paramètres!$A$1:$I$89,3,0)*0.475*44/12</f>
        <v>5.5086431252230268E-9</v>
      </c>
      <c r="AX95" s="21">
        <f t="shared" si="60"/>
        <v>8.7784650362182042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918.89026222765256</v>
      </c>
      <c r="S96" s="59">
        <f ca="1">AVERAGE(OFFSET($R$3,0,0,'Données projet'!$E$9+1,1))-AVERAGE(OFFSET($H$3,0,0,'Données projet'!$E$9+1,1))</f>
        <v>274.78375889702613</v>
      </c>
      <c r="T96" s="59">
        <f t="shared" si="88"/>
        <v>180.48047802041276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2.0987995575640119</v>
      </c>
      <c r="AA96" s="21">
        <f>EXP(-LN(2)/25)*AA95+(1-EXP(-LN(2)/25))/(LN(2)/25)*Calculateur!V96*Calculateur!X96*VLOOKUP('Données projet'!$B$9,Paramètres!$A$1:$I$89,3,0)*0.475*44/12</f>
        <v>1.6326810303993975</v>
      </c>
      <c r="AB96" s="21">
        <f>EXP(-LN(2)/2)*AB95+(1-EXP(-LN(2)/2))/(LN(2)/2)*V96*Y96*VLOOKUP('Données projet'!$B$9,Paramètres!$A$1:$I$89,3,0)*0.475*44/12</f>
        <v>2.8102835641301385E-9</v>
      </c>
      <c r="AC96" s="22">
        <f t="shared" si="57"/>
        <v>3.731480590773693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-2.8421709430404007E-13</v>
      </c>
      <c r="AJ96" s="13">
        <f>AI96*VLOOKUP('Données projet'!$B$10,Paramètres!$A$1:$I$89,3,0)*VLOOKUP('Données projet'!$B$10,Paramètres!$A$1:$I$89,5,0)</f>
        <v>-2.2612312022829427E-13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295.36463140471733</v>
      </c>
      <c r="AO96" s="59">
        <f t="shared" si="90"/>
        <v>295.34177980841878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4.9722588884155661</v>
      </c>
      <c r="AV96" s="21">
        <f>EXP(-LN(2)/25)*AV95+(1-EXP(-LN(2)/25))/(LN(2)/25)*Calculateur!AQ96*Calculateur!AS96*VLOOKUP('Données projet'!$B$10,Paramètres!$A$1:$I$89,3,0)*0.475*44/12</f>
        <v>3.6053916073894383</v>
      </c>
      <c r="AW96" s="21">
        <f>EXP(-LN(2)/2)*AW95+(1-EXP(-LN(2)/2))/(LN(2)/2)*AQ96*AT96*VLOOKUP('Données projet'!$B$10,Paramètres!$A$1:$I$89,3,0)*0.475*44/12</f>
        <v>3.895198908981858E-9</v>
      </c>
      <c r="AX96" s="21">
        <f t="shared" si="60"/>
        <v>8.5776504997002032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274.78375889702613</v>
      </c>
      <c r="T97" s="59">
        <f t="shared" si="88"/>
        <v>180.48047802041276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2.0576433783815085</v>
      </c>
      <c r="AA97" s="21">
        <f>EXP(-LN(2)/25)*AA96+(1-EXP(-LN(2)/25))/(LN(2)/25)*Calculateur!V97*Calculateur!X97*VLOOKUP('Données projet'!$B$9,Paramètres!$A$1:$I$89,3,0)*0.475*44/12</f>
        <v>1.5880352817641621</v>
      </c>
      <c r="AB97" s="21">
        <f>EXP(-LN(2)/2)*AB96+(1-EXP(-LN(2)/2))/(LN(2)/2)*V97*Y97*VLOOKUP('Données projet'!$B$9,Paramètres!$A$1:$I$89,3,0)*0.475*44/12</f>
        <v>1.9871705652535207E-9</v>
      </c>
      <c r="AC97" s="22">
        <f t="shared" si="57"/>
        <v>3.6456786621328412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-2.8421709430404007E-13</v>
      </c>
      <c r="AJ97" s="13">
        <f>AI97*VLOOKUP('Données projet'!$B$10,Paramètres!$A$1:$I$89,3,0)*VLOOKUP('Données projet'!$B$10,Paramètres!$A$1:$I$89,5,0)</f>
        <v>-2.2612312022829427E-13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295.36463140471733</v>
      </c>
      <c r="AO97" s="59">
        <f t="shared" si="90"/>
        <v>295.34177980841878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4.874755924392197</v>
      </c>
      <c r="AV97" s="21">
        <f>EXP(-LN(2)/25)*AV96+(1-EXP(-LN(2)/25))/(LN(2)/25)*Calculateur!AQ97*Calculateur!AS97*VLOOKUP('Données projet'!$B$10,Paramètres!$A$1:$I$89,3,0)*0.475*44/12</f>
        <v>3.5068019842860698</v>
      </c>
      <c r="AW97" s="21">
        <f>EXP(-LN(2)/2)*AW96+(1-EXP(-LN(2)/2))/(LN(2)/2)*AQ97*AT97*VLOOKUP('Données projet'!$B$10,Paramètres!$A$1:$I$89,3,0)*0.475*44/12</f>
        <v>2.7543215626115134E-9</v>
      </c>
      <c r="AX97" s="21">
        <f t="shared" si="60"/>
        <v>8.3815579114325889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274.78375889702613</v>
      </c>
      <c r="T98" s="59">
        <f t="shared" si="88"/>
        <v>180.48047802041276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2.0172942467699833</v>
      </c>
      <c r="AA98" s="21">
        <f>EXP(-LN(2)/25)*AA97+(1-EXP(-LN(2)/25))/(LN(2)/25)*Calculateur!V98*Calculateur!X98*VLOOKUP('Données projet'!$B$9,Paramètres!$A$1:$I$89,3,0)*0.475*44/12</f>
        <v>1.5446103734731751</v>
      </c>
      <c r="AB98" s="21">
        <f>EXP(-LN(2)/2)*AB97+(1-EXP(-LN(2)/2))/(LN(2)/2)*V98*Y98*VLOOKUP('Données projet'!$B$9,Paramètres!$A$1:$I$89,3,0)*0.475*44/12</f>
        <v>1.4051417820650693E-9</v>
      </c>
      <c r="AC98" s="22">
        <f t="shared" si="57"/>
        <v>3.5619046216483001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-2.8421709430404007E-13</v>
      </c>
      <c r="AJ98" s="13">
        <f>AI98*VLOOKUP('Données projet'!$B$10,Paramètres!$A$1:$I$89,3,0)*VLOOKUP('Données projet'!$B$10,Paramètres!$A$1:$I$89,5,0)</f>
        <v>-2.2612312022829427E-13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295.36463140471733</v>
      </c>
      <c r="AO98" s="59">
        <f t="shared" si="90"/>
        <v>295.34177980841878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4.7791649340223898</v>
      </c>
      <c r="AV98" s="21">
        <f>EXP(-LN(2)/25)*AV97+(1-EXP(-LN(2)/25))/(LN(2)/25)*Calculateur!AQ98*Calculateur!AS98*VLOOKUP('Données projet'!$B$10,Paramètres!$A$1:$I$89,3,0)*0.475*44/12</f>
        <v>3.4109082996110658</v>
      </c>
      <c r="AW98" s="21">
        <f>EXP(-LN(2)/2)*AW97+(1-EXP(-LN(2)/2))/(LN(2)/2)*AQ98*AT98*VLOOKUP('Données projet'!$B$10,Paramètres!$A$1:$I$89,3,0)*0.475*44/12</f>
        <v>1.947599454490929E-9</v>
      </c>
      <c r="AX98" s="21">
        <f t="shared" si="60"/>
        <v>8.190073235581055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899.80900533362956</v>
      </c>
      <c r="S99" s="59">
        <f ca="1">AVERAGE(OFFSET($R$3,0,0,'Données projet'!$E$9+1,1))-AVERAGE(OFFSET($H$3,0,0,'Données projet'!$E$9+1,1))</f>
        <v>274.78375889702613</v>
      </c>
      <c r="T99" s="59">
        <f t="shared" si="88"/>
        <v>180.48047802041276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1.9777363370188197</v>
      </c>
      <c r="AA99" s="21">
        <f>EXP(-LN(2)/25)*AA98+(1-EXP(-LN(2)/25))/(LN(2)/25)*Calculateur!V99*Calculateur!X99*VLOOKUP('Données projet'!$B$9,Paramètres!$A$1:$I$89,3,0)*0.475*44/12</f>
        <v>1.5023729215830219</v>
      </c>
      <c r="AB99" s="21">
        <f>EXP(-LN(2)/2)*AB98+(1-EXP(-LN(2)/2))/(LN(2)/2)*V99*Y99*VLOOKUP('Données projet'!$B$9,Paramètres!$A$1:$I$89,3,0)*0.475*44/12</f>
        <v>9.9358528262676037E-10</v>
      </c>
      <c r="AC99" s="22">
        <f t="shared" si="57"/>
        <v>3.4801092595954271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-2.8421709430404007E-13</v>
      </c>
      <c r="AJ99" s="13">
        <f>AI99*VLOOKUP('Données projet'!$B$10,Paramètres!$A$1:$I$89,3,0)*VLOOKUP('Données projet'!$B$10,Paramètres!$A$1:$I$89,5,0)</f>
        <v>-2.2612312022829427E-13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295.36463140471733</v>
      </c>
      <c r="AO99" s="59">
        <f t="shared" si="90"/>
        <v>295.34177980841878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4.685448424668988</v>
      </c>
      <c r="AV99" s="21">
        <f>EXP(-LN(2)/25)*AV98+(1-EXP(-LN(2)/25))/(LN(2)/25)*Calculateur!AQ99*Calculateur!AS99*VLOOKUP('Données projet'!$B$10,Paramètres!$A$1:$I$89,3,0)*0.475*44/12</f>
        <v>3.3176368327863295</v>
      </c>
      <c r="AW99" s="21">
        <f>EXP(-LN(2)/2)*AW98+(1-EXP(-LN(2)/2))/(LN(2)/2)*AQ99*AT99*VLOOKUP('Données projet'!$B$10,Paramètres!$A$1:$I$89,3,0)*0.475*44/12</f>
        <v>1.3771607813057567E-9</v>
      </c>
      <c r="AX99" s="21">
        <f t="shared" si="60"/>
        <v>8.0030852588324795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910.49601796841853</v>
      </c>
      <c r="S100" s="59">
        <f ca="1">AVERAGE(OFFSET($R$3,0,0,'Données projet'!$E$9+1,1))-AVERAGE(OFFSET($H$3,0,0,'Données projet'!$E$9+1,1))</f>
        <v>274.78375889702613</v>
      </c>
      <c r="T100" s="59">
        <f t="shared" si="88"/>
        <v>180.48047802041276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1.9389541337499339</v>
      </c>
      <c r="AA100" s="21">
        <f>EXP(-LN(2)/25)*AA99+(1-EXP(-LN(2)/25))/(LN(2)/25)*Calculateur!V100*Calculateur!X100*VLOOKUP('Données projet'!$B$9,Paramètres!$A$1:$I$89,3,0)*0.475*44/12</f>
        <v>1.461290455035976</v>
      </c>
      <c r="AB100" s="21">
        <f>EXP(-LN(2)/2)*AB99+(1-EXP(-LN(2)/2))/(LN(2)/2)*V100*Y100*VLOOKUP('Données projet'!$B$9,Paramètres!$A$1:$I$89,3,0)*0.475*44/12</f>
        <v>7.0257089103253463E-10</v>
      </c>
      <c r="AC100" s="22">
        <f t="shared" si="57"/>
        <v>3.4002445894884805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-2.8421709430404007E-13</v>
      </c>
      <c r="AJ100" s="13">
        <f>AI100*VLOOKUP('Données projet'!$B$10,Paramètres!$A$1:$I$89,3,0)*VLOOKUP('Données projet'!$B$10,Paramètres!$A$1:$I$89,5,0)</f>
        <v>-2.2612312022829427E-13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295.36463140471733</v>
      </c>
      <c r="AO100" s="59">
        <f t="shared" si="90"/>
        <v>295.34177980841878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4.5935696389025802</v>
      </c>
      <c r="AV100" s="21">
        <f>EXP(-LN(2)/25)*AV99+(1-EXP(-LN(2)/25))/(LN(2)/25)*Calculateur!AQ100*Calculateur!AS100*VLOOKUP('Données projet'!$B$10,Paramètres!$A$1:$I$89,3,0)*0.475*44/12</f>
        <v>3.2269158791268486</v>
      </c>
      <c r="AW100" s="21">
        <f>EXP(-LN(2)/2)*AW99+(1-EXP(-LN(2)/2))/(LN(2)/2)*AQ100*AT100*VLOOKUP('Données projet'!$B$10,Paramètres!$A$1:$I$89,3,0)*0.475*44/12</f>
        <v>9.7379972724546449E-10</v>
      </c>
      <c r="AX100" s="21">
        <f t="shared" si="60"/>
        <v>7.8204855190032285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274.78375889702613</v>
      </c>
      <c r="T101" s="59">
        <f t="shared" si="88"/>
        <v>180.48047802041276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1.9009324258323428</v>
      </c>
      <c r="AA101" s="21">
        <f>EXP(-LN(2)/25)*AA100+(1-EXP(-LN(2)/25))/(LN(2)/25)*Calculateur!V101*Calculateur!X101*VLOOKUP('Données projet'!$B$9,Paramètres!$A$1:$I$89,3,0)*0.475*44/12</f>
        <v>1.4213313906970919</v>
      </c>
      <c r="AB101" s="21">
        <f>EXP(-LN(2)/2)*AB100+(1-EXP(-LN(2)/2))/(LN(2)/2)*V101*Y101*VLOOKUP('Données projet'!$B$9,Paramètres!$A$1:$I$89,3,0)*0.475*44/12</f>
        <v>4.9679264131338018E-10</v>
      </c>
      <c r="AC101" s="22">
        <f t="shared" si="57"/>
        <v>3.3222638170262275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-2.8421709430404007E-13</v>
      </c>
      <c r="AJ101" s="13">
        <f>AI101*VLOOKUP('Données projet'!$B$10,Paramètres!$A$1:$I$89,3,0)*VLOOKUP('Données projet'!$B$10,Paramètres!$A$1:$I$89,5,0)</f>
        <v>-2.2612312022829427E-13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295.36463140471733</v>
      </c>
      <c r="AO101" s="59">
        <f t="shared" si="90"/>
        <v>295.34177980841878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4.5034925400845252</v>
      </c>
      <c r="AV101" s="21">
        <f>EXP(-LN(2)/25)*AV100+(1-EXP(-LN(2)/25))/(LN(2)/25)*Calculateur!AQ101*Calculateur!AS101*VLOOKUP('Données projet'!$B$10,Paramètres!$A$1:$I$89,3,0)*0.475*44/12</f>
        <v>3.1386756947159942</v>
      </c>
      <c r="AW101" s="21">
        <f>EXP(-LN(2)/2)*AW100+(1-EXP(-LN(2)/2))/(LN(2)/2)*AQ101*AT101*VLOOKUP('Données projet'!$B$10,Paramètres!$A$1:$I$89,3,0)*0.475*44/12</f>
        <v>6.8858039065287835E-10</v>
      </c>
      <c r="AX101" s="21">
        <f t="shared" si="60"/>
        <v>7.6421682354891001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274.78375889702613</v>
      </c>
      <c r="T102" s="59">
        <f t="shared" si="88"/>
        <v>180.48047802041276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1.8636563004160638</v>
      </c>
      <c r="AA102" s="21">
        <f>EXP(-LN(2)/25)*AA101+(1-EXP(-LN(2)/25))/(LN(2)/25)*Calculateur!V102*Calculateur!X102*VLOOKUP('Données projet'!$B$9,Paramètres!$A$1:$I$89,3,0)*0.475*44/12</f>
        <v>1.3824650090739106</v>
      </c>
      <c r="AB102" s="21">
        <f>EXP(-LN(2)/2)*AB101+(1-EXP(-LN(2)/2))/(LN(2)/2)*V102*Y102*VLOOKUP('Données projet'!$B$9,Paramètres!$A$1:$I$89,3,0)*0.475*44/12</f>
        <v>3.5128544551626731E-10</v>
      </c>
      <c r="AC102" s="22">
        <f t="shared" si="57"/>
        <v>3.2461213098412602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-2.8421709430404007E-13</v>
      </c>
      <c r="AJ102" s="13">
        <f>AI102*VLOOKUP('Données projet'!$B$10,Paramètres!$A$1:$I$89,3,0)*VLOOKUP('Données projet'!$B$10,Paramètres!$A$1:$I$89,5,0)</f>
        <v>-2.2612312022829427E-13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295.36463140471733</v>
      </c>
      <c r="AO102" s="59">
        <f t="shared" si="90"/>
        <v>295.34177980841878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4.4151817982326875</v>
      </c>
      <c r="AV102" s="21">
        <f>EXP(-LN(2)/25)*AV101+(1-EXP(-LN(2)/25))/(LN(2)/25)*Calculateur!AQ102*Calculateur!AS102*VLOOKUP('Données projet'!$B$10,Paramètres!$A$1:$I$89,3,0)*0.475*44/12</f>
        <v>3.0528484427882039</v>
      </c>
      <c r="AW102" s="21">
        <f>EXP(-LN(2)/2)*AW101+(1-EXP(-LN(2)/2))/(LN(2)/2)*AQ102*AT102*VLOOKUP('Données projet'!$B$10,Paramètres!$A$1:$I$89,3,0)*0.475*44/12</f>
        <v>4.8689986362273225E-10</v>
      </c>
      <c r="AX102" s="21">
        <f t="shared" si="60"/>
        <v>7.4680302415077913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274.78375889702613</v>
      </c>
      <c r="T103" s="59">
        <f t="shared" si="88"/>
        <v>180.48047802041276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333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1.8271111370830064</v>
      </c>
      <c r="AA103" s="21">
        <f>EXP(-LN(2)/25)*AA102+(1-EXP(-LN(2)/25))/(LN(2)/25)*Calculateur!V103*Calculateur!X103*VLOOKUP('Données projet'!$B$9,Paramètres!$A$1:$I$89,3,0)*0.475*44/12</f>
        <v>1.3446614307001092</v>
      </c>
      <c r="AB103" s="21">
        <f>EXP(-LN(2)/2)*AB102+(1-EXP(-LN(2)/2))/(LN(2)/2)*V103*Y103*VLOOKUP('Données projet'!$B$9,Paramètres!$A$1:$I$89,3,0)*0.475*44/12</f>
        <v>2.4839632065669009E-10</v>
      </c>
      <c r="AC103" s="22">
        <f t="shared" si="57"/>
        <v>3.1717725680315119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-2.8421709430404007E-13</v>
      </c>
      <c r="AJ103" s="13">
        <f>AI103*VLOOKUP('Données projet'!$B$10,Paramètres!$A$1:$I$89,3,0)*VLOOKUP('Données projet'!$B$10,Paramètres!$A$1:$I$89,5,0)</f>
        <v>-2.2612312022829427E-13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295.36463140471733</v>
      </c>
      <c r="AO103" s="59">
        <f t="shared" si="90"/>
        <v>295.34177980841878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4.3286027761643302</v>
      </c>
      <c r="AV103" s="21">
        <f>EXP(-LN(2)/25)*AV102+(1-EXP(-LN(2)/25))/(LN(2)/25)*Calculateur!AQ103*Calculateur!AS103*VLOOKUP('Données projet'!$B$10,Paramètres!$A$1:$I$89,3,0)*0.475*44/12</f>
        <v>2.9693681415778381</v>
      </c>
      <c r="AW103" s="21">
        <f>EXP(-LN(2)/2)*AW102+(1-EXP(-LN(2)/2))/(LN(2)/2)*AQ103*AT103*VLOOKUP('Données projet'!$B$10,Paramètres!$A$1:$I$89,3,0)*0.475*44/12</f>
        <v>3.4429019532643917E-10</v>
      </c>
      <c r="AX103" s="21">
        <f t="shared" si="60"/>
        <v>7.2979709180864578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274.78375889702613</v>
      </c>
      <c r="T104" s="59">
        <f t="shared" si="88"/>
        <v>180.48047802041276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1.7912826021125616</v>
      </c>
      <c r="AA104" s="21">
        <f>EXP(-LN(2)/25)*AA103+(1-EXP(-LN(2)/25))/(LN(2)/25)*Calculateur!V104*Calculateur!X104*VLOOKUP('Données projet'!$B$9,Paramètres!$A$1:$I$89,3,0)*0.475*44/12</f>
        <v>1.3078915931649433</v>
      </c>
      <c r="AB104" s="21">
        <f>EXP(-LN(2)/2)*AB103+(1-EXP(-LN(2)/2))/(LN(2)/2)*V104*Y104*VLOOKUP('Données projet'!$B$9,Paramètres!$A$1:$I$89,3,0)*0.475*44/12</f>
        <v>1.7564272275813366E-10</v>
      </c>
      <c r="AC104" s="22">
        <f t="shared" si="57"/>
        <v>3.0991741954531475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-2.8421709430404007E-13</v>
      </c>
      <c r="AJ104" s="13">
        <f>AI104*VLOOKUP('Données projet'!$B$10,Paramètres!$A$1:$I$89,3,0)*VLOOKUP('Données projet'!$B$10,Paramètres!$A$1:$I$89,5,0)</f>
        <v>-2.2612312022829427E-13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295.36463140471733</v>
      </c>
      <c r="AO104" s="59">
        <f t="shared" si="90"/>
        <v>295.34177980841878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4.2437215159107442</v>
      </c>
      <c r="AV104" s="21">
        <f>EXP(-LN(2)/25)*AV103+(1-EXP(-LN(2)/25))/(LN(2)/25)*Calculateur!AQ104*Calculateur!AS104*VLOOKUP('Données projet'!$B$10,Paramètres!$A$1:$I$89,3,0)*0.475*44/12</f>
        <v>2.8881706135941081</v>
      </c>
      <c r="AW104" s="21">
        <f>EXP(-LN(2)/2)*AW103+(1-EXP(-LN(2)/2))/(LN(2)/2)*AQ104*AT104*VLOOKUP('Données projet'!$B$10,Paramètres!$A$1:$I$89,3,0)*0.475*44/12</f>
        <v>2.4344993181136612E-10</v>
      </c>
      <c r="AX104" s="21">
        <f t="shared" si="60"/>
        <v>7.1318921297483016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274.78375889702613</v>
      </c>
      <c r="T105" s="59">
        <f t="shared" si="88"/>
        <v>180.48047802041276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1.7561566428596389</v>
      </c>
      <c r="AA105" s="21">
        <f>EXP(-LN(2)/25)*AA104+(1-EXP(-LN(2)/25))/(LN(2)/25)*Calculateur!V105*Calculateur!X105*VLOOKUP('Données projet'!$B$9,Paramètres!$A$1:$I$89,3,0)*0.475*44/12</f>
        <v>1.2721272287708183</v>
      </c>
      <c r="AB105" s="21">
        <f>EXP(-LN(2)/2)*AB104+(1-EXP(-LN(2)/2))/(LN(2)/2)*V105*Y105*VLOOKUP('Données projet'!$B$9,Paramètres!$A$1:$I$89,3,0)*0.475*44/12</f>
        <v>1.2419816032834505E-10</v>
      </c>
      <c r="AC105" s="22">
        <f t="shared" si="57"/>
        <v>3.0282838717546552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-2.8421709430404007E-13</v>
      </c>
      <c r="AJ105" s="13">
        <f>AI105*VLOOKUP('Données projet'!$B$10,Paramètres!$A$1:$I$89,3,0)*VLOOKUP('Données projet'!$B$10,Paramètres!$A$1:$I$89,5,0)</f>
        <v>-2.2612312022829427E-13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295.36463140471733</v>
      </c>
      <c r="AO105" s="59">
        <f t="shared" si="90"/>
        <v>295.34177980841878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4.1605047253982743</v>
      </c>
      <c r="AV105" s="21">
        <f>EXP(-LN(2)/25)*AV104+(1-EXP(-LN(2)/25))/(LN(2)/25)*Calculateur!AQ105*Calculateur!AS105*VLOOKUP('Données projet'!$B$10,Paramètres!$A$1:$I$89,3,0)*0.475*44/12</f>
        <v>2.8091934362830857</v>
      </c>
      <c r="AW105" s="21">
        <f>EXP(-LN(2)/2)*AW104+(1-EXP(-LN(2)/2))/(LN(2)/2)*AQ105*AT105*VLOOKUP('Données projet'!$B$10,Paramètres!$A$1:$I$89,3,0)*0.475*44/12</f>
        <v>1.7214509766321959E-10</v>
      </c>
      <c r="AX105" s="21">
        <f t="shared" si="60"/>
        <v>6.969698161853505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274.78375889702613</v>
      </c>
      <c r="T106" s="59">
        <f t="shared" si="88"/>
        <v>180.48047802041276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1.7217194822429462</v>
      </c>
      <c r="AA106" s="21">
        <f>EXP(-LN(2)/25)*AA105+(1-EXP(-LN(2)/25))/(LN(2)/25)*Calculateur!V106*Calculateur!X106*VLOOKUP('Données projet'!$B$9,Paramètres!$A$1:$I$89,3,0)*0.475*44/12</f>
        <v>1.2373408428018169</v>
      </c>
      <c r="AB106" s="21">
        <f>EXP(-LN(2)/2)*AB105+(1-EXP(-LN(2)/2))/(LN(2)/2)*V106*Y106*VLOOKUP('Données projet'!$B$9,Paramètres!$A$1:$I$89,3,0)*0.475*44/12</f>
        <v>8.7821361379066829E-11</v>
      </c>
      <c r="AC106" s="22">
        <f t="shared" si="57"/>
        <v>2.9590603251325844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-2.8421709430404007E-13</v>
      </c>
      <c r="AJ106" s="13">
        <f>AI106*VLOOKUP('Données projet'!$B$10,Paramètres!$A$1:$I$89,3,0)*VLOOKUP('Données projet'!$B$10,Paramètres!$A$1:$I$89,5,0)</f>
        <v>-2.2612312022829427E-13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295.36463140471733</v>
      </c>
      <c r="AO106" s="59">
        <f t="shared" si="90"/>
        <v>295.34177980841878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4.0789197653905234</v>
      </c>
      <c r="AV106" s="21">
        <f>EXP(-LN(2)/25)*AV105+(1-EXP(-LN(2)/25))/(LN(2)/25)*Calculateur!AQ106*Calculateur!AS106*VLOOKUP('Données projet'!$B$10,Paramètres!$A$1:$I$89,3,0)*0.475*44/12</f>
        <v>2.7323758940388623</v>
      </c>
      <c r="AW106" s="21">
        <f>EXP(-LN(2)/2)*AW105+(1-EXP(-LN(2)/2))/(LN(2)/2)*AQ106*AT106*VLOOKUP('Données projet'!$B$10,Paramètres!$A$1:$I$89,3,0)*0.475*44/12</f>
        <v>1.2172496590568306E-10</v>
      </c>
      <c r="AX106" s="21">
        <f t="shared" si="60"/>
        <v>6.81129565955111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274.78375889702613</v>
      </c>
      <c r="T107" s="59">
        <f t="shared" si="88"/>
        <v>180.48047802041276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1.687957613341353</v>
      </c>
      <c r="AA107" s="21">
        <f>EXP(-LN(2)/25)*AA106+(1-EXP(-LN(2)/25))/(LN(2)/25)*Calculateur!V107*Calculateur!X107*VLOOKUP('Données projet'!$B$9,Paramètres!$A$1:$I$89,3,0)*0.475*44/12</f>
        <v>1.2035056923864742</v>
      </c>
      <c r="AB107" s="21">
        <f>EXP(-LN(2)/2)*AB106+(1-EXP(-LN(2)/2))/(LN(2)/2)*V107*Y107*VLOOKUP('Données projet'!$B$9,Paramètres!$A$1:$I$89,3,0)*0.475*44/12</f>
        <v>6.2099080164172523E-11</v>
      </c>
      <c r="AC107" s="22">
        <f t="shared" si="57"/>
        <v>2.8914633057899262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-2.8421709430404007E-13</v>
      </c>
      <c r="AJ107" s="13">
        <f>AI107*VLOOKUP('Données projet'!$B$10,Paramètres!$A$1:$I$89,3,0)*VLOOKUP('Données projet'!$B$10,Paramètres!$A$1:$I$89,5,0)</f>
        <v>-2.2612312022829427E-13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295.36463140471733</v>
      </c>
      <c r="AO107" s="59">
        <f t="shared" si="90"/>
        <v>295.34177980841878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3.998934636686613</v>
      </c>
      <c r="AV107" s="21">
        <f>EXP(-LN(2)/25)*AV106+(1-EXP(-LN(2)/25))/(LN(2)/25)*Calculateur!AQ107*Calculateur!AS107*VLOOKUP('Données projet'!$B$10,Paramètres!$A$1:$I$89,3,0)*0.475*44/12</f>
        <v>2.6576589315269663</v>
      </c>
      <c r="AW107" s="21">
        <f>EXP(-LN(2)/2)*AW106+(1-EXP(-LN(2)/2))/(LN(2)/2)*AQ107*AT107*VLOOKUP('Données projet'!$B$10,Paramètres!$A$1:$I$89,3,0)*0.475*44/12</f>
        <v>8.6072548831609794E-11</v>
      </c>
      <c r="AX107" s="21">
        <f t="shared" si="60"/>
        <v>6.6565935682996518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274.78375889702613</v>
      </c>
      <c r="T108" s="59">
        <f t="shared" si="88"/>
        <v>180.48047802041276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1.6548577940962133</v>
      </c>
      <c r="AA108" s="21">
        <f>EXP(-LN(2)/25)*AA107+(1-EXP(-LN(2)/25))/(LN(2)/25)*Calculateur!V108*Calculateur!X108*VLOOKUP('Données projet'!$B$9,Paramètres!$A$1:$I$89,3,0)*0.475*44/12</f>
        <v>1.1705957659385524</v>
      </c>
      <c r="AB108" s="21">
        <f>EXP(-LN(2)/2)*AB107+(1-EXP(-LN(2)/2))/(LN(2)/2)*V108*Y108*VLOOKUP('Données projet'!$B$9,Paramètres!$A$1:$I$89,3,0)*0.475*44/12</f>
        <v>4.3910680689533414E-11</v>
      </c>
      <c r="AC108" s="22">
        <f t="shared" si="57"/>
        <v>2.8254535600786763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-2.8421709430404007E-13</v>
      </c>
      <c r="AJ108" s="13">
        <f>AI108*VLOOKUP('Données projet'!$B$10,Paramètres!$A$1:$I$89,3,0)*VLOOKUP('Données projet'!$B$10,Paramètres!$A$1:$I$89,5,0)</f>
        <v>-2.2612312022829427E-13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295.36463140471733</v>
      </c>
      <c r="AO108" s="59">
        <f t="shared" si="90"/>
        <v>295.34177980841878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3.9205179675704747</v>
      </c>
      <c r="AV108" s="21">
        <f>EXP(-LN(2)/25)*AV107+(1-EXP(-LN(2)/25))/(LN(2)/25)*Calculateur!AQ108*Calculateur!AS108*VLOOKUP('Données projet'!$B$10,Paramètres!$A$1:$I$89,3,0)*0.475*44/12</f>
        <v>2.5849851082841524</v>
      </c>
      <c r="AW108" s="21">
        <f>EXP(-LN(2)/2)*AW107+(1-EXP(-LN(2)/2))/(LN(2)/2)*AQ108*AT108*VLOOKUP('Données projet'!$B$10,Paramètres!$A$1:$I$89,3,0)*0.475*44/12</f>
        <v>6.0862482952841531E-11</v>
      </c>
      <c r="AX108" s="21">
        <f t="shared" si="60"/>
        <v>6.505503075915489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274.78375889702613</v>
      </c>
      <c r="T109" s="59">
        <f t="shared" si="88"/>
        <v>180.48047802041276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1.6224070421175745</v>
      </c>
      <c r="AA109" s="21">
        <f>EXP(-LN(2)/25)*AA108+(1-EXP(-LN(2)/25))/(LN(2)/25)*Calculateur!V109*Calculateur!X109*VLOOKUP('Données projet'!$B$9,Paramètres!$A$1:$I$89,3,0)*0.475*44/12</f>
        <v>1.1385857631600067</v>
      </c>
      <c r="AB109" s="21">
        <f>EXP(-LN(2)/2)*AB108+(1-EXP(-LN(2)/2))/(LN(2)/2)*V109*Y109*VLOOKUP('Données projet'!$B$9,Paramètres!$A$1:$I$89,3,0)*0.475*44/12</f>
        <v>3.1049540082086261E-11</v>
      </c>
      <c r="AC109" s="22">
        <f t="shared" si="57"/>
        <v>2.7609928053086308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-2.8421709430404007E-13</v>
      </c>
      <c r="AJ109" s="13">
        <f>AI109*VLOOKUP('Données projet'!$B$10,Paramètres!$A$1:$I$89,3,0)*VLOOKUP('Données projet'!$B$10,Paramètres!$A$1:$I$89,5,0)</f>
        <v>-2.2612312022829427E-13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295.36463140471733</v>
      </c>
      <c r="AO109" s="59">
        <f t="shared" si="90"/>
        <v>295.34177980841878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3.8436390015062587</v>
      </c>
      <c r="AV109" s="21">
        <f>EXP(-LN(2)/25)*AV108+(1-EXP(-LN(2)/25))/(LN(2)/25)*Calculateur!AQ109*Calculateur!AS109*VLOOKUP('Données projet'!$B$10,Paramètres!$A$1:$I$89,3,0)*0.475*44/12</f>
        <v>2.5142985545596637</v>
      </c>
      <c r="AW109" s="21">
        <f>EXP(-LN(2)/2)*AW108+(1-EXP(-LN(2)/2))/(LN(2)/2)*AQ109*AT109*VLOOKUP('Données projet'!$B$10,Paramètres!$A$1:$I$89,3,0)*0.475*44/12</f>
        <v>4.3036274415804897E-11</v>
      </c>
      <c r="AX109" s="21">
        <f t="shared" si="60"/>
        <v>6.3579375561089586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274.78375889702613</v>
      </c>
      <c r="T110" s="59">
        <f t="shared" si="88"/>
        <v>180.48047802041276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1.5905926295922326</v>
      </c>
      <c r="AA110" s="21">
        <f>EXP(-LN(2)/25)*AA109+(1-EXP(-LN(2)/25))/(LN(2)/25)*Calculateur!V110*Calculateur!X110*VLOOKUP('Données projet'!$B$9,Paramètres!$A$1:$I$89,3,0)*0.475*44/12</f>
        <v>1.1074510755907734</v>
      </c>
      <c r="AB110" s="21">
        <f>EXP(-LN(2)/2)*AB109+(1-EXP(-LN(2)/2))/(LN(2)/2)*V110*Y110*VLOOKUP('Données projet'!$B$9,Paramètres!$A$1:$I$89,3,0)*0.475*44/12</f>
        <v>2.1955340344766707E-11</v>
      </c>
      <c r="AC110" s="22">
        <f t="shared" si="57"/>
        <v>2.6980437052049613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-2.8421709430404007E-13</v>
      </c>
      <c r="AJ110" s="13">
        <f>AI110*VLOOKUP('Données projet'!$B$10,Paramètres!$A$1:$I$89,3,0)*VLOOKUP('Données projet'!$B$10,Paramètres!$A$1:$I$89,5,0)</f>
        <v>-2.2612312022829427E-13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295.36463140471733</v>
      </c>
      <c r="AO110" s="59">
        <f t="shared" si="90"/>
        <v>295.34177980841878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3.7682675850750229</v>
      </c>
      <c r="AV110" s="21">
        <f>EXP(-LN(2)/25)*AV109+(1-EXP(-LN(2)/25))/(LN(2)/25)*Calculateur!AQ110*Calculateur!AS110*VLOOKUP('Données projet'!$B$10,Paramètres!$A$1:$I$89,3,0)*0.475*44/12</f>
        <v>2.4455449283640154</v>
      </c>
      <c r="AW110" s="21">
        <f>EXP(-LN(2)/2)*AW109+(1-EXP(-LN(2)/2))/(LN(2)/2)*AQ110*AT110*VLOOKUP('Données projet'!$B$10,Paramètres!$A$1:$I$89,3,0)*0.475*44/12</f>
        <v>3.0431241476420765E-11</v>
      </c>
      <c r="AX110" s="21">
        <f t="shared" si="60"/>
        <v>6.2138125134694695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274.78375889702613</v>
      </c>
      <c r="T111" s="59">
        <f t="shared" si="88"/>
        <v>180.48047802041276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1.5594020782916371</v>
      </c>
      <c r="AA111" s="21">
        <f>EXP(-LN(2)/25)*AA110+(1-EXP(-LN(2)/25))/(LN(2)/25)*Calculateur!V111*Calculateur!X111*VLOOKUP('Données projet'!$B$9,Paramètres!$A$1:$I$89,3,0)*0.475*44/12</f>
        <v>1.0771677676904228</v>
      </c>
      <c r="AB111" s="21">
        <f>EXP(-LN(2)/2)*AB110+(1-EXP(-LN(2)/2))/(LN(2)/2)*V111*Y111*VLOOKUP('Données projet'!$B$9,Paramètres!$A$1:$I$89,3,0)*0.475*44/12</f>
        <v>1.5524770041043131E-11</v>
      </c>
      <c r="AC111" s="22">
        <f t="shared" si="57"/>
        <v>2.636569845997585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-2.8421709430404007E-13</v>
      </c>
      <c r="AJ111" s="13">
        <f>AI111*VLOOKUP('Données projet'!$B$10,Paramètres!$A$1:$I$89,3,0)*VLOOKUP('Données projet'!$B$10,Paramètres!$A$1:$I$89,5,0)</f>
        <v>-2.2612312022829427E-13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295.36463140471733</v>
      </c>
      <c r="AO111" s="59">
        <f t="shared" si="90"/>
        <v>295.34177980841878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3.6943741561479788</v>
      </c>
      <c r="AV111" s="21">
        <f>EXP(-LN(2)/25)*AV110+(1-EXP(-LN(2)/25))/(LN(2)/25)*Calculateur!AQ111*Calculateur!AS111*VLOOKUP('Données projet'!$B$10,Paramètres!$A$1:$I$89,3,0)*0.475*44/12</f>
        <v>2.3786713736922831</v>
      </c>
      <c r="AW111" s="21">
        <f>EXP(-LN(2)/2)*AW110+(1-EXP(-LN(2)/2))/(LN(2)/2)*AQ111*AT111*VLOOKUP('Données projet'!$B$10,Paramètres!$A$1:$I$89,3,0)*0.475*44/12</f>
        <v>2.1518137207902448E-11</v>
      </c>
      <c r="AX111" s="21">
        <f t="shared" si="60"/>
        <v>6.0730455298617798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274.78375889702613</v>
      </c>
      <c r="T112" s="59">
        <f t="shared" si="88"/>
        <v>180.48047802041276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1.5288231546776885</v>
      </c>
      <c r="AA112" s="21">
        <f>EXP(-LN(2)/25)*AA111+(1-EXP(-LN(2)/25))/(LN(2)/25)*Calculateur!V112*Calculateur!X112*VLOOKUP('Données projet'!$B$9,Paramètres!$A$1:$I$89,3,0)*0.475*44/12</f>
        <v>1.0477125584371372</v>
      </c>
      <c r="AB112" s="21">
        <f>EXP(-LN(2)/2)*AB111+(1-EXP(-LN(2)/2))/(LN(2)/2)*V112*Y112*VLOOKUP('Données projet'!$B$9,Paramètres!$A$1:$I$89,3,0)*0.475*44/12</f>
        <v>1.0977670172383354E-11</v>
      </c>
      <c r="AC112" s="22">
        <f t="shared" si="57"/>
        <v>2.5765357131258035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-2.8421709430404007E-13</v>
      </c>
      <c r="AJ112" s="13">
        <f>AI112*VLOOKUP('Données projet'!$B$10,Paramètres!$A$1:$I$89,3,0)*VLOOKUP('Données projet'!$B$10,Paramètres!$A$1:$I$89,5,0)</f>
        <v>-2.2612312022829427E-13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295.36463140471733</v>
      </c>
      <c r="AO112" s="59">
        <f t="shared" si="90"/>
        <v>295.34177980841878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3.6219297322916528</v>
      </c>
      <c r="AV112" s="21">
        <f>EXP(-LN(2)/25)*AV111+(1-EXP(-LN(2)/25))/(LN(2)/25)*Calculateur!AQ112*Calculateur!AS112*VLOOKUP('Données projet'!$B$10,Paramètres!$A$1:$I$89,3,0)*0.475*44/12</f>
        <v>2.3136264798897765</v>
      </c>
      <c r="AW112" s="21">
        <f>EXP(-LN(2)/2)*AW111+(1-EXP(-LN(2)/2))/(LN(2)/2)*AQ112*AT112*VLOOKUP('Données projet'!$B$10,Paramètres!$A$1:$I$89,3,0)*0.475*44/12</f>
        <v>1.5215620738210383E-11</v>
      </c>
      <c r="AX112" s="21">
        <f t="shared" si="60"/>
        <v>5.9355562121966452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274.78375889702613</v>
      </c>
      <c r="T113" s="59">
        <f t="shared" si="88"/>
        <v>180.48047802041276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1.4988438651045075</v>
      </c>
      <c r="AA113" s="21">
        <f>EXP(-LN(2)/25)*AA112+(1-EXP(-LN(2)/25))/(LN(2)/25)*Calculateur!V113*Calculateur!X113*VLOOKUP('Données projet'!$B$9,Paramètres!$A$1:$I$89,3,0)*0.475*44/12</f>
        <v>1.0190628034298648</v>
      </c>
      <c r="AB113" s="21">
        <f>EXP(-LN(2)/2)*AB112+(1-EXP(-LN(2)/2))/(LN(2)/2)*V113*Y113*VLOOKUP('Données projet'!$B$9,Paramètres!$A$1:$I$89,3,0)*0.475*44/12</f>
        <v>7.7623850205215654E-12</v>
      </c>
      <c r="AC113" s="22">
        <f t="shared" si="57"/>
        <v>2.5179066685421345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-2.8421709430404007E-13</v>
      </c>
      <c r="AJ113" s="13">
        <f>AI113*VLOOKUP('Données projet'!$B$10,Paramètres!$A$1:$I$89,3,0)*VLOOKUP('Données projet'!$B$10,Paramètres!$A$1:$I$89,5,0)</f>
        <v>-2.2612312022829427E-13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295.36463140471733</v>
      </c>
      <c r="AO113" s="59">
        <f t="shared" si="90"/>
        <v>295.34177980841878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3.5509058994004139</v>
      </c>
      <c r="AV113" s="21">
        <f>EXP(-LN(2)/25)*AV112+(1-EXP(-LN(2)/25))/(LN(2)/25)*Calculateur!AQ113*Calculateur!AS113*VLOOKUP('Données projet'!$B$10,Paramètres!$A$1:$I$89,3,0)*0.475*44/12</f>
        <v>2.250360242128862</v>
      </c>
      <c r="AW113" s="21">
        <f>EXP(-LN(2)/2)*AW112+(1-EXP(-LN(2)/2))/(LN(2)/2)*AQ113*AT113*VLOOKUP('Données projet'!$B$10,Paramètres!$A$1:$I$89,3,0)*0.475*44/12</f>
        <v>1.0759068603951224E-11</v>
      </c>
      <c r="AX113" s="21">
        <f t="shared" si="60"/>
        <v>5.8012661415400348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274.78375889702613</v>
      </c>
      <c r="T114" s="59">
        <f t="shared" si="88"/>
        <v>180.48047802041276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1.4694524511142957</v>
      </c>
      <c r="AA114" s="21">
        <f>EXP(-LN(2)/25)*AA113+(1-EXP(-LN(2)/25))/(LN(2)/25)*Calculateur!V114*Calculateur!X114*VLOOKUP('Données projet'!$B$9,Paramètres!$A$1:$I$89,3,0)*0.475*44/12</f>
        <v>0.99119647747989137</v>
      </c>
      <c r="AB114" s="21">
        <f>EXP(-LN(2)/2)*AB113+(1-EXP(-LN(2)/2))/(LN(2)/2)*V114*Y114*VLOOKUP('Données projet'!$B$9,Paramètres!$A$1:$I$89,3,0)*0.475*44/12</f>
        <v>5.4888350861916768E-12</v>
      </c>
      <c r="AC114" s="22">
        <f t="shared" si="57"/>
        <v>2.4606489285996762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-2.8421709430404007E-13</v>
      </c>
      <c r="AJ114" s="13">
        <f>AI114*VLOOKUP('Données projet'!$B$10,Paramètres!$A$1:$I$89,3,0)*VLOOKUP('Données projet'!$B$10,Paramètres!$A$1:$I$89,5,0)</f>
        <v>-2.2612312022829427E-13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295.36463140471733</v>
      </c>
      <c r="AO114" s="59">
        <f t="shared" si="90"/>
        <v>295.34177980841878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3.4812748005519114</v>
      </c>
      <c r="AV114" s="21">
        <f>EXP(-LN(2)/25)*AV113+(1-EXP(-LN(2)/25))/(LN(2)/25)*Calculateur!AQ114*Calculateur!AS114*VLOOKUP('Données projet'!$B$10,Paramètres!$A$1:$I$89,3,0)*0.475*44/12</f>
        <v>2.1888240229665463</v>
      </c>
      <c r="AW114" s="21">
        <f>EXP(-LN(2)/2)*AW113+(1-EXP(-LN(2)/2))/(LN(2)/2)*AQ114*AT114*VLOOKUP('Données projet'!$B$10,Paramètres!$A$1:$I$89,3,0)*0.475*44/12</f>
        <v>7.6078103691051914E-12</v>
      </c>
      <c r="AX114" s="21">
        <f t="shared" si="60"/>
        <v>5.6700988235260663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274.78375889702613</v>
      </c>
      <c r="T115" s="59">
        <f t="shared" si="88"/>
        <v>180.48047802041276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1.4406373848254395</v>
      </c>
      <c r="AA115" s="21">
        <f>EXP(-LN(2)/25)*AA114+(1-EXP(-LN(2)/25))/(LN(2)/25)*Calculateur!V115*Calculateur!X115*VLOOKUP('Données projet'!$B$9,Paramètres!$A$1:$I$89,3,0)*0.475*44/12</f>
        <v>0.96409215767844636</v>
      </c>
      <c r="AB115" s="21">
        <f>EXP(-LN(2)/2)*AB114+(1-EXP(-LN(2)/2))/(LN(2)/2)*V115*Y115*VLOOKUP('Données projet'!$B$9,Paramètres!$A$1:$I$89,3,0)*0.475*44/12</f>
        <v>3.8811925102607827E-12</v>
      </c>
      <c r="AC115" s="22">
        <f t="shared" si="57"/>
        <v>2.4047295425077673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-2.8421709430404007E-13</v>
      </c>
      <c r="AJ115" s="13">
        <f>AI115*VLOOKUP('Données projet'!$B$10,Paramètres!$A$1:$I$89,3,0)*VLOOKUP('Données projet'!$B$10,Paramètres!$A$1:$I$89,5,0)</f>
        <v>-2.2612312022829427E-13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295.36463140471733</v>
      </c>
      <c r="AO115" s="59">
        <f t="shared" si="90"/>
        <v>295.34177980841878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3.4130091250810515</v>
      </c>
      <c r="AV115" s="21">
        <f>EXP(-LN(2)/25)*AV114+(1-EXP(-LN(2)/25))/(LN(2)/25)*Calculateur!AQ115*Calculateur!AS115*VLOOKUP('Données projet'!$B$10,Paramètres!$A$1:$I$89,3,0)*0.475*44/12</f>
        <v>2.1289705149532732</v>
      </c>
      <c r="AW115" s="21">
        <f>EXP(-LN(2)/2)*AW114+(1-EXP(-LN(2)/2))/(LN(2)/2)*AQ115*AT115*VLOOKUP('Données projet'!$B$10,Paramètres!$A$1:$I$89,3,0)*0.475*44/12</f>
        <v>5.3795343019756121E-12</v>
      </c>
      <c r="AX115" s="21">
        <f t="shared" si="60"/>
        <v>5.5419796400397043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274.78375889702613</v>
      </c>
      <c r="T116" s="59">
        <f t="shared" si="88"/>
        <v>180.48047802041276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1.4123873644110527</v>
      </c>
      <c r="AA116" s="21">
        <f>EXP(-LN(2)/25)*AA115+(1-EXP(-LN(2)/25))/(LN(2)/25)*Calculateur!V116*Calculateur!X116*VLOOKUP('Données projet'!$B$9,Paramètres!$A$1:$I$89,3,0)*0.475*44/12</f>
        <v>0.93772900692732608</v>
      </c>
      <c r="AB116" s="21">
        <f>EXP(-LN(2)/2)*AB115+(1-EXP(-LN(2)/2))/(LN(2)/2)*V116*Y116*VLOOKUP('Données projet'!$B$9,Paramètres!$A$1:$I$89,3,0)*0.475*44/12</f>
        <v>2.7444175430958384E-12</v>
      </c>
      <c r="AC116" s="22">
        <f t="shared" si="57"/>
        <v>2.3501163713411231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-2.8421709430404007E-13</v>
      </c>
      <c r="AJ116" s="13">
        <f>AI116*VLOOKUP('Données projet'!$B$10,Paramètres!$A$1:$I$89,3,0)*VLOOKUP('Données projet'!$B$10,Paramètres!$A$1:$I$89,5,0)</f>
        <v>-2.2612312022829427E-13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295.36463140471733</v>
      </c>
      <c r="AO116" s="59">
        <f t="shared" si="90"/>
        <v>295.34177980841878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3.3460820978682246</v>
      </c>
      <c r="AV116" s="21">
        <f>EXP(-LN(2)/25)*AV115+(1-EXP(-LN(2)/25))/(LN(2)/25)*Calculateur!AQ116*Calculateur!AS116*VLOOKUP('Données projet'!$B$10,Paramètres!$A$1:$I$89,3,0)*0.475*44/12</f>
        <v>2.0707537042641824</v>
      </c>
      <c r="AW116" s="21">
        <f>EXP(-LN(2)/2)*AW115+(1-EXP(-LN(2)/2))/(LN(2)/2)*AQ116*AT116*VLOOKUP('Données projet'!$B$10,Paramètres!$A$1:$I$89,3,0)*0.475*44/12</f>
        <v>3.8039051845525957E-12</v>
      </c>
      <c r="AX116" s="21">
        <f t="shared" si="60"/>
        <v>5.4168358021362115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274.78375889702613</v>
      </c>
      <c r="T117" s="59">
        <f t="shared" si="88"/>
        <v>180.48047802041276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1.384691309666181</v>
      </c>
      <c r="AA117" s="21">
        <f>EXP(-LN(2)/25)*AA116+(1-EXP(-LN(2)/25))/(LN(2)/25)*Calculateur!V117*Calculateur!X117*VLOOKUP('Données projet'!$B$9,Paramètres!$A$1:$I$89,3,0)*0.475*44/12</f>
        <v>0.91208675791987304</v>
      </c>
      <c r="AB117" s="21">
        <f>EXP(-LN(2)/2)*AB116+(1-EXP(-LN(2)/2))/(LN(2)/2)*V117*Y117*VLOOKUP('Données projet'!$B$9,Paramètres!$A$1:$I$89,3,0)*0.475*44/12</f>
        <v>1.9405962551303913E-12</v>
      </c>
      <c r="AC117" s="22">
        <f t="shared" si="57"/>
        <v>2.2967780675879945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-2.8421709430404007E-13</v>
      </c>
      <c r="AJ117" s="13">
        <f>AI117*VLOOKUP('Données projet'!$B$10,Paramètres!$A$1:$I$89,3,0)*VLOOKUP('Données projet'!$B$10,Paramètres!$A$1:$I$89,5,0)</f>
        <v>-2.2612312022829427E-13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295.36463140471733</v>
      </c>
      <c r="AO117" s="59">
        <f t="shared" si="90"/>
        <v>295.34177980841878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3.2804674688375854</v>
      </c>
      <c r="AV117" s="21">
        <f>EXP(-LN(2)/25)*AV116+(1-EXP(-LN(2)/25))/(LN(2)/25)*Calculateur!AQ117*Calculateur!AS117*VLOOKUP('Données projet'!$B$10,Paramètres!$A$1:$I$89,3,0)*0.475*44/12</f>
        <v>2.0141288353248736</v>
      </c>
      <c r="AW117" s="21">
        <f>EXP(-LN(2)/2)*AW116+(1-EXP(-LN(2)/2))/(LN(2)/2)*AQ117*AT117*VLOOKUP('Données projet'!$B$10,Paramètres!$A$1:$I$89,3,0)*0.475*44/12</f>
        <v>2.6897671509878061E-12</v>
      </c>
      <c r="AX117" s="21">
        <f t="shared" si="60"/>
        <v>5.2945963041651485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274.78375889702613</v>
      </c>
      <c r="T118" s="59">
        <f t="shared" si="88"/>
        <v>180.48047802041276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1.3575383576619309</v>
      </c>
      <c r="AA118" s="21">
        <f>EXP(-LN(2)/25)*AA117+(1-EXP(-LN(2)/25))/(LN(2)/25)*Calculateur!V118*Calculateur!X118*VLOOKUP('Données projet'!$B$9,Paramètres!$A$1:$I$89,3,0)*0.475*44/12</f>
        <v>0.88714569755999606</v>
      </c>
      <c r="AB118" s="21">
        <f>EXP(-LN(2)/2)*AB117+(1-EXP(-LN(2)/2))/(LN(2)/2)*V118*Y118*VLOOKUP('Données projet'!$B$9,Paramètres!$A$1:$I$89,3,0)*0.475*44/12</f>
        <v>1.3722087715479192E-12</v>
      </c>
      <c r="AC118" s="22">
        <f t="shared" si="57"/>
        <v>2.2446840552232992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-2.8421709430404007E-13</v>
      </c>
      <c r="AJ118" s="13">
        <f>AI118*VLOOKUP('Données projet'!$B$10,Paramètres!$A$1:$I$89,3,0)*VLOOKUP('Données projet'!$B$10,Paramètres!$A$1:$I$89,5,0)</f>
        <v>-2.2612312022829427E-13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295.36463140471733</v>
      </c>
      <c r="AO118" s="59">
        <f t="shared" si="90"/>
        <v>295.34177980841878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3.2161395026612651</v>
      </c>
      <c r="AV118" s="21">
        <f>EXP(-LN(2)/25)*AV117+(1-EXP(-LN(2)/25))/(LN(2)/25)*Calculateur!AQ118*Calculateur!AS118*VLOOKUP('Données projet'!$B$10,Paramètres!$A$1:$I$89,3,0)*0.475*44/12</f>
        <v>1.9590523764044829</v>
      </c>
      <c r="AW118" s="21">
        <f>EXP(-LN(2)/2)*AW117+(1-EXP(-LN(2)/2))/(LN(2)/2)*AQ118*AT118*VLOOKUP('Données projet'!$B$10,Paramètres!$A$1:$I$89,3,0)*0.475*44/12</f>
        <v>1.9019525922762978E-12</v>
      </c>
      <c r="AX118" s="21">
        <f t="shared" si="60"/>
        <v>5.1751918790676497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274.78375889702613</v>
      </c>
      <c r="T119" s="59">
        <f t="shared" si="88"/>
        <v>180.48047802041276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1.3309178584848187</v>
      </c>
      <c r="AA119" s="21">
        <f>EXP(-LN(2)/25)*AA118+(1-EXP(-LN(2)/25))/(LN(2)/25)*Calculateur!V119*Calculateur!X119*VLOOKUP('Données projet'!$B$9,Paramètres!$A$1:$I$89,3,0)*0.475*44/12</f>
        <v>0.86288665180725332</v>
      </c>
      <c r="AB119" s="21">
        <f>EXP(-LN(2)/2)*AB118+(1-EXP(-LN(2)/2))/(LN(2)/2)*V119*Y119*VLOOKUP('Données projet'!$B$9,Paramètres!$A$1:$I$89,3,0)*0.475*44/12</f>
        <v>9.7029812756519567E-13</v>
      </c>
      <c r="AC119" s="22">
        <f t="shared" si="57"/>
        <v>2.1938045102930421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-2.8421709430404007E-13</v>
      </c>
      <c r="AJ119" s="13">
        <f>AI119*VLOOKUP('Données projet'!$B$10,Paramètres!$A$1:$I$89,3,0)*VLOOKUP('Données projet'!$B$10,Paramètres!$A$1:$I$89,5,0)</f>
        <v>-2.2612312022829427E-13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295.36463140471733</v>
      </c>
      <c r="AO119" s="59">
        <f t="shared" si="90"/>
        <v>295.34177980841878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3.1530729686654775</v>
      </c>
      <c r="AV119" s="21">
        <f>EXP(-LN(2)/25)*AV118+(1-EXP(-LN(2)/25))/(LN(2)/25)*Calculateur!AQ119*Calculateur!AS119*VLOOKUP('Données projet'!$B$10,Paramètres!$A$1:$I$89,3,0)*0.475*44/12</f>
        <v>1.9054819861496153</v>
      </c>
      <c r="AW119" s="21">
        <f>EXP(-LN(2)/2)*AW118+(1-EXP(-LN(2)/2))/(LN(2)/2)*AQ119*AT119*VLOOKUP('Données projet'!$B$10,Paramètres!$A$1:$I$89,3,0)*0.475*44/12</f>
        <v>1.344883575493903E-12</v>
      </c>
      <c r="AX119" s="21">
        <f t="shared" si="60"/>
        <v>5.0585549548164375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274.78375889702613</v>
      </c>
      <c r="T120" s="59">
        <f t="shared" si="88"/>
        <v>180.48047802041276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1.3048193710596685</v>
      </c>
      <c r="AA120" s="21">
        <f>EXP(-LN(2)/25)*AA119+(1-EXP(-LN(2)/25))/(LN(2)/25)*Calculateur!V120*Calculateur!X120*VLOOKUP('Données projet'!$B$9,Paramètres!$A$1:$I$89,3,0)*0.475*44/12</f>
        <v>0.83929097093634708</v>
      </c>
      <c r="AB120" s="21">
        <f>EXP(-LN(2)/2)*AB119+(1-EXP(-LN(2)/2))/(LN(2)/2)*V120*Y120*VLOOKUP('Données projet'!$B$9,Paramètres!$A$1:$I$89,3,0)*0.475*44/12</f>
        <v>6.861043857739596E-13</v>
      </c>
      <c r="AC120" s="22">
        <f t="shared" si="57"/>
        <v>2.1441103419967016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-2.8421709430404007E-13</v>
      </c>
      <c r="AJ120" s="13">
        <f>AI120*VLOOKUP('Données projet'!$B$10,Paramètres!$A$1:$I$89,3,0)*VLOOKUP('Données projet'!$B$10,Paramètres!$A$1:$I$89,5,0)</f>
        <v>-2.2612312022829427E-13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295.36463140471733</v>
      </c>
      <c r="AO120" s="59">
        <f t="shared" si="90"/>
        <v>295.34177980841878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3.0912431309345596</v>
      </c>
      <c r="AV120" s="21">
        <f>EXP(-LN(2)/25)*AV119+(1-EXP(-LN(2)/25))/(LN(2)/25)*Calculateur!AQ120*Calculateur!AS120*VLOOKUP('Données projet'!$B$10,Paramètres!$A$1:$I$89,3,0)*0.475*44/12</f>
        <v>1.8533764810334115</v>
      </c>
      <c r="AW120" s="21">
        <f>EXP(-LN(2)/2)*AW119+(1-EXP(-LN(2)/2))/(LN(2)/2)*AQ120*AT120*VLOOKUP('Données projet'!$B$10,Paramètres!$A$1:$I$89,3,0)*0.475*44/12</f>
        <v>9.5097629613814892E-13</v>
      </c>
      <c r="AX120" s="21">
        <f t="shared" si="60"/>
        <v>4.9446196119689221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274.78375889702613</v>
      </c>
      <c r="T121" s="59">
        <f t="shared" si="88"/>
        <v>180.48047802041276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1.2792326590544201</v>
      </c>
      <c r="AA121" s="21">
        <f>EXP(-LN(2)/25)*AA120+(1-EXP(-LN(2)/25))/(LN(2)/25)*Calculateur!V121*Calculateur!X121*VLOOKUP('Données projet'!$B$9,Paramètres!$A$1:$I$89,3,0)*0.475*44/12</f>
        <v>0.81634051519969875</v>
      </c>
      <c r="AB121" s="21">
        <f>EXP(-LN(2)/2)*AB120+(1-EXP(-LN(2)/2))/(LN(2)/2)*V121*Y121*VLOOKUP('Données projet'!$B$9,Paramètres!$A$1:$I$89,3,0)*0.475*44/12</f>
        <v>4.8514906378259784E-13</v>
      </c>
      <c r="AC121" s="22">
        <f t="shared" si="57"/>
        <v>2.0955731742546035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-2.8421709430404007E-13</v>
      </c>
      <c r="AJ121" s="13">
        <f>AI121*VLOOKUP('Données projet'!$B$10,Paramètres!$A$1:$I$89,3,0)*VLOOKUP('Données projet'!$B$10,Paramètres!$A$1:$I$89,5,0)</f>
        <v>-2.2612312022829427E-13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295.36463140471733</v>
      </c>
      <c r="AO121" s="59">
        <f t="shared" si="90"/>
        <v>295.34177980841878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3.0306257386090678</v>
      </c>
      <c r="AV121" s="21">
        <f>EXP(-LN(2)/25)*AV120+(1-EXP(-LN(2)/25))/(LN(2)/25)*Calculateur!AQ121*Calculateur!AS121*VLOOKUP('Données projet'!$B$10,Paramètres!$A$1:$I$89,3,0)*0.475*44/12</f>
        <v>1.8026958036947196</v>
      </c>
      <c r="AW121" s="21">
        <f>EXP(-LN(2)/2)*AW120+(1-EXP(-LN(2)/2))/(LN(2)/2)*AQ121*AT121*VLOOKUP('Données projet'!$B$10,Paramètres!$A$1:$I$89,3,0)*0.475*44/12</f>
        <v>6.7244178774695151E-13</v>
      </c>
      <c r="AX121" s="21">
        <f t="shared" si="60"/>
        <v>4.8333215423044598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274.78375889702613</v>
      </c>
      <c r="T122" s="59">
        <f t="shared" si="88"/>
        <v>180.48047802041276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1.2541476868652413</v>
      </c>
      <c r="AA122" s="21">
        <f>EXP(-LN(2)/25)*AA121+(1-EXP(-LN(2)/25))/(LN(2)/25)*Calculateur!V122*Calculateur!X122*VLOOKUP('Données projet'!$B$9,Paramètres!$A$1:$I$89,3,0)*0.475*44/12</f>
        <v>0.79401764088208104</v>
      </c>
      <c r="AB122" s="21">
        <f>EXP(-LN(2)/2)*AB121+(1-EXP(-LN(2)/2))/(LN(2)/2)*V122*Y122*VLOOKUP('Données projet'!$B$9,Paramètres!$A$1:$I$89,3,0)*0.475*44/12</f>
        <v>3.430521928869798E-13</v>
      </c>
      <c r="AC122" s="22">
        <f t="shared" si="57"/>
        <v>2.048165327747665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-2.8421709430404007E-13</v>
      </c>
      <c r="AJ122" s="13">
        <f>AI122*VLOOKUP('Données projet'!$B$10,Paramètres!$A$1:$I$89,3,0)*VLOOKUP('Données projet'!$B$10,Paramètres!$A$1:$I$89,5,0)</f>
        <v>-2.2612312022829427E-13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295.36463140471733</v>
      </c>
      <c r="AO122" s="59">
        <f t="shared" si="90"/>
        <v>295.34177980841878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2.9711970163741204</v>
      </c>
      <c r="AV122" s="21">
        <f>EXP(-LN(2)/25)*AV121+(1-EXP(-LN(2)/25))/(LN(2)/25)*Calculateur!AQ122*Calculateur!AS122*VLOOKUP('Données projet'!$B$10,Paramètres!$A$1:$I$89,3,0)*0.475*44/12</f>
        <v>1.7534009921430354</v>
      </c>
      <c r="AW122" s="21">
        <f>EXP(-LN(2)/2)*AW121+(1-EXP(-LN(2)/2))/(LN(2)/2)*AQ122*AT122*VLOOKUP('Données projet'!$B$10,Paramètres!$A$1:$I$89,3,0)*0.475*44/12</f>
        <v>4.7548814806907446E-13</v>
      </c>
      <c r="AX122" s="21">
        <f t="shared" si="60"/>
        <v>4.7245980085176305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274.78375889702613</v>
      </c>
      <c r="T123" s="59">
        <f t="shared" si="88"/>
        <v>180.48047802041276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1.2295546156803698</v>
      </c>
      <c r="AA123" s="21">
        <f>EXP(-LN(2)/25)*AA122+(1-EXP(-LN(2)/25))/(LN(2)/25)*Calculateur!V123*Calculateur!X123*VLOOKUP('Données projet'!$B$9,Paramètres!$A$1:$I$89,3,0)*0.475*44/12</f>
        <v>0.77230518673658755</v>
      </c>
      <c r="AB123" s="21">
        <f>EXP(-LN(2)/2)*AB122+(1-EXP(-LN(2)/2))/(LN(2)/2)*V123*Y123*VLOOKUP('Données projet'!$B$9,Paramètres!$A$1:$I$89,3,0)*0.475*44/12</f>
        <v>2.4257453189129892E-13</v>
      </c>
      <c r="AC123" s="22">
        <f t="shared" si="57"/>
        <v>2.0018598024171999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-2.8421709430404007E-13</v>
      </c>
      <c r="AJ123" s="13">
        <f>AI123*VLOOKUP('Données projet'!$B$10,Paramètres!$A$1:$I$89,3,0)*VLOOKUP('Données projet'!$B$10,Paramètres!$A$1:$I$89,5,0)</f>
        <v>-2.2612312022829427E-13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295.36463140471733</v>
      </c>
      <c r="AO123" s="59">
        <f t="shared" si="90"/>
        <v>295.34177980841878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2.9129336551342591</v>
      </c>
      <c r="AV123" s="21">
        <f>EXP(-LN(2)/25)*AV122+(1-EXP(-LN(2)/25))/(LN(2)/25)*Calculateur!AQ123*Calculateur!AS123*VLOOKUP('Données projet'!$B$10,Paramètres!$A$1:$I$89,3,0)*0.475*44/12</f>
        <v>1.7054541498055333</v>
      </c>
      <c r="AW123" s="21">
        <f>EXP(-LN(2)/2)*AW122+(1-EXP(-LN(2)/2))/(LN(2)/2)*AQ123*AT123*VLOOKUP('Données projet'!$B$10,Paramètres!$A$1:$I$89,3,0)*0.475*44/12</f>
        <v>3.3622089387347576E-13</v>
      </c>
      <c r="AX123" s="21">
        <f t="shared" si="60"/>
        <v>4.618387804940129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274.78375889702613</v>
      </c>
      <c r="T124" s="59">
        <f t="shared" si="88"/>
        <v>180.48047802041276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1.2054437996211416</v>
      </c>
      <c r="AA124" s="21">
        <f>EXP(-LN(2)/25)*AA123+(1-EXP(-LN(2)/25))/(LN(2)/25)*Calculateur!V124*Calculateur!X124*VLOOKUP('Données projet'!$B$9,Paramètres!$A$1:$I$89,3,0)*0.475*44/12</f>
        <v>0.75118646079151097</v>
      </c>
      <c r="AB124" s="21">
        <f>EXP(-LN(2)/2)*AB123+(1-EXP(-LN(2)/2))/(LN(2)/2)*V124*Y124*VLOOKUP('Données projet'!$B$9,Paramètres!$A$1:$I$89,3,0)*0.475*44/12</f>
        <v>1.715260964434899E-13</v>
      </c>
      <c r="AC124" s="22">
        <f t="shared" si="57"/>
        <v>1.9566302604128238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-2.8421709430404007E-13</v>
      </c>
      <c r="AJ124" s="13">
        <f>AI124*VLOOKUP('Données projet'!$B$10,Paramètres!$A$1:$I$89,3,0)*VLOOKUP('Données projet'!$B$10,Paramètres!$A$1:$I$89,5,0)</f>
        <v>-2.2612312022829427E-13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295.36463140471733</v>
      </c>
      <c r="AO124" s="59">
        <f t="shared" si="90"/>
        <v>295.34177980841878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2.8558128028711698</v>
      </c>
      <c r="AV124" s="21">
        <f>EXP(-LN(2)/25)*AV123+(1-EXP(-LN(2)/25))/(LN(2)/25)*Calculateur!AQ124*Calculateur!AS124*VLOOKUP('Données projet'!$B$10,Paramètres!$A$1:$I$89,3,0)*0.475*44/12</f>
        <v>1.6588184163931652</v>
      </c>
      <c r="AW124" s="21">
        <f>EXP(-LN(2)/2)*AW123+(1-EXP(-LN(2)/2))/(LN(2)/2)*AQ124*AT124*VLOOKUP('Données projet'!$B$10,Paramètres!$A$1:$I$89,3,0)*0.475*44/12</f>
        <v>2.3774407403453723E-13</v>
      </c>
      <c r="AX124" s="21">
        <f t="shared" si="60"/>
        <v>4.5146312192645732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274.78375889702613</v>
      </c>
      <c r="T125" s="59">
        <f t="shared" si="88"/>
        <v>180.48047802041276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1.1818057819586891</v>
      </c>
      <c r="AA125" s="21">
        <f>EXP(-LN(2)/25)*AA124+(1-EXP(-LN(2)/25))/(LN(2)/25)*Calculateur!V125*Calculateur!X125*VLOOKUP('Données projet'!$B$9,Paramètres!$A$1:$I$89,3,0)*0.475*44/12</f>
        <v>0.73064522751798799</v>
      </c>
      <c r="AB125" s="21">
        <f>EXP(-LN(2)/2)*AB124+(1-EXP(-LN(2)/2))/(LN(2)/2)*V125*Y125*VLOOKUP('Données projet'!$B$9,Paramètres!$A$1:$I$89,3,0)*0.475*44/12</f>
        <v>1.2128726594564946E-13</v>
      </c>
      <c r="AC125" s="22">
        <f t="shared" si="57"/>
        <v>1.9124510094767984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-2.8421709430404007E-13</v>
      </c>
      <c r="AJ125" s="13">
        <f>AI125*VLOOKUP('Données projet'!$B$10,Paramètres!$A$1:$I$89,3,0)*VLOOKUP('Données projet'!$B$10,Paramètres!$A$1:$I$89,5,0)</f>
        <v>-2.2612312022829427E-13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295.36463140471733</v>
      </c>
      <c r="AO125" s="59">
        <f t="shared" si="90"/>
        <v>295.34177980841878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2.7998120556806803</v>
      </c>
      <c r="AV125" s="21">
        <f>EXP(-LN(2)/25)*AV124+(1-EXP(-LN(2)/25))/(LN(2)/25)*Calculateur!AQ125*Calculateur!AS125*VLOOKUP('Données projet'!$B$10,Paramètres!$A$1:$I$89,3,0)*0.475*44/12</f>
        <v>1.6134579395634248</v>
      </c>
      <c r="AW125" s="21">
        <f>EXP(-LN(2)/2)*AW124+(1-EXP(-LN(2)/2))/(LN(2)/2)*AQ125*AT125*VLOOKUP('Données projet'!$B$10,Paramètres!$A$1:$I$89,3,0)*0.475*44/12</f>
        <v>1.6811044693673788E-13</v>
      </c>
      <c r="AX125" s="21">
        <f t="shared" si="60"/>
        <v>4.4132699952442733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274.78375889702613</v>
      </c>
      <c r="T126" s="59">
        <f t="shared" si="88"/>
        <v>180.48047802041276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1.1586312914048302</v>
      </c>
      <c r="AA126" s="21">
        <f>EXP(-LN(2)/25)*AA125+(1-EXP(-LN(2)/25))/(LN(2)/25)*Calculateur!V126*Calculateur!X126*VLOOKUP('Données projet'!$B$9,Paramètres!$A$1:$I$89,3,0)*0.475*44/12</f>
        <v>0.71066569534854596</v>
      </c>
      <c r="AB126" s="21">
        <f>EXP(-LN(2)/2)*AB125+(1-EXP(-LN(2)/2))/(LN(2)/2)*V126*Y126*VLOOKUP('Données projet'!$B$9,Paramètres!$A$1:$I$89,3,0)*0.475*44/12</f>
        <v>8.576304822174495E-14</v>
      </c>
      <c r="AC126" s="22">
        <f t="shared" si="57"/>
        <v>1.8692969867534619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-2.8421709430404007E-13</v>
      </c>
      <c r="AJ126" s="13">
        <f>AI126*VLOOKUP('Données projet'!$B$10,Paramètres!$A$1:$I$89,3,0)*VLOOKUP('Données projet'!$B$10,Paramètres!$A$1:$I$89,5,0)</f>
        <v>-2.2612312022829427E-13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295.36463140471733</v>
      </c>
      <c r="AO126" s="59">
        <f t="shared" si="90"/>
        <v>295.34177980841878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2.744909448985513</v>
      </c>
      <c r="AV126" s="21">
        <f>EXP(-LN(2)/25)*AV125+(1-EXP(-LN(2)/25))/(LN(2)/25)*Calculateur!AQ126*Calculateur!AS126*VLOOKUP('Données projet'!$B$10,Paramètres!$A$1:$I$89,3,0)*0.475*44/12</f>
        <v>1.5693378473579975</v>
      </c>
      <c r="AW126" s="21">
        <f>EXP(-LN(2)/2)*AW125+(1-EXP(-LN(2)/2))/(LN(2)/2)*AQ126*AT126*VLOOKUP('Données projet'!$B$10,Paramètres!$A$1:$I$89,3,0)*0.475*44/12</f>
        <v>1.1887203701726861E-13</v>
      </c>
      <c r="AX126" s="21">
        <f t="shared" si="60"/>
        <v>4.3142472963436296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274.78375889702613</v>
      </c>
      <c r="T127" s="59">
        <f t="shared" si="88"/>
        <v>180.48047802041276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1.1359112384756889</v>
      </c>
      <c r="AA127" s="21">
        <f>EXP(-LN(2)/25)*AA126+(1-EXP(-LN(2)/25))/(LN(2)/25)*Calculateur!V127*Calculateur!X127*VLOOKUP('Données projet'!$B$9,Paramètres!$A$1:$I$89,3,0)*0.475*44/12</f>
        <v>0.69123250453695528</v>
      </c>
      <c r="AB127" s="21">
        <f>EXP(-LN(2)/2)*AB126+(1-EXP(-LN(2)/2))/(LN(2)/2)*V127*Y127*VLOOKUP('Données projet'!$B$9,Paramètres!$A$1:$I$89,3,0)*0.475*44/12</f>
        <v>6.0643632972824729E-14</v>
      </c>
      <c r="AC127" s="22">
        <f t="shared" si="57"/>
        <v>1.8271437430127049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-2.8421709430404007E-13</v>
      </c>
      <c r="AJ127" s="13">
        <f>AI127*VLOOKUP('Données projet'!$B$10,Paramètres!$A$1:$I$89,3,0)*VLOOKUP('Données projet'!$B$10,Paramètres!$A$1:$I$89,5,0)</f>
        <v>-2.2612312022829427E-13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295.36463140471733</v>
      </c>
      <c r="AO127" s="59">
        <f t="shared" si="90"/>
        <v>295.34177980841878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2.6910834489203546</v>
      </c>
      <c r="AV127" s="21">
        <f>EXP(-LN(2)/25)*AV126+(1-EXP(-LN(2)/25))/(LN(2)/25)*Calculateur!AQ127*Calculateur!AS127*VLOOKUP('Données projet'!$B$10,Paramètres!$A$1:$I$89,3,0)*0.475*44/12</f>
        <v>1.5264242213941024</v>
      </c>
      <c r="AW127" s="21">
        <f>EXP(-LN(2)/2)*AW126+(1-EXP(-LN(2)/2))/(LN(2)/2)*AQ127*AT127*VLOOKUP('Données projet'!$B$10,Paramètres!$A$1:$I$89,3,0)*0.475*44/12</f>
        <v>8.4055223468368939E-14</v>
      </c>
      <c r="AX127" s="21">
        <f t="shared" si="60"/>
        <v>4.2175076703145411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274.78375889702613</v>
      </c>
      <c r="T128" s="59">
        <f t="shared" si="88"/>
        <v>180.48047802041276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1.1136367119266242</v>
      </c>
      <c r="AA128" s="21">
        <f>EXP(-LN(2)/25)*AA127+(1-EXP(-LN(2)/25))/(LN(2)/25)*Calculateur!V128*Calculateur!X128*VLOOKUP('Données projet'!$B$9,Paramètres!$A$1:$I$89,3,0)*0.475*44/12</f>
        <v>0.67233071535005462</v>
      </c>
      <c r="AB128" s="21">
        <f>EXP(-LN(2)/2)*AB127+(1-EXP(-LN(2)/2))/(LN(2)/2)*V128*Y128*VLOOKUP('Données projet'!$B$9,Paramètres!$A$1:$I$89,3,0)*0.475*44/12</f>
        <v>4.2881524110872475E-14</v>
      </c>
      <c r="AC128" s="22">
        <f t="shared" si="57"/>
        <v>1.7859674272767216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-2.8421709430404007E-13</v>
      </c>
      <c r="AJ128" s="13">
        <f>AI128*VLOOKUP('Données projet'!$B$10,Paramètres!$A$1:$I$89,3,0)*VLOOKUP('Données projet'!$B$10,Paramètres!$A$1:$I$89,5,0)</f>
        <v>-2.2612312022829427E-13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295.36463140471733</v>
      </c>
      <c r="AO128" s="59">
        <f t="shared" si="90"/>
        <v>295.34177980841878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2.6383129438858557</v>
      </c>
      <c r="AV128" s="21">
        <f>EXP(-LN(2)/25)*AV127+(1-EXP(-LN(2)/25))/(LN(2)/25)*Calculateur!AQ128*Calculateur!AS128*VLOOKUP('Données projet'!$B$10,Paramètres!$A$1:$I$89,3,0)*0.475*44/12</f>
        <v>1.4846840707889195</v>
      </c>
      <c r="AW128" s="21">
        <f>EXP(-LN(2)/2)*AW127+(1-EXP(-LN(2)/2))/(LN(2)/2)*AQ128*AT128*VLOOKUP('Données projet'!$B$10,Paramètres!$A$1:$I$89,3,0)*0.475*44/12</f>
        <v>5.9436018508634307E-14</v>
      </c>
      <c r="AX128" s="21">
        <f t="shared" si="60"/>
        <v>4.1229970146748345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274.78375889702613</v>
      </c>
      <c r="T129" s="59">
        <f t="shared" si="88"/>
        <v>180.48047802041276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1.0917989752570669</v>
      </c>
      <c r="AA129" s="21">
        <f>EXP(-LN(2)/25)*AA128+(1-EXP(-LN(2)/25))/(LN(2)/25)*Calculateur!V129*Calculateur!X129*VLOOKUP('Données projet'!$B$9,Paramètres!$A$1:$I$89,3,0)*0.475*44/12</f>
        <v>0.65394579658247165</v>
      </c>
      <c r="AB129" s="21">
        <f>EXP(-LN(2)/2)*AB128+(1-EXP(-LN(2)/2))/(LN(2)/2)*V129*Y129*VLOOKUP('Données projet'!$B$9,Paramètres!$A$1:$I$89,3,0)*0.475*44/12</f>
        <v>3.0321816486412365E-14</v>
      </c>
      <c r="AC129" s="22">
        <f t="shared" si="57"/>
        <v>1.7457447718395691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-2.8421709430404007E-13</v>
      </c>
      <c r="AJ129" s="13">
        <f>AI129*VLOOKUP('Données projet'!$B$10,Paramètres!$A$1:$I$89,3,0)*VLOOKUP('Données projet'!$B$10,Paramètres!$A$1:$I$89,5,0)</f>
        <v>-2.2612312022829427E-13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295.36463140471733</v>
      </c>
      <c r="AO129" s="59">
        <f t="shared" si="90"/>
        <v>295.34177980841878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2.5865772362682535</v>
      </c>
      <c r="AV129" s="21">
        <f>EXP(-LN(2)/25)*AV128+(1-EXP(-LN(2)/25))/(LN(2)/25)*Calculateur!AQ129*Calculateur!AS129*VLOOKUP('Données projet'!$B$10,Paramètres!$A$1:$I$89,3,0)*0.475*44/12</f>
        <v>1.4440853067970545</v>
      </c>
      <c r="AW129" s="21">
        <f>EXP(-LN(2)/2)*AW128+(1-EXP(-LN(2)/2))/(LN(2)/2)*AQ129*AT129*VLOOKUP('Données projet'!$B$10,Paramètres!$A$1:$I$89,3,0)*0.475*44/12</f>
        <v>4.202761173418447E-14</v>
      </c>
      <c r="AX129" s="21">
        <f t="shared" si="60"/>
        <v>4.0306625430653495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274.78375889702613</v>
      </c>
      <c r="T130" s="59">
        <f t="shared" si="88"/>
        <v>180.48047802041276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1.0703894632838955</v>
      </c>
      <c r="AA130" s="21">
        <f>EXP(-LN(2)/25)*AA129+(1-EXP(-LN(2)/25))/(LN(2)/25)*Calculateur!V130*Calculateur!X130*VLOOKUP('Données projet'!$B$9,Paramètres!$A$1:$I$89,3,0)*0.475*44/12</f>
        <v>0.63606361438540915</v>
      </c>
      <c r="AB130" s="21">
        <f>EXP(-LN(2)/2)*AB129+(1-EXP(-LN(2)/2))/(LN(2)/2)*V130*Y130*VLOOKUP('Données projet'!$B$9,Paramètres!$A$1:$I$89,3,0)*0.475*44/12</f>
        <v>2.1440762055436237E-14</v>
      </c>
      <c r="AC130" s="22">
        <f t="shared" si="57"/>
        <v>1.7064530776693261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-2.8421709430404007E-13</v>
      </c>
      <c r="AJ130" s="13">
        <f>AI130*VLOOKUP('Données projet'!$B$10,Paramètres!$A$1:$I$89,3,0)*VLOOKUP('Données projet'!$B$10,Paramètres!$A$1:$I$89,5,0)</f>
        <v>-2.2612312022829427E-13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295.36463140471733</v>
      </c>
      <c r="AO130" s="59">
        <f t="shared" si="90"/>
        <v>295.34177980841878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2.5358560343213665</v>
      </c>
      <c r="AV130" s="21">
        <f>EXP(-LN(2)/25)*AV129+(1-EXP(-LN(2)/25))/(LN(2)/25)*Calculateur!AQ130*Calculateur!AS130*VLOOKUP('Données projet'!$B$10,Paramètres!$A$1:$I$89,3,0)*0.475*44/12</f>
        <v>1.4045967181415433</v>
      </c>
      <c r="AW130" s="21">
        <f>EXP(-LN(2)/2)*AW129+(1-EXP(-LN(2)/2))/(LN(2)/2)*AQ130*AT130*VLOOKUP('Données projet'!$B$10,Paramètres!$A$1:$I$89,3,0)*0.475*44/12</f>
        <v>2.9718009254317154E-14</v>
      </c>
      <c r="AX130" s="21">
        <f t="shared" si="60"/>
        <v>3.9404527524629396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274.78375889702613</v>
      </c>
      <c r="T131" s="59">
        <f t="shared" si="88"/>
        <v>180.48047802041276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1.0493997787820051</v>
      </c>
      <c r="AA131" s="21">
        <f>EXP(-LN(2)/25)*AA130+(1-EXP(-LN(2)/25))/(LN(2)/25)*Calculateur!V131*Calculateur!X131*VLOOKUP('Données projet'!$B$9,Paramètres!$A$1:$I$89,3,0)*0.475*44/12</f>
        <v>0.61867042140090844</v>
      </c>
      <c r="AB131" s="21">
        <f>EXP(-LN(2)/2)*AB130+(1-EXP(-LN(2)/2))/(LN(2)/2)*V131*Y131*VLOOKUP('Données projet'!$B$9,Paramètres!$A$1:$I$89,3,0)*0.475*44/12</f>
        <v>1.5160908243206182E-14</v>
      </c>
      <c r="AC131" s="22">
        <f t="shared" si="57"/>
        <v>1.6680702001829286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-2.8421709430404007E-13</v>
      </c>
      <c r="AJ131" s="13">
        <f>AI131*VLOOKUP('Données projet'!$B$10,Paramètres!$A$1:$I$89,3,0)*VLOOKUP('Données projet'!$B$10,Paramètres!$A$1:$I$89,5,0)</f>
        <v>-2.2612312022829427E-13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295.36463140471733</v>
      </c>
      <c r="AO131" s="59">
        <f t="shared" si="90"/>
        <v>295.34177980841878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2.4861294442077795</v>
      </c>
      <c r="AV131" s="21">
        <f>EXP(-LN(2)/25)*AV130+(1-EXP(-LN(2)/25))/(LN(2)/25)*Calculateur!AQ131*Calculateur!AS131*VLOOKUP('Données projet'!$B$10,Paramètres!$A$1:$I$89,3,0)*0.475*44/12</f>
        <v>1.3661879470194316</v>
      </c>
      <c r="AW131" s="21">
        <f>EXP(-LN(2)/2)*AW130+(1-EXP(-LN(2)/2))/(LN(2)/2)*AQ131*AT131*VLOOKUP('Données projet'!$B$10,Paramètres!$A$1:$I$89,3,0)*0.475*44/12</f>
        <v>2.1013805867092235E-14</v>
      </c>
      <c r="AX131" s="21">
        <f t="shared" si="60"/>
        <v>3.8523173912272317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274.78375889702613</v>
      </c>
      <c r="T132" s="59">
        <f t="shared" si="88"/>
        <v>180.48047802041276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1.0288216891907533</v>
      </c>
      <c r="AA132" s="21">
        <f>EXP(-LN(2)/25)*AA131+(1-EXP(-LN(2)/25))/(LN(2)/25)*Calculateur!V132*Calculateur!X132*VLOOKUP('Données projet'!$B$9,Paramètres!$A$1:$I$89,3,0)*0.475*44/12</f>
        <v>0.6017528461932371</v>
      </c>
      <c r="AB132" s="21">
        <f>EXP(-LN(2)/2)*AB131+(1-EXP(-LN(2)/2))/(LN(2)/2)*V132*Y132*VLOOKUP('Données projet'!$B$9,Paramètres!$A$1:$I$89,3,0)*0.475*44/12</f>
        <v>1.0720381027718119E-14</v>
      </c>
      <c r="AC132" s="22">
        <f t="shared" ref="AC132:AC153" si="111">SUM(Z132:AB132)</f>
        <v>1.6305745353840011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-2.8421709430404007E-13</v>
      </c>
      <c r="AJ132" s="13">
        <f>AI132*VLOOKUP('Données projet'!$B$10,Paramètres!$A$1:$I$89,3,0)*VLOOKUP('Données projet'!$B$10,Paramètres!$A$1:$I$89,5,0)</f>
        <v>-2.2612312022829427E-13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295.36463140471733</v>
      </c>
      <c r="AO132" s="59">
        <f t="shared" si="90"/>
        <v>295.34177980841878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2.4373779621960949</v>
      </c>
      <c r="AV132" s="21">
        <f>EXP(-LN(2)/25)*AV131+(1-EXP(-LN(2)/25))/(LN(2)/25)*Calculateur!AQ132*Calculateur!AS132*VLOOKUP('Données projet'!$B$10,Paramètres!$A$1:$I$89,3,0)*0.475*44/12</f>
        <v>1.3288294657634836</v>
      </c>
      <c r="AW132" s="21">
        <f>EXP(-LN(2)/2)*AW131+(1-EXP(-LN(2)/2))/(LN(2)/2)*AQ132*AT132*VLOOKUP('Données projet'!$B$10,Paramètres!$A$1:$I$89,3,0)*0.475*44/12</f>
        <v>1.4859004627158577E-14</v>
      </c>
      <c r="AX132" s="21">
        <f t="shared" ref="AX132:AX153" si="114">SUM(AU132:AW132)</f>
        <v>3.7662074279595932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274.78375889702613</v>
      </c>
      <c r="T133" s="59">
        <f t="shared" ref="T133:T196" si="142">$T$3</f>
        <v>180.48047802041276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1.0086471233849907</v>
      </c>
      <c r="AA133" s="21">
        <f>EXP(-LN(2)/25)*AA132+(1-EXP(-LN(2)/25))/(LN(2)/25)*Calculateur!V133*Calculateur!X133*VLOOKUP('Données projet'!$B$9,Paramètres!$A$1:$I$89,3,0)*0.475*44/12</f>
        <v>0.58529788296927621</v>
      </c>
      <c r="AB133" s="21">
        <f>EXP(-LN(2)/2)*AB132+(1-EXP(-LN(2)/2))/(LN(2)/2)*V133*Y133*VLOOKUP('Données projet'!$B$9,Paramètres!$A$1:$I$89,3,0)*0.475*44/12</f>
        <v>7.5804541216030912E-15</v>
      </c>
      <c r="AC133" s="22">
        <f t="shared" si="111"/>
        <v>1.5939450063542746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-2.8421709430404007E-13</v>
      </c>
      <c r="AJ133" s="13">
        <f>AI133*VLOOKUP('Données projet'!$B$10,Paramètres!$A$1:$I$89,3,0)*VLOOKUP('Données projet'!$B$10,Paramètres!$A$1:$I$89,5,0)</f>
        <v>-2.2612312022829427E-13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295.36463140471733</v>
      </c>
      <c r="AO133" s="59">
        <f t="shared" ref="AO133:AO196" si="144">$AO$3</f>
        <v>295.34177980841878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2.3895824670111914</v>
      </c>
      <c r="AV133" s="21">
        <f>EXP(-LN(2)/25)*AV132+(1-EXP(-LN(2)/25))/(LN(2)/25)*Calculateur!AQ133*Calculateur!AS133*VLOOKUP('Données projet'!$B$10,Paramètres!$A$1:$I$89,3,0)*0.475*44/12</f>
        <v>1.2924925541420766</v>
      </c>
      <c r="AW133" s="21">
        <f>EXP(-LN(2)/2)*AW132+(1-EXP(-LN(2)/2))/(LN(2)/2)*AQ133*AT133*VLOOKUP('Données projet'!$B$10,Paramètres!$A$1:$I$89,3,0)*0.475*44/12</f>
        <v>1.0506902933546117E-14</v>
      </c>
      <c r="AX133" s="21">
        <f t="shared" si="114"/>
        <v>3.6820750211532784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274.78375889702613</v>
      </c>
      <c r="T134" s="59">
        <f t="shared" si="142"/>
        <v>180.48047802041276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0.98886816850940895</v>
      </c>
      <c r="AA134" s="21">
        <f>EXP(-LN(2)/25)*AA133+(1-EXP(-LN(2)/25))/(LN(2)/25)*Calculateur!V134*Calculateur!X134*VLOOKUP('Données projet'!$B$9,Paramètres!$A$1:$I$89,3,0)*0.475*44/12</f>
        <v>0.56929288158000335</v>
      </c>
      <c r="AB134" s="21">
        <f>EXP(-LN(2)/2)*AB133+(1-EXP(-LN(2)/2))/(LN(2)/2)*V134*Y134*VLOOKUP('Données projet'!$B$9,Paramètres!$A$1:$I$89,3,0)*0.475*44/12</f>
        <v>5.3601905138590594E-15</v>
      </c>
      <c r="AC134" s="22">
        <f t="shared" si="111"/>
        <v>1.5581610500894176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-2.8421709430404007E-13</v>
      </c>
      <c r="AJ134" s="13">
        <f>AI134*VLOOKUP('Données projet'!$B$10,Paramètres!$A$1:$I$89,3,0)*VLOOKUP('Données projet'!$B$10,Paramètres!$A$1:$I$89,5,0)</f>
        <v>-2.2612312022829427E-13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295.36463140471733</v>
      </c>
      <c r="AO134" s="59">
        <f t="shared" si="144"/>
        <v>295.34177980841878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2.3427242123344905</v>
      </c>
      <c r="AV134" s="21">
        <f>EXP(-LN(2)/25)*AV133+(1-EXP(-LN(2)/25))/(LN(2)/25)*Calculateur!AQ134*Calculateur!AS134*VLOOKUP('Données projet'!$B$10,Paramètres!$A$1:$I$89,3,0)*0.475*44/12</f>
        <v>1.2571492772798323</v>
      </c>
      <c r="AW134" s="21">
        <f>EXP(-LN(2)/2)*AW133+(1-EXP(-LN(2)/2))/(LN(2)/2)*AQ134*AT134*VLOOKUP('Données projet'!$B$10,Paramètres!$A$1:$I$89,3,0)*0.475*44/12</f>
        <v>7.4295023135792884E-15</v>
      </c>
      <c r="AX134" s="21">
        <f t="shared" si="114"/>
        <v>3.5998734896143305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274.78375889702613</v>
      </c>
      <c r="T135" s="59">
        <f t="shared" si="142"/>
        <v>180.48047802041276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0.96947706687496615</v>
      </c>
      <c r="AA135" s="21">
        <f>EXP(-LN(2)/25)*AA134+(1-EXP(-LN(2)/25))/(LN(2)/25)*Calculateur!V135*Calculateur!X135*VLOOKUP('Données projet'!$B$9,Paramètres!$A$1:$I$89,3,0)*0.475*44/12</f>
        <v>0.55372553779538669</v>
      </c>
      <c r="AB135" s="21">
        <f>EXP(-LN(2)/2)*AB134+(1-EXP(-LN(2)/2))/(LN(2)/2)*V135*Y135*VLOOKUP('Données projet'!$B$9,Paramètres!$A$1:$I$89,3,0)*0.475*44/12</f>
        <v>3.7902270608015456E-15</v>
      </c>
      <c r="AC135" s="22">
        <f t="shared" si="111"/>
        <v>1.5232026046703566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-2.8421709430404007E-13</v>
      </c>
      <c r="AJ135" s="13">
        <f>AI135*VLOOKUP('Données projet'!$B$10,Paramètres!$A$1:$I$89,3,0)*VLOOKUP('Données projet'!$B$10,Paramètres!$A$1:$I$89,5,0)</f>
        <v>-2.2612312022829427E-13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295.36463140471733</v>
      </c>
      <c r="AO135" s="59">
        <f t="shared" si="144"/>
        <v>295.34177980841878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2.2967848194512865</v>
      </c>
      <c r="AV135" s="21">
        <f>EXP(-LN(2)/25)*AV134+(1-EXP(-LN(2)/25))/(LN(2)/25)*Calculateur!AQ135*Calculateur!AS135*VLOOKUP('Données projet'!$B$10,Paramètres!$A$1:$I$89,3,0)*0.475*44/12</f>
        <v>1.2227724641820081</v>
      </c>
      <c r="AW135" s="21">
        <f>EXP(-LN(2)/2)*AW134+(1-EXP(-LN(2)/2))/(LN(2)/2)*AQ135*AT135*VLOOKUP('Données projet'!$B$10,Paramètres!$A$1:$I$89,3,0)*0.475*44/12</f>
        <v>5.2534514667730587E-15</v>
      </c>
      <c r="AX135" s="21">
        <f t="shared" si="114"/>
        <v>3.5195572836332998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274.78375889702613</v>
      </c>
      <c r="T136" s="59">
        <f t="shared" si="142"/>
        <v>180.48047802041276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0.95046621291617062</v>
      </c>
      <c r="AA136" s="21">
        <f>EXP(-LN(2)/25)*AA135+(1-EXP(-LN(2)/25))/(LN(2)/25)*Calculateur!V136*Calculateur!X136*VLOOKUP('Données projet'!$B$9,Paramètres!$A$1:$I$89,3,0)*0.475*44/12</f>
        <v>0.53858388384521139</v>
      </c>
      <c r="AB136" s="21">
        <f>EXP(-LN(2)/2)*AB135+(1-EXP(-LN(2)/2))/(LN(2)/2)*V136*Y136*VLOOKUP('Données projet'!$B$9,Paramètres!$A$1:$I$89,3,0)*0.475*44/12</f>
        <v>2.6800952569295297E-15</v>
      </c>
      <c r="AC136" s="22">
        <f t="shared" si="111"/>
        <v>1.4890500967613847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-2.8421709430404007E-13</v>
      </c>
      <c r="AJ136" s="13">
        <f>AI136*VLOOKUP('Données projet'!$B$10,Paramètres!$A$1:$I$89,3,0)*VLOOKUP('Données projet'!$B$10,Paramètres!$A$1:$I$89,5,0)</f>
        <v>-2.2612312022829427E-13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295.36463140471733</v>
      </c>
      <c r="AO136" s="59">
        <f t="shared" si="144"/>
        <v>295.34177980841878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2.2517462700422595</v>
      </c>
      <c r="AV136" s="21">
        <f>EXP(-LN(2)/25)*AV135+(1-EXP(-LN(2)/25))/(LN(2)/25)*Calculateur!AQ136*Calculateur!AS136*VLOOKUP('Données projet'!$B$10,Paramètres!$A$1:$I$89,3,0)*0.475*44/12</f>
        <v>1.189335686846142</v>
      </c>
      <c r="AW136" s="21">
        <f>EXP(-LN(2)/2)*AW135+(1-EXP(-LN(2)/2))/(LN(2)/2)*AQ136*AT136*VLOOKUP('Données projet'!$B$10,Paramètres!$A$1:$I$89,3,0)*0.475*44/12</f>
        <v>3.7147511567896442E-15</v>
      </c>
      <c r="AX136" s="21">
        <f t="shared" si="114"/>
        <v>3.441081956888405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274.78375889702613</v>
      </c>
      <c r="T137" s="59">
        <f t="shared" si="142"/>
        <v>180.48047802041276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0.93182815020803111</v>
      </c>
      <c r="AA137" s="21">
        <f>EXP(-LN(2)/25)*AA136+(1-EXP(-LN(2)/25))/(LN(2)/25)*Calculateur!V137*Calculateur!X137*VLOOKUP('Données projet'!$B$9,Paramètres!$A$1:$I$89,3,0)*0.475*44/12</f>
        <v>0.52385627921856859</v>
      </c>
      <c r="AB137" s="21">
        <f>EXP(-LN(2)/2)*AB136+(1-EXP(-LN(2)/2))/(LN(2)/2)*V137*Y137*VLOOKUP('Données projet'!$B$9,Paramètres!$A$1:$I$89,3,0)*0.475*44/12</f>
        <v>1.8951135304007728E-15</v>
      </c>
      <c r="AC137" s="22">
        <f t="shared" si="111"/>
        <v>1.4556844294266018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-2.8421709430404007E-13</v>
      </c>
      <c r="AJ137" s="13">
        <f>AI137*VLOOKUP('Données projet'!$B$10,Paramètres!$A$1:$I$89,3,0)*VLOOKUP('Données projet'!$B$10,Paramètres!$A$1:$I$89,5,0)</f>
        <v>-2.2612312022829427E-13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295.36463140471733</v>
      </c>
      <c r="AO137" s="59">
        <f t="shared" si="144"/>
        <v>295.34177980841878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2.2075908991163407</v>
      </c>
      <c r="AV137" s="21">
        <f>EXP(-LN(2)/25)*AV136+(1-EXP(-LN(2)/25))/(LN(2)/25)*Calculateur!AQ137*Calculateur!AS137*VLOOKUP('Données projet'!$B$10,Paramètres!$A$1:$I$89,3,0)*0.475*44/12</f>
        <v>1.1568132399448887</v>
      </c>
      <c r="AW137" s="21">
        <f>EXP(-LN(2)/2)*AW136+(1-EXP(-LN(2)/2))/(LN(2)/2)*AQ137*AT137*VLOOKUP('Données projet'!$B$10,Paramètres!$A$1:$I$89,3,0)*0.475*44/12</f>
        <v>2.6267257333865293E-15</v>
      </c>
      <c r="AX137" s="21">
        <f t="shared" si="114"/>
        <v>3.3644041390612323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274.78375889702613</v>
      </c>
      <c r="T138" s="59">
        <f t="shared" si="142"/>
        <v>180.48047802041276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0.91355556854150244</v>
      </c>
      <c r="AA138" s="21">
        <f>EXP(-LN(2)/25)*AA137+(1-EXP(-LN(2)/25))/(LN(2)/25)*Calculateur!V138*Calculateur!X138*VLOOKUP('Données projet'!$B$9,Paramètres!$A$1:$I$89,3,0)*0.475*44/12</f>
        <v>0.50953140171493239</v>
      </c>
      <c r="AB138" s="21">
        <f>EXP(-LN(2)/2)*AB137+(1-EXP(-LN(2)/2))/(LN(2)/2)*V138*Y138*VLOOKUP('Données projet'!$B$9,Paramètres!$A$1:$I$89,3,0)*0.475*44/12</f>
        <v>1.3400476284647648E-15</v>
      </c>
      <c r="AC138" s="22">
        <f t="shared" si="111"/>
        <v>1.4230869702564362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-2.8421709430404007E-13</v>
      </c>
      <c r="AJ138" s="13">
        <f>AI138*VLOOKUP('Données projet'!$B$10,Paramètres!$A$1:$I$89,3,0)*VLOOKUP('Données projet'!$B$10,Paramètres!$A$1:$I$89,5,0)</f>
        <v>-2.2612312022829427E-13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295.36463140471733</v>
      </c>
      <c r="AO138" s="59">
        <f t="shared" si="144"/>
        <v>295.34177980841878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2.164301388082162</v>
      </c>
      <c r="AV138" s="21">
        <f>EXP(-LN(2)/25)*AV137+(1-EXP(-LN(2)/25))/(LN(2)/25)*Calculateur!AQ138*Calculateur!AS138*VLOOKUP('Données projet'!$B$10,Paramètres!$A$1:$I$89,3,0)*0.475*44/12</f>
        <v>1.1251801210644314</v>
      </c>
      <c r="AW138" s="21">
        <f>EXP(-LN(2)/2)*AW137+(1-EXP(-LN(2)/2))/(LN(2)/2)*AQ138*AT138*VLOOKUP('Données projet'!$B$10,Paramètres!$A$1:$I$89,3,0)*0.475*44/12</f>
        <v>1.8573755783948221E-15</v>
      </c>
      <c r="AX138" s="21">
        <f t="shared" si="114"/>
        <v>3.2894815091465954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274.78375889702613</v>
      </c>
      <c r="T139" s="59">
        <f t="shared" si="142"/>
        <v>180.48047802041276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0.89564130105628004</v>
      </c>
      <c r="AA139" s="21">
        <f>EXP(-LN(2)/25)*AA138+(1-EXP(-LN(2)/25))/(LN(2)/25)*Calculateur!V139*Calculateur!X139*VLOOKUP('Données projet'!$B$9,Paramètres!$A$1:$I$89,3,0)*0.475*44/12</f>
        <v>0.49559823873994568</v>
      </c>
      <c r="AB139" s="21">
        <f>EXP(-LN(2)/2)*AB138+(1-EXP(-LN(2)/2))/(LN(2)/2)*V139*Y139*VLOOKUP('Données projet'!$B$9,Paramètres!$A$1:$I$89,3,0)*0.475*44/12</f>
        <v>9.475567652003864E-16</v>
      </c>
      <c r="AC139" s="22">
        <f t="shared" si="111"/>
        <v>1.3912395397962265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-2.8421709430404007E-13</v>
      </c>
      <c r="AJ139" s="13">
        <f>AI139*VLOOKUP('Données projet'!$B$10,Paramètres!$A$1:$I$89,3,0)*VLOOKUP('Données projet'!$B$10,Paramètres!$A$1:$I$89,5,0)</f>
        <v>-2.2612312022829427E-13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295.36463140471733</v>
      </c>
      <c r="AO139" s="59">
        <f t="shared" si="144"/>
        <v>295.34177980841878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2.121860757955369</v>
      </c>
      <c r="AV139" s="21">
        <f>EXP(-LN(2)/25)*AV138+(1-EXP(-LN(2)/25))/(LN(2)/25)*Calculateur!AQ139*Calculateur!AS139*VLOOKUP('Données projet'!$B$10,Paramètres!$A$1:$I$89,3,0)*0.475*44/12</f>
        <v>1.0944120114832736</v>
      </c>
      <c r="AW139" s="21">
        <f>EXP(-LN(2)/2)*AW138+(1-EXP(-LN(2)/2))/(LN(2)/2)*AQ139*AT139*VLOOKUP('Données projet'!$B$10,Paramètres!$A$1:$I$89,3,0)*0.475*44/12</f>
        <v>1.3133628666932647E-15</v>
      </c>
      <c r="AX139" s="21">
        <f t="shared" si="114"/>
        <v>3.2162727694386439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274.78375889702613</v>
      </c>
      <c r="T140" s="59">
        <f t="shared" si="142"/>
        <v>180.48047802041276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0.87807832142981868</v>
      </c>
      <c r="AA140" s="21">
        <f>EXP(-LN(2)/25)*AA139+(1-EXP(-LN(2)/25))/(LN(2)/25)*Calculateur!V140*Calculateur!X140*VLOOKUP('Données projet'!$B$9,Paramètres!$A$1:$I$89,3,0)*0.475*44/12</f>
        <v>0.48204607883922318</v>
      </c>
      <c r="AB140" s="21">
        <f>EXP(-LN(2)/2)*AB139+(1-EXP(-LN(2)/2))/(LN(2)/2)*V140*Y140*VLOOKUP('Données projet'!$B$9,Paramètres!$A$1:$I$89,3,0)*0.475*44/12</f>
        <v>6.7002381423238242E-16</v>
      </c>
      <c r="AC140" s="22">
        <f t="shared" si="111"/>
        <v>1.3601244002690425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-2.8421709430404007E-13</v>
      </c>
      <c r="AJ140" s="13">
        <f>AI140*VLOOKUP('Données projet'!$B$10,Paramètres!$A$1:$I$89,3,0)*VLOOKUP('Données projet'!$B$10,Paramètres!$A$1:$I$89,5,0)</f>
        <v>-2.2612312022829427E-13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295.36463140471733</v>
      </c>
      <c r="AO140" s="59">
        <f t="shared" si="144"/>
        <v>295.34177980841878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2.080252362699134</v>
      </c>
      <c r="AV140" s="21">
        <f>EXP(-LN(2)/25)*AV139+(1-EXP(-LN(2)/25))/(LN(2)/25)*Calculateur!AQ140*Calculateur!AS140*VLOOKUP('Données projet'!$B$10,Paramètres!$A$1:$I$89,3,0)*0.475*44/12</f>
        <v>1.064485257476637</v>
      </c>
      <c r="AW140" s="21">
        <f>EXP(-LN(2)/2)*AW139+(1-EXP(-LN(2)/2))/(LN(2)/2)*AQ140*AT140*VLOOKUP('Données projet'!$B$10,Paramètres!$A$1:$I$89,3,0)*0.475*44/12</f>
        <v>9.2868778919741105E-16</v>
      </c>
      <c r="AX140" s="21">
        <f t="shared" si="114"/>
        <v>3.1447376201757722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274.78375889702613</v>
      </c>
      <c r="T141" s="59">
        <f t="shared" si="142"/>
        <v>180.48047802041276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0.86085974112147234</v>
      </c>
      <c r="AA141" s="21">
        <f>EXP(-LN(2)/25)*AA140+(1-EXP(-LN(2)/25))/(LN(2)/25)*Calculateur!V141*Calculateur!X141*VLOOKUP('Données projet'!$B$9,Paramètres!$A$1:$I$89,3,0)*0.475*44/12</f>
        <v>0.46886450346366304</v>
      </c>
      <c r="AB141" s="21">
        <f>EXP(-LN(2)/2)*AB140+(1-EXP(-LN(2)/2))/(LN(2)/2)*V141*Y141*VLOOKUP('Données projet'!$B$9,Paramètres!$A$1:$I$89,3,0)*0.475*44/12</f>
        <v>4.737783826001932E-16</v>
      </c>
      <c r="AC141" s="22">
        <f t="shared" si="111"/>
        <v>1.3297242445851358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-2.8421709430404007E-13</v>
      </c>
      <c r="AJ141" s="13">
        <f>AI141*VLOOKUP('Données projet'!$B$10,Paramètres!$A$1:$I$89,3,0)*VLOOKUP('Données projet'!$B$10,Paramètres!$A$1:$I$89,5,0)</f>
        <v>-2.2612312022829427E-13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295.36463140471733</v>
      </c>
      <c r="AO141" s="59">
        <f t="shared" si="144"/>
        <v>295.34177980841878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2.039459882695259</v>
      </c>
      <c r="AV141" s="21">
        <f>EXP(-LN(2)/25)*AV140+(1-EXP(-LN(2)/25))/(LN(2)/25)*Calculateur!AQ141*Calculateur!AS141*VLOOKUP('Données projet'!$B$10,Paramètres!$A$1:$I$89,3,0)*0.475*44/12</f>
        <v>1.0353768521320916</v>
      </c>
      <c r="AW141" s="21">
        <f>EXP(-LN(2)/2)*AW140+(1-EXP(-LN(2)/2))/(LN(2)/2)*AQ141*AT141*VLOOKUP('Données projet'!$B$10,Paramètres!$A$1:$I$89,3,0)*0.475*44/12</f>
        <v>6.5668143334663234E-16</v>
      </c>
      <c r="AX141" s="21">
        <f t="shared" si="114"/>
        <v>3.0748367348273509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274.78375889702613</v>
      </c>
      <c r="T142" s="59">
        <f t="shared" si="142"/>
        <v>180.48047802041276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0.84397880667067571</v>
      </c>
      <c r="AA142" s="21">
        <f>EXP(-LN(2)/25)*AA141+(1-EXP(-LN(2)/25))/(LN(2)/25)*Calculateur!V142*Calculateur!X142*VLOOKUP('Données projet'!$B$9,Paramètres!$A$1:$I$89,3,0)*0.475*44/12</f>
        <v>0.45604337895993652</v>
      </c>
      <c r="AB142" s="21">
        <f>EXP(-LN(2)/2)*AB141+(1-EXP(-LN(2)/2))/(LN(2)/2)*V142*Y142*VLOOKUP('Données projet'!$B$9,Paramètres!$A$1:$I$89,3,0)*0.475*44/12</f>
        <v>3.3501190711619121E-16</v>
      </c>
      <c r="AC142" s="22">
        <f t="shared" si="111"/>
        <v>1.3000221856306127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-2.8421709430404007E-13</v>
      </c>
      <c r="AJ142" s="13">
        <f>AI142*VLOOKUP('Données projet'!$B$10,Paramètres!$A$1:$I$89,3,0)*VLOOKUP('Données projet'!$B$10,Paramètres!$A$1:$I$89,5,0)</f>
        <v>-2.2612312022829427E-13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295.36463140471733</v>
      </c>
      <c r="AO142" s="59">
        <f t="shared" si="144"/>
        <v>295.34177980841878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1.9994673183433038</v>
      </c>
      <c r="AV142" s="21">
        <f>EXP(-LN(2)/25)*AV141+(1-EXP(-LN(2)/25))/(LN(2)/25)*Calculateur!AQ142*Calculateur!AS142*VLOOKUP('Données projet'!$B$10,Paramètres!$A$1:$I$89,3,0)*0.475*44/12</f>
        <v>1.0070644176624373</v>
      </c>
      <c r="AW142" s="21">
        <f>EXP(-LN(2)/2)*AW141+(1-EXP(-LN(2)/2))/(LN(2)/2)*AQ142*AT142*VLOOKUP('Données projet'!$B$10,Paramètres!$A$1:$I$89,3,0)*0.475*44/12</f>
        <v>4.6434389459870553E-16</v>
      </c>
      <c r="AX142" s="21">
        <f t="shared" si="114"/>
        <v>3.0065317360057415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274.78375889702613</v>
      </c>
      <c r="T143" s="59">
        <f t="shared" si="142"/>
        <v>180.48047802041276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0.82742889704810585</v>
      </c>
      <c r="AA143" s="21">
        <f>EXP(-LN(2)/25)*AA142+(1-EXP(-LN(2)/25))/(LN(2)/25)*Calculateur!V143*Calculateur!X143*VLOOKUP('Données projet'!$B$9,Paramètres!$A$1:$I$89,3,0)*0.475*44/12</f>
        <v>0.44357284877999803</v>
      </c>
      <c r="AB143" s="21">
        <f>EXP(-LN(2)/2)*AB142+(1-EXP(-LN(2)/2))/(LN(2)/2)*V143*Y143*VLOOKUP('Données projet'!$B$9,Paramètres!$A$1:$I$89,3,0)*0.475*44/12</f>
        <v>2.368891913000966E-16</v>
      </c>
      <c r="AC143" s="22">
        <f t="shared" si="111"/>
        <v>1.271001745828104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-2.8421709430404007E-13</v>
      </c>
      <c r="AJ143" s="13">
        <f>AI143*VLOOKUP('Données projet'!$B$10,Paramètres!$A$1:$I$89,3,0)*VLOOKUP('Données projet'!$B$10,Paramètres!$A$1:$I$89,5,0)</f>
        <v>-2.2612312022829427E-13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295.36463140471733</v>
      </c>
      <c r="AO143" s="59">
        <f t="shared" si="144"/>
        <v>295.34177980841878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1.9602589837852349</v>
      </c>
      <c r="AV143" s="21">
        <f>EXP(-LN(2)/25)*AV142+(1-EXP(-LN(2)/25))/(LN(2)/25)*Calculateur!AQ143*Calculateur!AS143*VLOOKUP('Données projet'!$B$10,Paramètres!$A$1:$I$89,3,0)*0.475*44/12</f>
        <v>0.97952618820224191</v>
      </c>
      <c r="AW143" s="21">
        <f>EXP(-LN(2)/2)*AW142+(1-EXP(-LN(2)/2))/(LN(2)/2)*AQ143*AT143*VLOOKUP('Données projet'!$B$10,Paramètres!$A$1:$I$89,3,0)*0.475*44/12</f>
        <v>3.2834071667331617E-16</v>
      </c>
      <c r="AX143" s="21">
        <f t="shared" si="114"/>
        <v>2.9397851719874772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274.78375889702613</v>
      </c>
      <c r="T144" s="59">
        <f t="shared" si="142"/>
        <v>180.48047802041276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0.81120352105878646</v>
      </c>
      <c r="AA144" s="21">
        <f>EXP(-LN(2)/25)*AA143+(1-EXP(-LN(2)/25))/(LN(2)/25)*Calculateur!V144*Calculateur!X144*VLOOKUP('Données projet'!$B$9,Paramètres!$A$1:$I$89,3,0)*0.475*44/12</f>
        <v>0.43144332590362666</v>
      </c>
      <c r="AB144" s="21">
        <f>EXP(-LN(2)/2)*AB143+(1-EXP(-LN(2)/2))/(LN(2)/2)*V144*Y144*VLOOKUP('Données projet'!$B$9,Paramètres!$A$1:$I$89,3,0)*0.475*44/12</f>
        <v>1.6750595355809561E-16</v>
      </c>
      <c r="AC144" s="22">
        <f t="shared" si="111"/>
        <v>1.2426468469624135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-2.8421709430404007E-13</v>
      </c>
      <c r="AJ144" s="13">
        <f>AI144*VLOOKUP('Données projet'!$B$10,Paramètres!$A$1:$I$89,3,0)*VLOOKUP('Données projet'!$B$10,Paramètres!$A$1:$I$89,5,0)</f>
        <v>-2.2612312022829427E-13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295.36463140471733</v>
      </c>
      <c r="AO144" s="59">
        <f t="shared" si="144"/>
        <v>295.34177980841878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1.9218195007531269</v>
      </c>
      <c r="AV144" s="21">
        <f>EXP(-LN(2)/25)*AV143+(1-EXP(-LN(2)/25))/(LN(2)/25)*Calculateur!AQ144*Calculateur!AS144*VLOOKUP('Données projet'!$B$10,Paramètres!$A$1:$I$89,3,0)*0.475*44/12</f>
        <v>0.95274099307480808</v>
      </c>
      <c r="AW144" s="21">
        <f>EXP(-LN(2)/2)*AW143+(1-EXP(-LN(2)/2))/(LN(2)/2)*AQ144*AT144*VLOOKUP('Données projet'!$B$10,Paramètres!$A$1:$I$89,3,0)*0.475*44/12</f>
        <v>2.3217194729935276E-16</v>
      </c>
      <c r="AX144" s="21">
        <f t="shared" si="114"/>
        <v>2.8745604938279352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274.78375889702613</v>
      </c>
      <c r="T145" s="59">
        <f t="shared" si="142"/>
        <v>180.48047802041276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0.79529631479611551</v>
      </c>
      <c r="AA145" s="21">
        <f>EXP(-LN(2)/25)*AA144+(1-EXP(-LN(2)/25))/(LN(2)/25)*Calculateur!V145*Calculateur!X145*VLOOKUP('Données projet'!$B$9,Paramètres!$A$1:$I$89,3,0)*0.475*44/12</f>
        <v>0.41964548546817354</v>
      </c>
      <c r="AB145" s="21">
        <f>EXP(-LN(2)/2)*AB144+(1-EXP(-LN(2)/2))/(LN(2)/2)*V145*Y145*VLOOKUP('Données projet'!$B$9,Paramètres!$A$1:$I$89,3,0)*0.475*44/12</f>
        <v>1.184445956500483E-16</v>
      </c>
      <c r="AC145" s="22">
        <f t="shared" si="111"/>
        <v>1.2149418002642893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-2.8421709430404007E-13</v>
      </c>
      <c r="AJ145" s="13">
        <f>AI145*VLOOKUP('Données projet'!$B$10,Paramètres!$A$1:$I$89,3,0)*VLOOKUP('Données projet'!$B$10,Paramètres!$A$1:$I$89,5,0)</f>
        <v>-2.2612312022829427E-13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295.36463140471733</v>
      </c>
      <c r="AO145" s="59">
        <f t="shared" si="144"/>
        <v>295.34177980841878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1.884133792537509</v>
      </c>
      <c r="AV145" s="21">
        <f>EXP(-LN(2)/25)*AV144+(1-EXP(-LN(2)/25))/(LN(2)/25)*Calculateur!AQ145*Calculateur!AS145*VLOOKUP('Données projet'!$B$10,Paramètres!$A$1:$I$89,3,0)*0.475*44/12</f>
        <v>0.92668824051670617</v>
      </c>
      <c r="AW145" s="21">
        <f>EXP(-LN(2)/2)*AW144+(1-EXP(-LN(2)/2))/(LN(2)/2)*AQ145*AT145*VLOOKUP('Données projet'!$B$10,Paramètres!$A$1:$I$89,3,0)*0.475*44/12</f>
        <v>1.6417035833665808E-16</v>
      </c>
      <c r="AX145" s="21">
        <f t="shared" si="114"/>
        <v>2.8108220330542153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274.78375889702613</v>
      </c>
      <c r="T146" s="59">
        <f t="shared" si="142"/>
        <v>180.48047802041276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0.77970103914581779</v>
      </c>
      <c r="AA146" s="21">
        <f>EXP(-LN(2)/25)*AA145+(1-EXP(-LN(2)/25))/(LN(2)/25)*Calculateur!V146*Calculateur!X146*VLOOKUP('Données projet'!$B$9,Paramètres!$A$1:$I$89,3,0)*0.475*44/12</f>
        <v>0.40817025759984937</v>
      </c>
      <c r="AB146" s="21">
        <f>EXP(-LN(2)/2)*AB145+(1-EXP(-LN(2)/2))/(LN(2)/2)*V146*Y146*VLOOKUP('Données projet'!$B$9,Paramètres!$A$1:$I$89,3,0)*0.475*44/12</f>
        <v>8.3752976779047803E-17</v>
      </c>
      <c r="AC146" s="22">
        <f t="shared" si="111"/>
        <v>1.187871296745667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-2.8421709430404007E-13</v>
      </c>
      <c r="AJ146" s="13">
        <f>AI146*VLOOKUP('Données projet'!$B$10,Paramètres!$A$1:$I$89,3,0)*VLOOKUP('Données projet'!$B$10,Paramètres!$A$1:$I$89,5,0)</f>
        <v>-2.2612312022829427E-13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295.36463140471733</v>
      </c>
      <c r="AO146" s="59">
        <f t="shared" si="144"/>
        <v>295.34177980841878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1.847187078073987</v>
      </c>
      <c r="AV146" s="21">
        <f>EXP(-LN(2)/25)*AV145+(1-EXP(-LN(2)/25))/(LN(2)/25)*Calculateur!AQ146*Calculateur!AS146*VLOOKUP('Données projet'!$B$10,Paramètres!$A$1:$I$89,3,0)*0.475*44/12</f>
        <v>0.90134790184736024</v>
      </c>
      <c r="AW146" s="21">
        <f>EXP(-LN(2)/2)*AW145+(1-EXP(-LN(2)/2))/(LN(2)/2)*AQ146*AT146*VLOOKUP('Données projet'!$B$10,Paramètres!$A$1:$I$89,3,0)*0.475*44/12</f>
        <v>1.1608597364967638E-16</v>
      </c>
      <c r="AX146" s="21">
        <f t="shared" si="114"/>
        <v>2.748534979921347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274.78375889702613</v>
      </c>
      <c r="T147" s="59">
        <f t="shared" si="142"/>
        <v>180.48047802041276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0.76441157733884346</v>
      </c>
      <c r="AA147" s="21">
        <f>EXP(-LN(2)/25)*AA146+(1-EXP(-LN(2)/25))/(LN(2)/25)*Calculateur!V147*Calculateur!X147*VLOOKUP('Données projet'!$B$9,Paramètres!$A$1:$I$89,3,0)*0.475*44/12</f>
        <v>0.39700882044104052</v>
      </c>
      <c r="AB147" s="21">
        <f>EXP(-LN(2)/2)*AB146+(1-EXP(-LN(2)/2))/(LN(2)/2)*V147*Y147*VLOOKUP('Données projet'!$B$9,Paramètres!$A$1:$I$89,3,0)*0.475*44/12</f>
        <v>5.922229782502415E-17</v>
      </c>
      <c r="AC147" s="22">
        <f t="shared" si="111"/>
        <v>1.161420397779884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-2.8421709430404007E-13</v>
      </c>
      <c r="AJ147" s="13">
        <f>AI147*VLOOKUP('Données projet'!$B$10,Paramètres!$A$1:$I$89,3,0)*VLOOKUP('Données projet'!$B$10,Paramètres!$A$1:$I$89,5,0)</f>
        <v>-2.2612312022829427E-13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295.36463140471733</v>
      </c>
      <c r="AO147" s="59">
        <f t="shared" si="144"/>
        <v>295.34177980841878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1.810964866145824</v>
      </c>
      <c r="AV147" s="21">
        <f>EXP(-LN(2)/25)*AV146+(1-EXP(-LN(2)/25))/(LN(2)/25)*Calculateur!AQ147*Calculateur!AS147*VLOOKUP('Données projet'!$B$10,Paramètres!$A$1:$I$89,3,0)*0.475*44/12</f>
        <v>0.87670049607151812</v>
      </c>
      <c r="AW147" s="21">
        <f>EXP(-LN(2)/2)*AW146+(1-EXP(-LN(2)/2))/(LN(2)/2)*AQ147*AT147*VLOOKUP('Données projet'!$B$10,Paramètres!$A$1:$I$89,3,0)*0.475*44/12</f>
        <v>8.2085179168329042E-17</v>
      </c>
      <c r="AX147" s="21">
        <f t="shared" si="114"/>
        <v>2.6876653622173423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274.78375889702613</v>
      </c>
      <c r="T148" s="59">
        <f t="shared" si="142"/>
        <v>180.48047802041276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0.74942193255225309</v>
      </c>
      <c r="AA148" s="21">
        <f>EXP(-LN(2)/25)*AA147+(1-EXP(-LN(2)/25))/(LN(2)/25)*Calculateur!V148*Calculateur!X148*VLOOKUP('Données projet'!$B$9,Paramètres!$A$1:$I$89,3,0)*0.475*44/12</f>
        <v>0.38615259336829377</v>
      </c>
      <c r="AB148" s="21">
        <f>EXP(-LN(2)/2)*AB147+(1-EXP(-LN(2)/2))/(LN(2)/2)*V148*Y148*VLOOKUP('Données projet'!$B$9,Paramètres!$A$1:$I$89,3,0)*0.475*44/12</f>
        <v>4.1876488389523901E-17</v>
      </c>
      <c r="AC148" s="22">
        <f t="shared" si="111"/>
        <v>1.1355745259205468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-2.8421709430404007E-13</v>
      </c>
      <c r="AJ148" s="13">
        <f>AI148*VLOOKUP('Données projet'!$B$10,Paramètres!$A$1:$I$89,3,0)*VLOOKUP('Données projet'!$B$10,Paramètres!$A$1:$I$89,5,0)</f>
        <v>-2.2612312022829427E-13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295.36463140471733</v>
      </c>
      <c r="AO148" s="59">
        <f t="shared" si="144"/>
        <v>295.34177980841878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1.7754529497002045</v>
      </c>
      <c r="AV148" s="21">
        <f>EXP(-LN(2)/25)*AV147+(1-EXP(-LN(2)/25))/(LN(2)/25)*Calculateur!AQ148*Calculateur!AS148*VLOOKUP('Données projet'!$B$10,Paramètres!$A$1:$I$89,3,0)*0.475*44/12</f>
        <v>0.85272707490276711</v>
      </c>
      <c r="AW148" s="21">
        <f>EXP(-LN(2)/2)*AW147+(1-EXP(-LN(2)/2))/(LN(2)/2)*AQ148*AT148*VLOOKUP('Données projet'!$B$10,Paramètres!$A$1:$I$89,3,0)*0.475*44/12</f>
        <v>5.8042986824838191E-17</v>
      </c>
      <c r="AX148" s="21">
        <f t="shared" si="114"/>
        <v>2.6281800246029716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274.78375889702613</v>
      </c>
      <c r="T149" s="59">
        <f t="shared" si="142"/>
        <v>180.48047802041276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0.73472622555714717</v>
      </c>
      <c r="AA149" s="21">
        <f>EXP(-LN(2)/25)*AA148+(1-EXP(-LN(2)/25))/(LN(2)/25)*Calculateur!V149*Calculateur!X149*VLOOKUP('Données projet'!$B$9,Paramètres!$A$1:$I$89,3,0)*0.475*44/12</f>
        <v>0.37559323039575548</v>
      </c>
      <c r="AB149" s="21">
        <f>EXP(-LN(2)/2)*AB148+(1-EXP(-LN(2)/2))/(LN(2)/2)*V149*Y149*VLOOKUP('Données projet'!$B$9,Paramètres!$A$1:$I$89,3,0)*0.475*44/12</f>
        <v>2.9611148912512075E-17</v>
      </c>
      <c r="AC149" s="22">
        <f t="shared" si="111"/>
        <v>1.1103194559529026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-2.8421709430404007E-13</v>
      </c>
      <c r="AJ149" s="13">
        <f>AI149*VLOOKUP('Données projet'!$B$10,Paramètres!$A$1:$I$89,3,0)*VLOOKUP('Données projet'!$B$10,Paramètres!$A$1:$I$89,5,0)</f>
        <v>-2.2612312022829427E-13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295.36463140471733</v>
      </c>
      <c r="AO149" s="59">
        <f t="shared" si="144"/>
        <v>295.34177980841878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1.7406374002759535</v>
      </c>
      <c r="AV149" s="21">
        <f>EXP(-LN(2)/25)*AV148+(1-EXP(-LN(2)/25))/(LN(2)/25)*Calculateur!AQ149*Calculateur!AS149*VLOOKUP('Données projet'!$B$10,Paramètres!$A$1:$I$89,3,0)*0.475*44/12</f>
        <v>0.82940920819658304</v>
      </c>
      <c r="AW149" s="21">
        <f>EXP(-LN(2)/2)*AW148+(1-EXP(-LN(2)/2))/(LN(2)/2)*AQ149*AT149*VLOOKUP('Données projet'!$B$10,Paramètres!$A$1:$I$89,3,0)*0.475*44/12</f>
        <v>4.1042589584164521E-17</v>
      </c>
      <c r="AX149" s="21">
        <f t="shared" si="114"/>
        <v>2.5700466084725364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274.78375889702613</v>
      </c>
      <c r="T150" s="59">
        <f t="shared" si="142"/>
        <v>180.48047802041276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0.72031869241271906</v>
      </c>
      <c r="AA150" s="21">
        <f>EXP(-LN(2)/25)*AA149+(1-EXP(-LN(2)/25))/(LN(2)/25)*Calculateur!V150*Calculateur!X150*VLOOKUP('Données projet'!$B$9,Paramètres!$A$1:$I$89,3,0)*0.475*44/12</f>
        <v>0.365322613758994</v>
      </c>
      <c r="AB150" s="21">
        <f>EXP(-LN(2)/2)*AB149+(1-EXP(-LN(2)/2))/(LN(2)/2)*V150*Y150*VLOOKUP('Données projet'!$B$9,Paramètres!$A$1:$I$89,3,0)*0.475*44/12</f>
        <v>2.0938244194761951E-17</v>
      </c>
      <c r="AC150" s="22">
        <f t="shared" si="111"/>
        <v>1.0856413061717132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-2.8421709430404007E-13</v>
      </c>
      <c r="AJ150" s="13">
        <f>AI150*VLOOKUP('Données projet'!$B$10,Paramètres!$A$1:$I$89,3,0)*VLOOKUP('Données projet'!$B$10,Paramètres!$A$1:$I$89,5,0)</f>
        <v>-2.2612312022829427E-13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295.36463140471733</v>
      </c>
      <c r="AO150" s="59">
        <f t="shared" si="144"/>
        <v>295.34177980841878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1.7065045625405235</v>
      </c>
      <c r="AV150" s="21">
        <f>EXP(-LN(2)/25)*AV149+(1-EXP(-LN(2)/25))/(LN(2)/25)*Calculateur!AQ150*Calculateur!AS150*VLOOKUP('Données projet'!$B$10,Paramètres!$A$1:$I$89,3,0)*0.475*44/12</f>
        <v>0.80672896978171282</v>
      </c>
      <c r="AW150" s="21">
        <f>EXP(-LN(2)/2)*AW149+(1-EXP(-LN(2)/2))/(LN(2)/2)*AQ150*AT150*VLOOKUP('Données projet'!$B$10,Paramètres!$A$1:$I$89,3,0)*0.475*44/12</f>
        <v>2.9021493412419095E-17</v>
      </c>
      <c r="AX150" s="21">
        <f t="shared" si="114"/>
        <v>2.5132335323222366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274.78375889702613</v>
      </c>
      <c r="T151" s="59">
        <f t="shared" si="142"/>
        <v>180.48047802041276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0.7061936822055257</v>
      </c>
      <c r="AA151" s="21">
        <f>EXP(-LN(2)/25)*AA150+(1-EXP(-LN(2)/25))/(LN(2)/25)*Calculateur!V151*Calculateur!X151*VLOOKUP('Données projet'!$B$9,Paramètres!$A$1:$I$89,3,0)*0.475*44/12</f>
        <v>0.35533284767427298</v>
      </c>
      <c r="AB151" s="21">
        <f>EXP(-LN(2)/2)*AB150+(1-EXP(-LN(2)/2))/(LN(2)/2)*V151*Y151*VLOOKUP('Données projet'!$B$9,Paramètres!$A$1:$I$89,3,0)*0.475*44/12</f>
        <v>1.4805574456256037E-17</v>
      </c>
      <c r="AC151" s="22">
        <f t="shared" si="111"/>
        <v>1.0615265298797987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-2.8421709430404007E-13</v>
      </c>
      <c r="AJ151" s="13">
        <f>AI151*VLOOKUP('Données projet'!$B$10,Paramètres!$A$1:$I$89,3,0)*VLOOKUP('Données projet'!$B$10,Paramètres!$A$1:$I$89,5,0)</f>
        <v>-2.2612312022829427E-13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295.36463140471733</v>
      </c>
      <c r="AO151" s="59">
        <f t="shared" si="144"/>
        <v>295.34177980841878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1.6730410489341101</v>
      </c>
      <c r="AV151" s="21">
        <f>EXP(-LN(2)/25)*AV150+(1-EXP(-LN(2)/25))/(LN(2)/25)*Calculateur!AQ151*Calculateur!AS151*VLOOKUP('Données projet'!$B$10,Paramètres!$A$1:$I$89,3,0)*0.475*44/12</f>
        <v>0.78466892367899921</v>
      </c>
      <c r="AW151" s="21">
        <f>EXP(-LN(2)/2)*AW150+(1-EXP(-LN(2)/2))/(LN(2)/2)*AQ151*AT151*VLOOKUP('Données projet'!$B$10,Paramètres!$A$1:$I$89,3,0)*0.475*44/12</f>
        <v>2.0521294792082261E-17</v>
      </c>
      <c r="AX151" s="21">
        <f t="shared" si="114"/>
        <v>2.4577099726131095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274.78375889702613</v>
      </c>
      <c r="T152" s="59">
        <f t="shared" si="142"/>
        <v>180.48047802041276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0.69234565483308985</v>
      </c>
      <c r="AA152" s="21">
        <f>EXP(-LN(2)/25)*AA151+(1-EXP(-LN(2)/25))/(LN(2)/25)*Calculateur!V152*Calculateur!X152*VLOOKUP('Données projet'!$B$9,Paramètres!$A$1:$I$89,3,0)*0.475*44/12</f>
        <v>0.34561625226847764</v>
      </c>
      <c r="AB152" s="21">
        <f>EXP(-LN(2)/2)*AB151+(1-EXP(-LN(2)/2))/(LN(2)/2)*V152*Y152*VLOOKUP('Données projet'!$B$9,Paramètres!$A$1:$I$89,3,0)*0.475*44/12</f>
        <v>1.0469122097380975E-17</v>
      </c>
      <c r="AC152" s="22">
        <f t="shared" si="111"/>
        <v>1.0379619071015675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-2.8421709430404007E-13</v>
      </c>
      <c r="AJ152" s="13">
        <f>AI152*VLOOKUP('Données projet'!$B$10,Paramètres!$A$1:$I$89,3,0)*VLOOKUP('Données projet'!$B$10,Paramètres!$A$1:$I$89,5,0)</f>
        <v>-2.2612312022829427E-13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295.36463140471733</v>
      </c>
      <c r="AO152" s="59">
        <f t="shared" si="144"/>
        <v>295.34177980841878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1.6402337344187905</v>
      </c>
      <c r="AV152" s="21">
        <f>EXP(-LN(2)/25)*AV151+(1-EXP(-LN(2)/25))/(LN(2)/25)*Calculateur!AQ152*Calculateur!AS152*VLOOKUP('Données projet'!$B$10,Paramètres!$A$1:$I$89,3,0)*0.475*44/12</f>
        <v>0.76321211069705164</v>
      </c>
      <c r="AW152" s="21">
        <f>EXP(-LN(2)/2)*AW151+(1-EXP(-LN(2)/2))/(LN(2)/2)*AQ152*AT152*VLOOKUP('Données projet'!$B$10,Paramètres!$A$1:$I$89,3,0)*0.475*44/12</f>
        <v>1.4510746706209548E-17</v>
      </c>
      <c r="AX152" s="21">
        <f t="shared" si="114"/>
        <v>2.4034458451158422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274.78375889702613</v>
      </c>
      <c r="T153" s="59">
        <f t="shared" si="142"/>
        <v>180.48047802041276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0.67876917883096477</v>
      </c>
      <c r="AA153" s="21">
        <f>EXP(-LN(2)/25)*AA152+(1-EXP(-LN(2)/25))/(LN(2)/25)*Calculateur!V153*Calculateur!X153*VLOOKUP('Données projet'!$B$9,Paramètres!$A$1:$I$89,3,0)*0.475*44/12</f>
        <v>0.33616535767502731</v>
      </c>
      <c r="AB153" s="21">
        <f>EXP(-LN(2)/2)*AB152+(1-EXP(-LN(2)/2))/(LN(2)/2)*V153*Y153*VLOOKUP('Données projet'!$B$9,Paramètres!$A$1:$I$89,3,0)*0.475*44/12</f>
        <v>7.4027872281280187E-18</v>
      </c>
      <c r="AC153" s="22">
        <f t="shared" si="111"/>
        <v>1.0149345365059921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-2.8421709430404007E-13</v>
      </c>
      <c r="AJ153" s="13">
        <f>AI153*VLOOKUP('Données projet'!$B$10,Paramètres!$A$1:$I$89,3,0)*VLOOKUP('Données projet'!$B$10,Paramètres!$A$1:$I$89,5,0)</f>
        <v>-2.2612312022829427E-13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295.36463140471733</v>
      </c>
      <c r="AO153" s="59">
        <f t="shared" si="144"/>
        <v>295.34177980841878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1.6080697513306303</v>
      </c>
      <c r="AV153" s="21">
        <f>EXP(-LN(2)/25)*AV152+(1-EXP(-LN(2)/25))/(LN(2)/25)*Calculateur!AQ153*Calculateur!AS153*VLOOKUP('Données projet'!$B$10,Paramètres!$A$1:$I$89,3,0)*0.475*44/12</f>
        <v>0.7423420353944602</v>
      </c>
      <c r="AW153" s="21">
        <f>EXP(-LN(2)/2)*AW152+(1-EXP(-LN(2)/2))/(LN(2)/2)*AQ153*AT153*VLOOKUP('Données projet'!$B$10,Paramètres!$A$1:$I$89,3,0)*0.475*44/12</f>
        <v>1.026064739604113E-17</v>
      </c>
      <c r="AX153" s="21">
        <f t="shared" si="114"/>
        <v>2.3504117867250907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274.78375889702613</v>
      </c>
      <c r="T154" s="59">
        <f t="shared" si="142"/>
        <v>180.48047802041276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0.66545892924240868</v>
      </c>
      <c r="AA154" s="21">
        <f>EXP(-LN(2)/25)*AA153+(1-EXP(-LN(2)/25))/(LN(2)/25)*Calculateur!V154*Calculateur!X154*VLOOKUP('Données projet'!$B$9,Paramètres!$A$1:$I$89,3,0)*0.475*44/12</f>
        <v>0.32697289829123583</v>
      </c>
      <c r="AB154" s="21">
        <f>EXP(-LN(2)/2)*AB153+(1-EXP(-LN(2)/2))/(LN(2)/2)*V154*Y154*VLOOKUP('Données projet'!$B$9,Paramètres!$A$1:$I$89,3,0)*0.475*44/12</f>
        <v>5.2345610486904877E-18</v>
      </c>
      <c r="AC154" s="22">
        <f t="shared" ref="AC154:AC203" si="163">SUM(Z154:AB154)</f>
        <v>0.99243182753364456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-2.8421709430404007E-13</v>
      </c>
      <c r="AJ154" s="13">
        <f>AI154*VLOOKUP('Données projet'!$B$10,Paramètres!$A$1:$I$89,3,0)*VLOOKUP('Données projet'!$B$10,Paramètres!$A$1:$I$89,5,0)</f>
        <v>-2.2612312022829427E-13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295.36463140471733</v>
      </c>
      <c r="AO154" s="59">
        <f t="shared" si="144"/>
        <v>295.34177980841878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1.5765364843327365</v>
      </c>
      <c r="AV154" s="21">
        <f>EXP(-LN(2)/25)*AV153+(1-EXP(-LN(2)/25))/(LN(2)/25)*Calculateur!AQ154*Calculateur!AS154*VLOOKUP('Données projet'!$B$10,Paramètres!$A$1:$I$89,3,0)*0.475*44/12</f>
        <v>0.72204265339852769</v>
      </c>
      <c r="AW154" s="21">
        <f>EXP(-LN(2)/2)*AW153+(1-EXP(-LN(2)/2))/(LN(2)/2)*AQ154*AT154*VLOOKUP('Données projet'!$B$10,Paramètres!$A$1:$I$89,3,0)*0.475*44/12</f>
        <v>7.2553733531047739E-18</v>
      </c>
      <c r="AX154" s="21">
        <f t="shared" ref="AX154:AX203" si="166">SUM(AU154:AW154)</f>
        <v>2.2985791377312643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274.78375889702613</v>
      </c>
      <c r="T155" s="59">
        <f t="shared" si="142"/>
        <v>180.48047802041276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0.65240968552983358</v>
      </c>
      <c r="AA155" s="21">
        <f>EXP(-LN(2)/25)*AA154+(1-EXP(-LN(2)/25))/(LN(2)/25)*Calculateur!V155*Calculateur!X155*VLOOKUP('Données projet'!$B$9,Paramètres!$A$1:$I$89,3,0)*0.475*44/12</f>
        <v>0.31803180719270457</v>
      </c>
      <c r="AB155" s="21">
        <f>EXP(-LN(2)/2)*AB154+(1-EXP(-LN(2)/2))/(LN(2)/2)*V155*Y155*VLOOKUP('Données projet'!$B$9,Paramètres!$A$1:$I$89,3,0)*0.475*44/12</f>
        <v>3.7013936140640094E-18</v>
      </c>
      <c r="AC155" s="22">
        <f t="shared" si="163"/>
        <v>0.97044149272253821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-2.8421709430404007E-13</v>
      </c>
      <c r="AJ155" s="13">
        <f>AI155*VLOOKUP('Données projet'!$B$10,Paramètres!$A$1:$I$89,3,0)*VLOOKUP('Données projet'!$B$10,Paramètres!$A$1:$I$89,5,0)</f>
        <v>-2.2612312022829427E-13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295.36463140471733</v>
      </c>
      <c r="AO155" s="59">
        <f t="shared" si="144"/>
        <v>295.34177980841878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1.5456215654672776</v>
      </c>
      <c r="AV155" s="21">
        <f>EXP(-LN(2)/25)*AV154+(1-EXP(-LN(2)/25))/(LN(2)/25)*Calculateur!AQ155*Calculateur!AS155*VLOOKUP('Données projet'!$B$10,Paramètres!$A$1:$I$89,3,0)*0.475*44/12</f>
        <v>0.70229835907077209</v>
      </c>
      <c r="AW155" s="21">
        <f>EXP(-LN(2)/2)*AW154+(1-EXP(-LN(2)/2))/(LN(2)/2)*AQ155*AT155*VLOOKUP('Données projet'!$B$10,Paramètres!$A$1:$I$89,3,0)*0.475*44/12</f>
        <v>5.1303236980205651E-18</v>
      </c>
      <c r="AX155" s="21">
        <f t="shared" si="166"/>
        <v>2.2479199245380497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274.78375889702613</v>
      </c>
      <c r="T156" s="59">
        <f t="shared" si="142"/>
        <v>180.48047802041276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0.63961632952720937</v>
      </c>
      <c r="AA156" s="21">
        <f>EXP(-LN(2)/25)*AA155+(1-EXP(-LN(2)/25))/(LN(2)/25)*Calculateur!V156*Calculateur!X156*VLOOKUP('Données projet'!$B$9,Paramètres!$A$1:$I$89,3,0)*0.475*44/12</f>
        <v>0.30933521070045422</v>
      </c>
      <c r="AB156" s="21">
        <f>EXP(-LN(2)/2)*AB155+(1-EXP(-LN(2)/2))/(LN(2)/2)*V156*Y156*VLOOKUP('Données projet'!$B$9,Paramètres!$A$1:$I$89,3,0)*0.475*44/12</f>
        <v>2.6172805243452438E-18</v>
      </c>
      <c r="AC156" s="22">
        <f t="shared" si="163"/>
        <v>0.94895154022766359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-2.8421709430404007E-13</v>
      </c>
      <c r="AJ156" s="13">
        <f>AI156*VLOOKUP('Données projet'!$B$10,Paramètres!$A$1:$I$89,3,0)*VLOOKUP('Données projet'!$B$10,Paramètres!$A$1:$I$89,5,0)</f>
        <v>-2.2612312022829427E-13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295.36463140471733</v>
      </c>
      <c r="AO156" s="59">
        <f t="shared" si="144"/>
        <v>295.34177980841878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1.5153128693045317</v>
      </c>
      <c r="AV156" s="21">
        <f>EXP(-LN(2)/25)*AV155+(1-EXP(-LN(2)/25))/(LN(2)/25)*Calculateur!AQ156*Calculateur!AS156*VLOOKUP('Données projet'!$B$10,Paramètres!$A$1:$I$89,3,0)*0.475*44/12</f>
        <v>0.68309397350971623</v>
      </c>
      <c r="AW156" s="21">
        <f>EXP(-LN(2)/2)*AW155+(1-EXP(-LN(2)/2))/(LN(2)/2)*AQ156*AT156*VLOOKUP('Données projet'!$B$10,Paramètres!$A$1:$I$89,3,0)*0.475*44/12</f>
        <v>3.6276866765523869E-18</v>
      </c>
      <c r="AX156" s="21">
        <f t="shared" si="166"/>
        <v>2.198406842814248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274.78375889702613</v>
      </c>
      <c r="T157" s="59">
        <f t="shared" si="142"/>
        <v>180.48047802041276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0.62707384343261996</v>
      </c>
      <c r="AA157" s="21">
        <f>EXP(-LN(2)/25)*AA156+(1-EXP(-LN(2)/25))/(LN(2)/25)*Calculateur!V157*Calculateur!X157*VLOOKUP('Données projet'!$B$9,Paramètres!$A$1:$I$89,3,0)*0.475*44/12</f>
        <v>0.30087642309661855</v>
      </c>
      <c r="AB157" s="21">
        <f>EXP(-LN(2)/2)*AB156+(1-EXP(-LN(2)/2))/(LN(2)/2)*V157*Y157*VLOOKUP('Données projet'!$B$9,Paramètres!$A$1:$I$89,3,0)*0.475*44/12</f>
        <v>1.8506968070320047E-18</v>
      </c>
      <c r="AC157" s="22">
        <f t="shared" si="163"/>
        <v>0.92795026652923851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-2.8421709430404007E-13</v>
      </c>
      <c r="AJ157" s="13">
        <f>AI157*VLOOKUP('Données projet'!$B$10,Paramètres!$A$1:$I$89,3,0)*VLOOKUP('Données projet'!$B$10,Paramètres!$A$1:$I$89,5,0)</f>
        <v>-2.2612312022829427E-13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295.36463140471733</v>
      </c>
      <c r="AO157" s="59">
        <f t="shared" si="144"/>
        <v>295.34177980841878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1.485598508187058</v>
      </c>
      <c r="AV157" s="21">
        <f>EXP(-LN(2)/25)*AV156+(1-EXP(-LN(2)/25))/(LN(2)/25)*Calculateur!AQ157*Calculateur!AS157*VLOOKUP('Données projet'!$B$10,Paramètres!$A$1:$I$89,3,0)*0.475*44/12</f>
        <v>0.66441473288174224</v>
      </c>
      <c r="AW157" s="21">
        <f>EXP(-LN(2)/2)*AW156+(1-EXP(-LN(2)/2))/(LN(2)/2)*AQ157*AT157*VLOOKUP('Données projet'!$B$10,Paramètres!$A$1:$I$89,3,0)*0.475*44/12</f>
        <v>2.5651618490102826E-18</v>
      </c>
      <c r="AX157" s="21">
        <f t="shared" si="166"/>
        <v>2.1500132410688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274.78375889702613</v>
      </c>
      <c r="T158" s="59">
        <f t="shared" si="142"/>
        <v>180.48047802041276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0.61477730784018425</v>
      </c>
      <c r="AA158" s="21">
        <f>EXP(-LN(2)/25)*AA157+(1-EXP(-LN(2)/25))/(LN(2)/25)*Calculateur!V158*Calculateur!X158*VLOOKUP('Données projet'!$B$9,Paramètres!$A$1:$I$89,3,0)*0.475*44/12</f>
        <v>0.2926489414846381</v>
      </c>
      <c r="AB158" s="21">
        <f>EXP(-LN(2)/2)*AB157+(1-EXP(-LN(2)/2))/(LN(2)/2)*V158*Y158*VLOOKUP('Données projet'!$B$9,Paramètres!$A$1:$I$89,3,0)*0.475*44/12</f>
        <v>1.3086402621726219E-18</v>
      </c>
      <c r="AC158" s="22">
        <f t="shared" si="163"/>
        <v>0.90742624932482241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-2.8421709430404007E-13</v>
      </c>
      <c r="AJ158" s="13">
        <f>AI158*VLOOKUP('Données projet'!$B$10,Paramètres!$A$1:$I$89,3,0)*VLOOKUP('Données projet'!$B$10,Paramètres!$A$1:$I$89,5,0)</f>
        <v>-2.2612312022829427E-13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295.36463140471733</v>
      </c>
      <c r="AO158" s="59">
        <f t="shared" si="144"/>
        <v>295.34177980841878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1.4564668275671273</v>
      </c>
      <c r="AV158" s="21">
        <f>EXP(-LN(2)/25)*AV157+(1-EXP(-LN(2)/25))/(LN(2)/25)*Calculateur!AQ158*Calculateur!AS158*VLOOKUP('Données projet'!$B$10,Paramètres!$A$1:$I$89,3,0)*0.475*44/12</f>
        <v>0.64624627707103877</v>
      </c>
      <c r="AW158" s="21">
        <f>EXP(-LN(2)/2)*AW157+(1-EXP(-LN(2)/2))/(LN(2)/2)*AQ158*AT158*VLOOKUP('Données projet'!$B$10,Paramètres!$A$1:$I$89,3,0)*0.475*44/12</f>
        <v>1.8138433382761935E-18</v>
      </c>
      <c r="AX158" s="21">
        <f t="shared" si="166"/>
        <v>2.1027131046381662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274.78375889702613</v>
      </c>
      <c r="T159" s="59">
        <f t="shared" si="142"/>
        <v>180.48047802041276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0.60272189981057012</v>
      </c>
      <c r="AA159" s="21">
        <f>EXP(-LN(2)/25)*AA158+(1-EXP(-LN(2)/25))/(LN(2)/25)*Calculateur!V159*Calculateur!X159*VLOOKUP('Données projet'!$B$9,Paramètres!$A$1:$I$89,3,0)*0.475*44/12</f>
        <v>0.28464644079000168</v>
      </c>
      <c r="AB159" s="21">
        <f>EXP(-LN(2)/2)*AB158+(1-EXP(-LN(2)/2))/(LN(2)/2)*V159*Y159*VLOOKUP('Données projet'!$B$9,Paramètres!$A$1:$I$89,3,0)*0.475*44/12</f>
        <v>9.2534840351600234E-19</v>
      </c>
      <c r="AC159" s="22">
        <f t="shared" si="163"/>
        <v>0.88736834060057179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-2.8421709430404007E-13</v>
      </c>
      <c r="AJ159" s="13">
        <f>AI159*VLOOKUP('Données projet'!$B$10,Paramètres!$A$1:$I$89,3,0)*VLOOKUP('Données projet'!$B$10,Paramètres!$A$1:$I$89,5,0)</f>
        <v>-2.2612312022829427E-13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295.36463140471733</v>
      </c>
      <c r="AO159" s="59">
        <f t="shared" si="144"/>
        <v>295.34177980841878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1.4279064014355829</v>
      </c>
      <c r="AV159" s="21">
        <f>EXP(-LN(2)/25)*AV158+(1-EXP(-LN(2)/25))/(LN(2)/25)*Calculateur!AQ159*Calculateur!AS159*VLOOKUP('Données projet'!$B$10,Paramètres!$A$1:$I$89,3,0)*0.475*44/12</f>
        <v>0.62857463863991647</v>
      </c>
      <c r="AW159" s="21">
        <f>EXP(-LN(2)/2)*AW158+(1-EXP(-LN(2)/2))/(LN(2)/2)*AQ159*AT159*VLOOKUP('Données projet'!$B$10,Paramètres!$A$1:$I$89,3,0)*0.475*44/12</f>
        <v>1.2825809245051413E-18</v>
      </c>
      <c r="AX159" s="21">
        <f t="shared" si="166"/>
        <v>2.0564810400754991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274.78375889702613</v>
      </c>
      <c r="T160" s="59">
        <f t="shared" si="142"/>
        <v>180.48047802041276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0.5909028909793439</v>
      </c>
      <c r="AA160" s="21">
        <f>EXP(-LN(2)/25)*AA159+(1-EXP(-LN(2)/25))/(LN(2)/25)*Calculateur!V160*Calculateur!X160*VLOOKUP('Données projet'!$B$9,Paramètres!$A$1:$I$89,3,0)*0.475*44/12</f>
        <v>0.27686276889769335</v>
      </c>
      <c r="AB160" s="21">
        <f>EXP(-LN(2)/2)*AB159+(1-EXP(-LN(2)/2))/(LN(2)/2)*V160*Y160*VLOOKUP('Données projet'!$B$9,Paramètres!$A$1:$I$89,3,0)*0.475*44/12</f>
        <v>6.5432013108631096E-19</v>
      </c>
      <c r="AC160" s="22">
        <f t="shared" si="163"/>
        <v>0.86776565987703724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-2.8421709430404007E-13</v>
      </c>
      <c r="AJ160" s="13">
        <f>AI160*VLOOKUP('Données projet'!$B$10,Paramètres!$A$1:$I$89,3,0)*VLOOKUP('Données projet'!$B$10,Paramètres!$A$1:$I$89,5,0)</f>
        <v>-2.2612312022829427E-13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295.36463140471733</v>
      </c>
      <c r="AO160" s="59">
        <f t="shared" si="144"/>
        <v>295.34177980841878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1.3999060278403381</v>
      </c>
      <c r="AV160" s="21">
        <f>EXP(-LN(2)/25)*AV159+(1-EXP(-LN(2)/25))/(LN(2)/25)*Calculateur!AQ160*Calculateur!AS160*VLOOKUP('Données projet'!$B$10,Paramètres!$A$1:$I$89,3,0)*0.475*44/12</f>
        <v>0.61138623209100429</v>
      </c>
      <c r="AW160" s="21">
        <f>EXP(-LN(2)/2)*AW159+(1-EXP(-LN(2)/2))/(LN(2)/2)*AQ160*AT160*VLOOKUP('Données projet'!$B$10,Paramètres!$A$1:$I$89,3,0)*0.475*44/12</f>
        <v>9.0692166913809673E-19</v>
      </c>
      <c r="AX160" s="21">
        <f t="shared" si="166"/>
        <v>2.0112922599313423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274.78375889702613</v>
      </c>
      <c r="T161" s="59">
        <f t="shared" si="142"/>
        <v>180.48047802041276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0.57931564570241445</v>
      </c>
      <c r="AA161" s="21">
        <f>EXP(-LN(2)/25)*AA160+(1-EXP(-LN(2)/25))/(LN(2)/25)*Calculateur!V161*Calculateur!X161*VLOOKUP('Données projet'!$B$9,Paramètres!$A$1:$I$89,3,0)*0.475*44/12</f>
        <v>0.26929194192260569</v>
      </c>
      <c r="AB161" s="21">
        <f>EXP(-LN(2)/2)*AB160+(1-EXP(-LN(2)/2))/(LN(2)/2)*V161*Y161*VLOOKUP('Données projet'!$B$9,Paramètres!$A$1:$I$89,3,0)*0.475*44/12</f>
        <v>4.6267420175800117E-19</v>
      </c>
      <c r="AC161" s="22">
        <f t="shared" si="163"/>
        <v>0.84860758762502009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-2.8421709430404007E-13</v>
      </c>
      <c r="AJ161" s="13">
        <f>AI161*VLOOKUP('Données projet'!$B$10,Paramètres!$A$1:$I$89,3,0)*VLOOKUP('Données projet'!$B$10,Paramètres!$A$1:$I$89,5,0)</f>
        <v>-2.2612312022829427E-13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295.36463140471733</v>
      </c>
      <c r="AO161" s="59">
        <f t="shared" si="144"/>
        <v>295.34177980841878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1.3724547244927545</v>
      </c>
      <c r="AV161" s="21">
        <f>EXP(-LN(2)/25)*AV160+(1-EXP(-LN(2)/25))/(LN(2)/25)*Calculateur!AQ161*Calculateur!AS161*VLOOKUP('Données projet'!$B$10,Paramètres!$A$1:$I$89,3,0)*0.475*44/12</f>
        <v>0.59466784342307122</v>
      </c>
      <c r="AW161" s="21">
        <f>EXP(-LN(2)/2)*AW160+(1-EXP(-LN(2)/2))/(LN(2)/2)*AQ161*AT161*VLOOKUP('Données projet'!$B$10,Paramètres!$A$1:$I$89,3,0)*0.475*44/12</f>
        <v>6.4129046225257064E-19</v>
      </c>
      <c r="AX161" s="21">
        <f t="shared" si="166"/>
        <v>1.9671225679158257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274.78375889702613</v>
      </c>
      <c r="T162" s="59">
        <f t="shared" si="142"/>
        <v>180.48047802041276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0.56795561923784377</v>
      </c>
      <c r="AA162" s="21">
        <f>EXP(-LN(2)/25)*AA161+(1-EXP(-LN(2)/25))/(LN(2)/25)*Calculateur!V162*Calculateur!X162*VLOOKUP('Données projet'!$B$9,Paramètres!$A$1:$I$89,3,0)*0.475*44/12</f>
        <v>0.26192813960928429</v>
      </c>
      <c r="AB162" s="21">
        <f>EXP(-LN(2)/2)*AB161+(1-EXP(-LN(2)/2))/(LN(2)/2)*V162*Y162*VLOOKUP('Données projet'!$B$9,Paramètres!$A$1:$I$89,3,0)*0.475*44/12</f>
        <v>3.2716006554315548E-19</v>
      </c>
      <c r="AC162" s="22">
        <f t="shared" si="163"/>
        <v>0.82988375884712806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-2.8421709430404007E-13</v>
      </c>
      <c r="AJ162" s="13">
        <f>AI162*VLOOKUP('Données projet'!$B$10,Paramètres!$A$1:$I$89,3,0)*VLOOKUP('Données projet'!$B$10,Paramètres!$A$1:$I$89,5,0)</f>
        <v>-2.2612312022829427E-13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295.36463140471733</v>
      </c>
      <c r="AO162" s="59">
        <f t="shared" si="144"/>
        <v>295.34177980841878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1.3455417244601753</v>
      </c>
      <c r="AV162" s="21">
        <f>EXP(-LN(2)/25)*AV161+(1-EXP(-LN(2)/25))/(LN(2)/25)*Calculateur!AQ162*Calculateur!AS162*VLOOKUP('Données projet'!$B$10,Paramètres!$A$1:$I$89,3,0)*0.475*44/12</f>
        <v>0.57840661997244458</v>
      </c>
      <c r="AW162" s="21">
        <f>EXP(-LN(2)/2)*AW161+(1-EXP(-LN(2)/2))/(LN(2)/2)*AQ162*AT162*VLOOKUP('Données projet'!$B$10,Paramètres!$A$1:$I$89,3,0)*0.475*44/12</f>
        <v>4.5346083456904837E-19</v>
      </c>
      <c r="AX162" s="21">
        <f t="shared" si="166"/>
        <v>1.92394834443262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274.78375889702613</v>
      </c>
      <c r="T163" s="59">
        <f t="shared" si="142"/>
        <v>180.48047802041276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0.55681835596331142</v>
      </c>
      <c r="AA163" s="21">
        <f>EXP(-LN(2)/25)*AA162+(1-EXP(-LN(2)/25))/(LN(2)/25)*Calculateur!V163*Calculateur!X163*VLOOKUP('Données projet'!$B$9,Paramètres!$A$1:$I$89,3,0)*0.475*44/12</f>
        <v>0.25476570085746619</v>
      </c>
      <c r="AB163" s="21">
        <f>EXP(-LN(2)/2)*AB162+(1-EXP(-LN(2)/2))/(LN(2)/2)*V163*Y163*VLOOKUP('Données projet'!$B$9,Paramètres!$A$1:$I$89,3,0)*0.475*44/12</f>
        <v>2.3133710087900059E-19</v>
      </c>
      <c r="AC163" s="22">
        <f t="shared" si="163"/>
        <v>0.81158405682077761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-2.8421709430404007E-13</v>
      </c>
      <c r="AJ163" s="13">
        <f>AI163*VLOOKUP('Données projet'!$B$10,Paramètres!$A$1:$I$89,3,0)*VLOOKUP('Données projet'!$B$10,Paramètres!$A$1:$I$89,5,0)</f>
        <v>-2.2612312022829427E-13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295.36463140471733</v>
      </c>
      <c r="AO163" s="59">
        <f t="shared" si="144"/>
        <v>295.34177980841878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1.3191564719429258</v>
      </c>
      <c r="AV163" s="21">
        <f>EXP(-LN(2)/25)*AV162+(1-EXP(-LN(2)/25))/(LN(2)/25)*Calculateur!AQ163*Calculateur!AS163*VLOOKUP('Données projet'!$B$10,Paramètres!$A$1:$I$89,3,0)*0.475*44/12</f>
        <v>0.56259006053221594</v>
      </c>
      <c r="AW163" s="21">
        <f>EXP(-LN(2)/2)*AW162+(1-EXP(-LN(2)/2))/(LN(2)/2)*AQ163*AT163*VLOOKUP('Données projet'!$B$10,Paramètres!$A$1:$I$89,3,0)*0.475*44/12</f>
        <v>3.2064523112628532E-19</v>
      </c>
      <c r="AX163" s="21">
        <f t="shared" si="166"/>
        <v>1.8817465324751419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274.78375889702613</v>
      </c>
      <c r="T164" s="59">
        <f t="shared" si="142"/>
        <v>180.48047802041276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0.5458994876285328</v>
      </c>
      <c r="AA164" s="21">
        <f>EXP(-LN(2)/25)*AA163+(1-EXP(-LN(2)/25))/(LN(2)/25)*Calculateur!V164*Calculateur!X164*VLOOKUP('Données projet'!$B$9,Paramètres!$A$1:$I$89,3,0)*0.475*44/12</f>
        <v>0.24779911936997284</v>
      </c>
      <c r="AB164" s="21">
        <f>EXP(-LN(2)/2)*AB163+(1-EXP(-LN(2)/2))/(LN(2)/2)*V164*Y164*VLOOKUP('Données projet'!$B$9,Paramètres!$A$1:$I$89,3,0)*0.475*44/12</f>
        <v>1.6358003277157774E-19</v>
      </c>
      <c r="AC164" s="22">
        <f t="shared" si="163"/>
        <v>0.7936986069985057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-2.8421709430404007E-13</v>
      </c>
      <c r="AJ164" s="13">
        <f>AI164*VLOOKUP('Données projet'!$B$10,Paramètres!$A$1:$I$89,3,0)*VLOOKUP('Données projet'!$B$10,Paramètres!$A$1:$I$89,5,0)</f>
        <v>-2.2612312022829427E-13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295.36463140471733</v>
      </c>
      <c r="AO164" s="59">
        <f t="shared" si="144"/>
        <v>295.34177980841878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1.2932886181341248</v>
      </c>
      <c r="AV164" s="21">
        <f>EXP(-LN(2)/25)*AV163+(1-EXP(-LN(2)/25))/(LN(2)/25)*Calculateur!AQ164*Calculateur!AS164*VLOOKUP('Données projet'!$B$10,Paramètres!$A$1:$I$89,3,0)*0.475*44/12</f>
        <v>0.54720600574163702</v>
      </c>
      <c r="AW164" s="21">
        <f>EXP(-LN(2)/2)*AW163+(1-EXP(-LN(2)/2))/(LN(2)/2)*AQ164*AT164*VLOOKUP('Données projet'!$B$10,Paramètres!$A$1:$I$89,3,0)*0.475*44/12</f>
        <v>2.2673041728452418E-19</v>
      </c>
      <c r="AX164" s="21">
        <f t="shared" si="166"/>
        <v>1.8404946238757618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274.78375889702613</v>
      </c>
      <c r="T165" s="59">
        <f t="shared" si="142"/>
        <v>180.48047802041276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0.53519473164194709</v>
      </c>
      <c r="AA165" s="21">
        <f>EXP(-LN(2)/25)*AA164+(1-EXP(-LN(2)/25))/(LN(2)/25)*Calculateur!V165*Calculateur!X165*VLOOKUP('Données projet'!$B$9,Paramètres!$A$1:$I$89,3,0)*0.475*44/12</f>
        <v>0.24102303941961159</v>
      </c>
      <c r="AB165" s="21">
        <f>EXP(-LN(2)/2)*AB164+(1-EXP(-LN(2)/2))/(LN(2)/2)*V165*Y165*VLOOKUP('Données projet'!$B$9,Paramètres!$A$1:$I$89,3,0)*0.475*44/12</f>
        <v>1.1566855043950029E-19</v>
      </c>
      <c r="AC165" s="22">
        <f t="shared" si="163"/>
        <v>0.77621777106155865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-2.8421709430404007E-13</v>
      </c>
      <c r="AJ165" s="13">
        <f>AI165*VLOOKUP('Données projet'!$B$10,Paramètres!$A$1:$I$89,3,0)*VLOOKUP('Données projet'!$B$10,Paramètres!$A$1:$I$89,5,0)</f>
        <v>-2.2612312022829427E-13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295.36463140471733</v>
      </c>
      <c r="AO165" s="59">
        <f t="shared" si="144"/>
        <v>295.34177980841878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1.2679280171606813</v>
      </c>
      <c r="AV165" s="21">
        <f>EXP(-LN(2)/25)*AV164+(1-EXP(-LN(2)/25))/(LN(2)/25)*Calculateur!AQ165*Calculateur!AS165*VLOOKUP('Données projet'!$B$10,Paramètres!$A$1:$I$89,3,0)*0.475*44/12</f>
        <v>0.53224262873831873</v>
      </c>
      <c r="AW165" s="21">
        <f>EXP(-LN(2)/2)*AW164+(1-EXP(-LN(2)/2))/(LN(2)/2)*AQ165*AT165*VLOOKUP('Données projet'!$B$10,Paramètres!$A$1:$I$89,3,0)*0.475*44/12</f>
        <v>1.6032261556314266E-19</v>
      </c>
      <c r="AX165" s="21">
        <f t="shared" si="166"/>
        <v>1.8001706458990001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274.78375889702613</v>
      </c>
      <c r="T166" s="59">
        <f t="shared" si="142"/>
        <v>180.48047802041276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0.52469988939100187</v>
      </c>
      <c r="AA166" s="21">
        <f>EXP(-LN(2)/25)*AA165+(1-EXP(-LN(2)/25))/(LN(2)/25)*Calculateur!V166*Calculateur!X166*VLOOKUP('Données projet'!$B$9,Paramètres!$A$1:$I$89,3,0)*0.475*44/12</f>
        <v>0.23443225173183152</v>
      </c>
      <c r="AB166" s="21">
        <f>EXP(-LN(2)/2)*AB165+(1-EXP(-LN(2)/2))/(LN(2)/2)*V166*Y166*VLOOKUP('Données projet'!$B$9,Paramètres!$A$1:$I$89,3,0)*0.475*44/12</f>
        <v>8.179001638578887E-20</v>
      </c>
      <c r="AC166" s="22">
        <f t="shared" si="163"/>
        <v>0.75913214112283334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-2.8421709430404007E-13</v>
      </c>
      <c r="AJ166" s="13">
        <f>AI166*VLOOKUP('Données projet'!$B$10,Paramètres!$A$1:$I$89,3,0)*VLOOKUP('Données projet'!$B$10,Paramètres!$A$1:$I$89,5,0)</f>
        <v>-2.2612312022829427E-13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295.36463140471733</v>
      </c>
      <c r="AO166" s="59">
        <f t="shared" si="144"/>
        <v>295.34177980841878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1.2430647221038877</v>
      </c>
      <c r="AV166" s="21">
        <f>EXP(-LN(2)/25)*AV165+(1-EXP(-LN(2)/25))/(LN(2)/25)*Calculateur!AQ166*Calculateur!AS166*VLOOKUP('Données projet'!$B$10,Paramètres!$A$1:$I$89,3,0)*0.475*44/12</f>
        <v>0.51768842606604604</v>
      </c>
      <c r="AW166" s="21">
        <f>EXP(-LN(2)/2)*AW165+(1-EXP(-LN(2)/2))/(LN(2)/2)*AQ166*AT166*VLOOKUP('Données projet'!$B$10,Paramètres!$A$1:$I$89,3,0)*0.475*44/12</f>
        <v>1.1336520864226209E-19</v>
      </c>
      <c r="AX166" s="21">
        <f t="shared" si="166"/>
        <v>1.7607531481699339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274.78375889702613</v>
      </c>
      <c r="T167" s="59">
        <f t="shared" si="142"/>
        <v>180.48047802041276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0.514410844595376</v>
      </c>
      <c r="AA167" s="21">
        <f>EXP(-LN(2)/25)*AA166+(1-EXP(-LN(2)/25))/(LN(2)/25)*Calculateur!V167*Calculateur!X167*VLOOKUP('Données projet'!$B$9,Paramètres!$A$1:$I$89,3,0)*0.475*44/12</f>
        <v>0.22802168947996826</v>
      </c>
      <c r="AB167" s="21">
        <f>EXP(-LN(2)/2)*AB166+(1-EXP(-LN(2)/2))/(LN(2)/2)*V167*Y167*VLOOKUP('Données projet'!$B$9,Paramètres!$A$1:$I$89,3,0)*0.475*44/12</f>
        <v>5.7834275219750146E-20</v>
      </c>
      <c r="AC167" s="22">
        <f t="shared" si="163"/>
        <v>0.74243253407534426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-2.8421709430404007E-13</v>
      </c>
      <c r="AJ167" s="13">
        <f>AI167*VLOOKUP('Données projet'!$B$10,Paramètres!$A$1:$I$89,3,0)*VLOOKUP('Données projet'!$B$10,Paramètres!$A$1:$I$89,5,0)</f>
        <v>-2.2612312022829427E-13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295.36463140471733</v>
      </c>
      <c r="AO167" s="59">
        <f t="shared" si="144"/>
        <v>295.34177980841878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1.2186889810980455</v>
      </c>
      <c r="AV167" s="21">
        <f>EXP(-LN(2)/25)*AV166+(1-EXP(-LN(2)/25))/(LN(2)/25)*Calculateur!AQ167*Calculateur!AS167*VLOOKUP('Données projet'!$B$10,Paramètres!$A$1:$I$89,3,0)*0.475*44/12</f>
        <v>0.50353220883121885</v>
      </c>
      <c r="AW167" s="21">
        <f>EXP(-LN(2)/2)*AW166+(1-EXP(-LN(2)/2))/(LN(2)/2)*AQ167*AT167*VLOOKUP('Données projet'!$B$10,Paramètres!$A$1:$I$89,3,0)*0.475*44/12</f>
        <v>8.016130778157133E-20</v>
      </c>
      <c r="AX167" s="21">
        <f t="shared" si="166"/>
        <v>1.7222211899292643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274.78375889702613</v>
      </c>
      <c r="T168" s="59">
        <f t="shared" si="142"/>
        <v>180.48047802041276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0.5043235616924947</v>
      </c>
      <c r="AA168" s="21">
        <f>EXP(-LN(2)/25)*AA167+(1-EXP(-LN(2)/25))/(LN(2)/25)*Calculateur!V168*Calculateur!X168*VLOOKUP('Données projet'!$B$9,Paramètres!$A$1:$I$89,3,0)*0.475*44/12</f>
        <v>0.22178642438999902</v>
      </c>
      <c r="AB168" s="21">
        <f>EXP(-LN(2)/2)*AB167+(1-EXP(-LN(2)/2))/(LN(2)/2)*V168*Y168*VLOOKUP('Données projet'!$B$9,Paramètres!$A$1:$I$89,3,0)*0.475*44/12</f>
        <v>4.0895008192894435E-20</v>
      </c>
      <c r="AC168" s="22">
        <f t="shared" si="163"/>
        <v>0.72610998608249377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-2.8421709430404007E-13</v>
      </c>
      <c r="AJ168" s="13">
        <f>AI168*VLOOKUP('Données projet'!$B$10,Paramètres!$A$1:$I$89,3,0)*VLOOKUP('Données projet'!$B$10,Paramètres!$A$1:$I$89,5,0)</f>
        <v>-2.2612312022829427E-13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295.36463140471733</v>
      </c>
      <c r="AO168" s="59">
        <f t="shared" si="144"/>
        <v>295.34177980841878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1.1947912335055939</v>
      </c>
      <c r="AV168" s="21">
        <f>EXP(-LN(2)/25)*AV167+(1-EXP(-LN(2)/25))/(LN(2)/25)*Calculateur!AQ168*Calculateur!AS168*VLOOKUP('Données projet'!$B$10,Paramètres!$A$1:$I$89,3,0)*0.475*44/12</f>
        <v>0.48976309410112118</v>
      </c>
      <c r="AW168" s="21">
        <f>EXP(-LN(2)/2)*AW167+(1-EXP(-LN(2)/2))/(LN(2)/2)*AQ168*AT168*VLOOKUP('Données projet'!$B$10,Paramètres!$A$1:$I$89,3,0)*0.475*44/12</f>
        <v>5.6682604321131046E-20</v>
      </c>
      <c r="AX168" s="21">
        <f t="shared" si="166"/>
        <v>1.684554327606715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274.78375889702613</v>
      </c>
      <c r="T169" s="59">
        <f t="shared" si="142"/>
        <v>180.48047802041276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0.49443408425470387</v>
      </c>
      <c r="AA169" s="21">
        <f>EXP(-LN(2)/25)*AA168+(1-EXP(-LN(2)/25))/(LN(2)/25)*Calculateur!V169*Calculateur!X169*VLOOKUP('Données projet'!$B$9,Paramètres!$A$1:$I$89,3,0)*0.475*44/12</f>
        <v>0.21572166295181333</v>
      </c>
      <c r="AB169" s="21">
        <f>EXP(-LN(2)/2)*AB168+(1-EXP(-LN(2)/2))/(LN(2)/2)*V169*Y169*VLOOKUP('Données projet'!$B$9,Paramètres!$A$1:$I$89,3,0)*0.475*44/12</f>
        <v>2.8917137609875073E-20</v>
      </c>
      <c r="AC169" s="22">
        <f t="shared" si="163"/>
        <v>0.7101557472065172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-2.8421709430404007E-13</v>
      </c>
      <c r="AJ169" s="13">
        <f>AI169*VLOOKUP('Données projet'!$B$10,Paramètres!$A$1:$I$89,3,0)*VLOOKUP('Données projet'!$B$10,Paramètres!$A$1:$I$89,5,0)</f>
        <v>-2.2612312022829427E-13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295.36463140471733</v>
      </c>
      <c r="AO169" s="59">
        <f t="shared" si="144"/>
        <v>295.34177980841878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1.1713621061672435</v>
      </c>
      <c r="AV169" s="21">
        <f>EXP(-LN(2)/25)*AV168+(1-EXP(-LN(2)/25))/(LN(2)/25)*Calculateur!AQ169*Calculateur!AS169*VLOOKUP('Données projet'!$B$10,Paramètres!$A$1:$I$89,3,0)*0.475*44/12</f>
        <v>0.47637049653740426</v>
      </c>
      <c r="AW169" s="21">
        <f>EXP(-LN(2)/2)*AW168+(1-EXP(-LN(2)/2))/(LN(2)/2)*AQ169*AT169*VLOOKUP('Données projet'!$B$10,Paramètres!$A$1:$I$89,3,0)*0.475*44/12</f>
        <v>4.0080653890785665E-20</v>
      </c>
      <c r="AX169" s="21">
        <f t="shared" si="166"/>
        <v>1.6477326027046477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274.78375889702613</v>
      </c>
      <c r="T170" s="59">
        <f t="shared" si="142"/>
        <v>180.48047802041276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0.48473853343748247</v>
      </c>
      <c r="AA170" s="21">
        <f>EXP(-LN(2)/25)*AA169+(1-EXP(-LN(2)/25))/(LN(2)/25)*Calculateur!V170*Calculateur!X170*VLOOKUP('Données projet'!$B$9,Paramètres!$A$1:$I$89,3,0)*0.475*44/12</f>
        <v>0.20982274273408677</v>
      </c>
      <c r="AB170" s="21">
        <f>EXP(-LN(2)/2)*AB169+(1-EXP(-LN(2)/2))/(LN(2)/2)*V170*Y170*VLOOKUP('Données projet'!$B$9,Paramètres!$A$1:$I$89,3,0)*0.475*44/12</f>
        <v>2.0447504096447217E-20</v>
      </c>
      <c r="AC170" s="22">
        <f t="shared" si="163"/>
        <v>0.69456127617156926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-2.8421709430404007E-13</v>
      </c>
      <c r="AJ170" s="13">
        <f>AI170*VLOOKUP('Données projet'!$B$10,Paramètres!$A$1:$I$89,3,0)*VLOOKUP('Données projet'!$B$10,Paramètres!$A$1:$I$89,5,0)</f>
        <v>-2.2612312022829427E-13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295.36463140471733</v>
      </c>
      <c r="AO170" s="59">
        <f t="shared" si="144"/>
        <v>295.34177980841878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1.1483924097256415</v>
      </c>
      <c r="AV170" s="21">
        <f>EXP(-LN(2)/25)*AV169+(1-EXP(-LN(2)/25))/(LN(2)/25)*Calculateur!AQ170*Calculateur!AS170*VLOOKUP('Données projet'!$B$10,Paramètres!$A$1:$I$89,3,0)*0.475*44/12</f>
        <v>0.46334412025835331</v>
      </c>
      <c r="AW170" s="21">
        <f>EXP(-LN(2)/2)*AW169+(1-EXP(-LN(2)/2))/(LN(2)/2)*AQ170*AT170*VLOOKUP('Données projet'!$B$10,Paramètres!$A$1:$I$89,3,0)*0.475*44/12</f>
        <v>2.8341302160565523E-20</v>
      </c>
      <c r="AX170" s="21">
        <f t="shared" si="166"/>
        <v>1.6117365299839947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274.78375889702613</v>
      </c>
      <c r="T171" s="59">
        <f t="shared" si="142"/>
        <v>180.48047802041276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0.4752331064580847</v>
      </c>
      <c r="AA171" s="21">
        <f>EXP(-LN(2)/25)*AA170+(1-EXP(-LN(2)/25))/(LN(2)/25)*Calculateur!V171*Calculateur!X171*VLOOKUP('Données projet'!$B$9,Paramètres!$A$1:$I$89,3,0)*0.475*44/12</f>
        <v>0.20408512879992469</v>
      </c>
      <c r="AB171" s="21">
        <f>EXP(-LN(2)/2)*AB170+(1-EXP(-LN(2)/2))/(LN(2)/2)*V171*Y171*VLOOKUP('Données projet'!$B$9,Paramètres!$A$1:$I$89,3,0)*0.475*44/12</f>
        <v>1.4458568804937537E-20</v>
      </c>
      <c r="AC171" s="22">
        <f t="shared" si="163"/>
        <v>0.67931823525800938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-2.8421709430404007E-13</v>
      </c>
      <c r="AJ171" s="13">
        <f>AI171*VLOOKUP('Données projet'!$B$10,Paramètres!$A$1:$I$89,3,0)*VLOOKUP('Données projet'!$B$10,Paramètres!$A$1:$I$89,5,0)</f>
        <v>-2.2612312022829427E-13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295.36463140471733</v>
      </c>
      <c r="AO171" s="59">
        <f t="shared" si="144"/>
        <v>295.34177980841878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1.125873135021128</v>
      </c>
      <c r="AV171" s="21">
        <f>EXP(-LN(2)/25)*AV170+(1-EXP(-LN(2)/25))/(LN(2)/25)*Calculateur!AQ171*Calculateur!AS171*VLOOKUP('Données projet'!$B$10,Paramètres!$A$1:$I$89,3,0)*0.475*44/12</f>
        <v>0.45067395092368034</v>
      </c>
      <c r="AW171" s="21">
        <f>EXP(-LN(2)/2)*AW170+(1-EXP(-LN(2)/2))/(LN(2)/2)*AQ171*AT171*VLOOKUP('Données projet'!$B$10,Paramètres!$A$1:$I$89,3,0)*0.475*44/12</f>
        <v>2.0040326945392833E-20</v>
      </c>
      <c r="AX171" s="21">
        <f t="shared" si="166"/>
        <v>1.5765470859448083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274.78375889702613</v>
      </c>
      <c r="T172" s="59">
        <f t="shared" si="142"/>
        <v>180.48047802041276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0.46591407510401495</v>
      </c>
      <c r="AA172" s="21">
        <f>EXP(-LN(2)/25)*AA171+(1-EXP(-LN(2)/25))/(LN(2)/25)*Calculateur!V172*Calculateur!X172*VLOOKUP('Données projet'!$B$9,Paramètres!$A$1:$I$89,3,0)*0.475*44/12</f>
        <v>0.19850441022052026</v>
      </c>
      <c r="AB172" s="21">
        <f>EXP(-LN(2)/2)*AB171+(1-EXP(-LN(2)/2))/(LN(2)/2)*V172*Y172*VLOOKUP('Données projet'!$B$9,Paramètres!$A$1:$I$89,3,0)*0.475*44/12</f>
        <v>1.0223752048223609E-20</v>
      </c>
      <c r="AC172" s="22">
        <f t="shared" si="163"/>
        <v>0.66441848532453518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-2.8421709430404007E-13</v>
      </c>
      <c r="AJ172" s="13">
        <f>AI172*VLOOKUP('Données projet'!$B$10,Paramètres!$A$1:$I$89,3,0)*VLOOKUP('Données projet'!$B$10,Paramètres!$A$1:$I$89,5,0)</f>
        <v>-2.2612312022829427E-13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295.36463140471733</v>
      </c>
      <c r="AO172" s="59">
        <f t="shared" si="144"/>
        <v>295.34177980841878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1.1037954495581686</v>
      </c>
      <c r="AV172" s="21">
        <f>EXP(-LN(2)/25)*AV171+(1-EXP(-LN(2)/25))/(LN(2)/25)*Calculateur!AQ172*Calculateur!AS172*VLOOKUP('Données projet'!$B$10,Paramètres!$A$1:$I$89,3,0)*0.475*44/12</f>
        <v>0.43835024803575928</v>
      </c>
      <c r="AW172" s="21">
        <f>EXP(-LN(2)/2)*AW171+(1-EXP(-LN(2)/2))/(LN(2)/2)*AQ172*AT172*VLOOKUP('Données projet'!$B$10,Paramètres!$A$1:$I$89,3,0)*0.475*44/12</f>
        <v>1.4170651080282761E-20</v>
      </c>
      <c r="AX172" s="21">
        <f t="shared" si="166"/>
        <v>1.5421456975939278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274.78375889702613</v>
      </c>
      <c r="T173" s="59">
        <f t="shared" si="142"/>
        <v>180.48047802041276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0.45677778427075061</v>
      </c>
      <c r="AA173" s="21">
        <f>EXP(-LN(2)/25)*AA172+(1-EXP(-LN(2)/25))/(LN(2)/25)*Calculateur!V173*Calculateur!X173*VLOOKUP('Données projet'!$B$9,Paramètres!$A$1:$I$89,3,0)*0.475*44/12</f>
        <v>0.19307629668414689</v>
      </c>
      <c r="AB173" s="21">
        <f>EXP(-LN(2)/2)*AB172+(1-EXP(-LN(2)/2))/(LN(2)/2)*V173*Y173*VLOOKUP('Données projet'!$B$9,Paramètres!$A$1:$I$89,3,0)*0.475*44/12</f>
        <v>7.2292844024687683E-21</v>
      </c>
      <c r="AC173" s="22">
        <f t="shared" si="163"/>
        <v>0.6498540809548975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-2.8421709430404007E-13</v>
      </c>
      <c r="AJ173" s="13">
        <f>AI173*VLOOKUP('Données projet'!$B$10,Paramètres!$A$1:$I$89,3,0)*VLOOKUP('Données projet'!$B$10,Paramètres!$A$1:$I$89,5,0)</f>
        <v>-2.2612312022829427E-13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295.36463140471733</v>
      </c>
      <c r="AO173" s="59">
        <f t="shared" si="144"/>
        <v>295.34177980841878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1.0821506940410792</v>
      </c>
      <c r="AV173" s="21">
        <f>EXP(-LN(2)/25)*AV172+(1-EXP(-LN(2)/25))/(LN(2)/25)*Calculateur!AQ173*Calculateur!AS173*VLOOKUP('Données projet'!$B$10,Paramètres!$A$1:$I$89,3,0)*0.475*44/12</f>
        <v>0.42636353745138378</v>
      </c>
      <c r="AW173" s="21">
        <f>EXP(-LN(2)/2)*AW172+(1-EXP(-LN(2)/2))/(LN(2)/2)*AQ173*AT173*VLOOKUP('Données projet'!$B$10,Paramètres!$A$1:$I$89,3,0)*0.475*44/12</f>
        <v>1.0020163472696416E-20</v>
      </c>
      <c r="AX173" s="21">
        <f t="shared" si="166"/>
        <v>1.5085142314924629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274.78375889702613</v>
      </c>
      <c r="T174" s="59">
        <f t="shared" si="142"/>
        <v>180.48047802041276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0.44782065052813946</v>
      </c>
      <c r="AA174" s="21">
        <f>EXP(-LN(2)/25)*AA173+(1-EXP(-LN(2)/25))/(LN(2)/25)*Calculateur!V174*Calculateur!X174*VLOOKUP('Données projet'!$B$9,Paramètres!$A$1:$I$89,3,0)*0.475*44/12</f>
        <v>0.18779661519787774</v>
      </c>
      <c r="AB174" s="21">
        <f>EXP(-LN(2)/2)*AB173+(1-EXP(-LN(2)/2))/(LN(2)/2)*V174*Y174*VLOOKUP('Données projet'!$B$9,Paramètres!$A$1:$I$89,3,0)*0.475*44/12</f>
        <v>5.1118760241118044E-21</v>
      </c>
      <c r="AC174" s="22">
        <f t="shared" si="163"/>
        <v>0.63561726572601718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-2.8421709430404007E-13</v>
      </c>
      <c r="AJ174" s="13">
        <f>AI174*VLOOKUP('Données projet'!$B$10,Paramètres!$A$1:$I$89,3,0)*VLOOKUP('Données projet'!$B$10,Paramètres!$A$1:$I$89,5,0)</f>
        <v>-2.2612312022829427E-13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295.36463140471733</v>
      </c>
      <c r="AO174" s="59">
        <f t="shared" si="144"/>
        <v>295.34177980841878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1.0609303789776827</v>
      </c>
      <c r="AV174" s="21">
        <f>EXP(-LN(2)/25)*AV173+(1-EXP(-LN(2)/25))/(LN(2)/25)*Calculateur!AQ174*Calculateur!AS174*VLOOKUP('Données projet'!$B$10,Paramètres!$A$1:$I$89,3,0)*0.475*44/12</f>
        <v>0.41470460409829174</v>
      </c>
      <c r="AW174" s="21">
        <f>EXP(-LN(2)/2)*AW173+(1-EXP(-LN(2)/2))/(LN(2)/2)*AQ174*AT174*VLOOKUP('Données projet'!$B$10,Paramètres!$A$1:$I$89,3,0)*0.475*44/12</f>
        <v>7.0853255401413807E-21</v>
      </c>
      <c r="AX174" s="21">
        <f t="shared" si="166"/>
        <v>1.4756349830759745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274.78375889702613</v>
      </c>
      <c r="T175" s="59">
        <f t="shared" si="142"/>
        <v>180.48047802041276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0.43903916071490878</v>
      </c>
      <c r="AA175" s="21">
        <f>EXP(-LN(2)/25)*AA174+(1-EXP(-LN(2)/25))/(LN(2)/25)*Calculateur!V175*Calculateur!X175*VLOOKUP('Données projet'!$B$9,Paramètres!$A$1:$I$89,3,0)*0.475*44/12</f>
        <v>0.182661306879497</v>
      </c>
      <c r="AB175" s="21">
        <f>EXP(-LN(2)/2)*AB174+(1-EXP(-LN(2)/2))/(LN(2)/2)*V175*Y175*VLOOKUP('Données projet'!$B$9,Paramètres!$A$1:$I$89,3,0)*0.475*44/12</f>
        <v>3.6146422012343841E-21</v>
      </c>
      <c r="AC175" s="22">
        <f t="shared" si="163"/>
        <v>0.62170046759440578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-2.8421709430404007E-13</v>
      </c>
      <c r="AJ175" s="13">
        <f>AI175*VLOOKUP('Données projet'!$B$10,Paramètres!$A$1:$I$89,3,0)*VLOOKUP('Données projet'!$B$10,Paramètres!$A$1:$I$89,5,0)</f>
        <v>-2.2612312022829427E-13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295.36463140471733</v>
      </c>
      <c r="AO175" s="59">
        <f t="shared" si="144"/>
        <v>295.34177980841878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1.0401261813495655</v>
      </c>
      <c r="AV175" s="21">
        <f>EXP(-LN(2)/25)*AV174+(1-EXP(-LN(2)/25))/(LN(2)/25)*Calculateur!AQ175*Calculateur!AS175*VLOOKUP('Données projet'!$B$10,Paramètres!$A$1:$I$89,3,0)*0.475*44/12</f>
        <v>0.40336448489085663</v>
      </c>
      <c r="AW175" s="21">
        <f>EXP(-LN(2)/2)*AW174+(1-EXP(-LN(2)/2))/(LN(2)/2)*AQ175*AT175*VLOOKUP('Données projet'!$B$10,Paramètres!$A$1:$I$89,3,0)*0.475*44/12</f>
        <v>5.0100817363482081E-21</v>
      </c>
      <c r="AX175" s="21">
        <f t="shared" si="166"/>
        <v>1.4434906662404221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274.78375889702613</v>
      </c>
      <c r="T176" s="59">
        <f t="shared" si="142"/>
        <v>180.48047802041276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0.43042987056073562</v>
      </c>
      <c r="AA176" s="21">
        <f>EXP(-LN(2)/25)*AA175+(1-EXP(-LN(2)/25))/(LN(2)/25)*Calculateur!V176*Calculateur!X176*VLOOKUP('Données projet'!$B$9,Paramètres!$A$1:$I$89,3,0)*0.475*44/12</f>
        <v>0.17766642383713649</v>
      </c>
      <c r="AB176" s="21">
        <f>EXP(-LN(2)/2)*AB175+(1-EXP(-LN(2)/2))/(LN(2)/2)*V176*Y176*VLOOKUP('Données projet'!$B$9,Paramètres!$A$1:$I$89,3,0)*0.475*44/12</f>
        <v>2.5559380120559022E-21</v>
      </c>
      <c r="AC176" s="22">
        <f t="shared" si="163"/>
        <v>0.60809629439787205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-2.8421709430404007E-13</v>
      </c>
      <c r="AJ176" s="13">
        <f>AI176*VLOOKUP('Données projet'!$B$10,Paramètres!$A$1:$I$89,3,0)*VLOOKUP('Données projet'!$B$10,Paramètres!$A$1:$I$89,5,0)</f>
        <v>-2.2612312022829427E-13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295.36463140471733</v>
      </c>
      <c r="AO176" s="59">
        <f t="shared" si="144"/>
        <v>295.34177980841878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1.019729941347628</v>
      </c>
      <c r="AV176" s="21">
        <f>EXP(-LN(2)/25)*AV175+(1-EXP(-LN(2)/25))/(LN(2)/25)*Calculateur!AQ176*Calculateur!AS176*VLOOKUP('Données projet'!$B$10,Paramètres!$A$1:$I$89,3,0)*0.475*44/12</f>
        <v>0.39233446183949983</v>
      </c>
      <c r="AW176" s="21">
        <f>EXP(-LN(2)/2)*AW175+(1-EXP(-LN(2)/2))/(LN(2)/2)*AQ176*AT176*VLOOKUP('Données projet'!$B$10,Paramètres!$A$1:$I$89,3,0)*0.475*44/12</f>
        <v>3.5426627700706904E-21</v>
      </c>
      <c r="AX176" s="21">
        <f t="shared" si="166"/>
        <v>1.4120644031871277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274.78375889702613</v>
      </c>
      <c r="T177" s="59">
        <f t="shared" si="142"/>
        <v>180.48047802041276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0.42198940333533735</v>
      </c>
      <c r="AA177" s="21">
        <f>EXP(-LN(2)/25)*AA176+(1-EXP(-LN(2)/25))/(LN(2)/25)*Calculateur!V177*Calculateur!X177*VLOOKUP('Données projet'!$B$9,Paramètres!$A$1:$I$89,3,0)*0.475*44/12</f>
        <v>0.17280812613423882</v>
      </c>
      <c r="AB177" s="21">
        <f>EXP(-LN(2)/2)*AB176+(1-EXP(-LN(2)/2))/(LN(2)/2)*V177*Y177*VLOOKUP('Données projet'!$B$9,Paramètres!$A$1:$I$89,3,0)*0.475*44/12</f>
        <v>1.8073211006171921E-21</v>
      </c>
      <c r="AC177" s="22">
        <f t="shared" si="163"/>
        <v>0.5947975294695762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-2.8421709430404007E-13</v>
      </c>
      <c r="AJ177" s="13">
        <f>AI177*VLOOKUP('Données projet'!$B$10,Paramètres!$A$1:$I$89,3,0)*VLOOKUP('Données projet'!$B$10,Paramètres!$A$1:$I$89,5,0)</f>
        <v>-2.2612312022829427E-13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295.36463140471733</v>
      </c>
      <c r="AO177" s="59">
        <f t="shared" si="144"/>
        <v>295.34177980841878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0.99973365917165036</v>
      </c>
      <c r="AV177" s="21">
        <f>EXP(-LN(2)/25)*AV176+(1-EXP(-LN(2)/25))/(LN(2)/25)*Calculateur!AQ177*Calculateur!AS177*VLOOKUP('Données projet'!$B$10,Paramètres!$A$1:$I$89,3,0)*0.475*44/12</f>
        <v>0.38160605534852604</v>
      </c>
      <c r="AW177" s="21">
        <f>EXP(-LN(2)/2)*AW176+(1-EXP(-LN(2)/2))/(LN(2)/2)*AQ177*AT177*VLOOKUP('Données projet'!$B$10,Paramètres!$A$1:$I$89,3,0)*0.475*44/12</f>
        <v>2.5050408681741041E-21</v>
      </c>
      <c r="AX177" s="21">
        <f t="shared" si="166"/>
        <v>1.3813397145201765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274.78375889702613</v>
      </c>
      <c r="T178" s="59">
        <f t="shared" si="142"/>
        <v>180.48047802041276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0.41371444852405248</v>
      </c>
      <c r="AA178" s="21">
        <f>EXP(-LN(2)/25)*AA177+(1-EXP(-LN(2)/25))/(LN(2)/25)*Calculateur!V178*Calculateur!X178*VLOOKUP('Données projet'!$B$9,Paramètres!$A$1:$I$89,3,0)*0.475*44/12</f>
        <v>0.16808267883751365</v>
      </c>
      <c r="AB178" s="21">
        <f>EXP(-LN(2)/2)*AB177+(1-EXP(-LN(2)/2))/(LN(2)/2)*V178*Y178*VLOOKUP('Données projet'!$B$9,Paramètres!$A$1:$I$89,3,0)*0.475*44/12</f>
        <v>1.2779690060279511E-21</v>
      </c>
      <c r="AC178" s="22">
        <f t="shared" si="163"/>
        <v>0.58179712736156608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-2.8421709430404007E-13</v>
      </c>
      <c r="AJ178" s="13">
        <f>AI178*VLOOKUP('Données projet'!$B$10,Paramètres!$A$1:$I$89,3,0)*VLOOKUP('Données projet'!$B$10,Paramètres!$A$1:$I$89,5,0)</f>
        <v>-2.2612312022829427E-13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295.36463140471733</v>
      </c>
      <c r="AO178" s="59">
        <f t="shared" si="144"/>
        <v>295.34177980841878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0.98012949189261589</v>
      </c>
      <c r="AV178" s="21">
        <f>EXP(-LN(2)/25)*AV177+(1-EXP(-LN(2)/25))/(LN(2)/25)*Calculateur!AQ178*Calculateur!AS178*VLOOKUP('Données projet'!$B$10,Paramètres!$A$1:$I$89,3,0)*0.475*44/12</f>
        <v>0.37117101769723032</v>
      </c>
      <c r="AW178" s="21">
        <f>EXP(-LN(2)/2)*AW177+(1-EXP(-LN(2)/2))/(LN(2)/2)*AQ178*AT178*VLOOKUP('Données projet'!$B$10,Paramètres!$A$1:$I$89,3,0)*0.475*44/12</f>
        <v>1.7713313850353452E-21</v>
      </c>
      <c r="AX178" s="21">
        <f t="shared" si="166"/>
        <v>1.3513005095898463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274.78375889702613</v>
      </c>
      <c r="T179" s="59">
        <f t="shared" si="142"/>
        <v>180.48047802041276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0.40560176052939284</v>
      </c>
      <c r="AA179" s="21">
        <f>EXP(-LN(2)/25)*AA178+(1-EXP(-LN(2)/25))/(LN(2)/25)*Calculateur!V179*Calculateur!X179*VLOOKUP('Données projet'!$B$9,Paramètres!$A$1:$I$89,3,0)*0.475*44/12</f>
        <v>0.16348644914561791</v>
      </c>
      <c r="AB179" s="21">
        <f>EXP(-LN(2)/2)*AB178+(1-EXP(-LN(2)/2))/(LN(2)/2)*V179*Y179*VLOOKUP('Données projet'!$B$9,Paramètres!$A$1:$I$89,3,0)*0.475*44/12</f>
        <v>9.0366055030859604E-22</v>
      </c>
      <c r="AC179" s="22">
        <f t="shared" si="163"/>
        <v>0.56908820967501073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-2.8421709430404007E-13</v>
      </c>
      <c r="AJ179" s="13">
        <f>AI179*VLOOKUP('Données projet'!$B$10,Paramètres!$A$1:$I$89,3,0)*VLOOKUP('Données projet'!$B$10,Paramètres!$A$1:$I$89,5,0)</f>
        <v>-2.2612312022829427E-13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295.36463140471733</v>
      </c>
      <c r="AO179" s="59">
        <f t="shared" si="144"/>
        <v>295.34177980841878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0.9609097503765619</v>
      </c>
      <c r="AV179" s="21">
        <f>EXP(-LN(2)/25)*AV178+(1-EXP(-LN(2)/25))/(LN(2)/25)*Calculateur!AQ179*Calculateur!AS179*VLOOKUP('Données projet'!$B$10,Paramètres!$A$1:$I$89,3,0)*0.475*44/12</f>
        <v>0.36102132669926407</v>
      </c>
      <c r="AW179" s="21">
        <f>EXP(-LN(2)/2)*AW178+(1-EXP(-LN(2)/2))/(LN(2)/2)*AQ179*AT179*VLOOKUP('Données projet'!$B$10,Paramètres!$A$1:$I$89,3,0)*0.475*44/12</f>
        <v>1.252520434087052E-21</v>
      </c>
      <c r="AX179" s="21">
        <f t="shared" si="166"/>
        <v>1.3219310770758259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274.78375889702613</v>
      </c>
      <c r="T180" s="59">
        <f t="shared" si="142"/>
        <v>180.48047802041276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0.39764815739805737</v>
      </c>
      <c r="AA180" s="21">
        <f>EXP(-LN(2)/25)*AA179+(1-EXP(-LN(2)/25))/(LN(2)/25)*Calculateur!V180*Calculateur!X180*VLOOKUP('Données projet'!$B$9,Paramètres!$A$1:$I$89,3,0)*0.475*44/12</f>
        <v>0.15901590359635229</v>
      </c>
      <c r="AB180" s="21">
        <f>EXP(-LN(2)/2)*AB179+(1-EXP(-LN(2)/2))/(LN(2)/2)*V180*Y180*VLOOKUP('Données projet'!$B$9,Paramètres!$A$1:$I$89,3,0)*0.475*44/12</f>
        <v>6.3898450301397555E-22</v>
      </c>
      <c r="AC180" s="22">
        <f t="shared" si="163"/>
        <v>0.55666406099440968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-2.8421709430404007E-13</v>
      </c>
      <c r="AJ180" s="13">
        <f>AI180*VLOOKUP('Données projet'!$B$10,Paramètres!$A$1:$I$89,3,0)*VLOOKUP('Données projet'!$B$10,Paramètres!$A$1:$I$89,5,0)</f>
        <v>-2.2612312022829427E-13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295.36463140471733</v>
      </c>
      <c r="AO180" s="59">
        <f t="shared" si="144"/>
        <v>295.34177980841878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0.94206689626875295</v>
      </c>
      <c r="AV180" s="21">
        <f>EXP(-LN(2)/25)*AV179+(1-EXP(-LN(2)/25))/(LN(2)/25)*Calculateur!AQ180*Calculateur!AS180*VLOOKUP('Données projet'!$B$10,Paramètres!$A$1:$I$89,3,0)*0.475*44/12</f>
        <v>0.35114917953538627</v>
      </c>
      <c r="AW180" s="21">
        <f>EXP(-LN(2)/2)*AW179+(1-EXP(-LN(2)/2))/(LN(2)/2)*AQ180*AT180*VLOOKUP('Données projet'!$B$10,Paramètres!$A$1:$I$89,3,0)*0.475*44/12</f>
        <v>8.8566569251767259E-22</v>
      </c>
      <c r="AX180" s="21">
        <f t="shared" si="166"/>
        <v>1.2932160758041391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274.78375889702613</v>
      </c>
      <c r="T181" s="59">
        <f t="shared" si="142"/>
        <v>180.48047802041276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0.3898505195729085</v>
      </c>
      <c r="AA181" s="21">
        <f>EXP(-LN(2)/25)*AA180+(1-EXP(-LN(2)/25))/(LN(2)/25)*Calculateur!V181*Calculateur!X181*VLOOKUP('Données projet'!$B$9,Paramètres!$A$1:$I$89,3,0)*0.475*44/12</f>
        <v>0.15466760535022711</v>
      </c>
      <c r="AB181" s="21">
        <f>EXP(-LN(2)/2)*AB180+(1-EXP(-LN(2)/2))/(LN(2)/2)*V181*Y181*VLOOKUP('Données projet'!$B$9,Paramètres!$A$1:$I$89,3,0)*0.475*44/12</f>
        <v>4.5183027515429802E-22</v>
      </c>
      <c r="AC181" s="22">
        <f t="shared" si="163"/>
        <v>0.54451812492313567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-2.8421709430404007E-13</v>
      </c>
      <c r="AJ181" s="13">
        <f>AI181*VLOOKUP('Données projet'!$B$10,Paramètres!$A$1:$I$89,3,0)*VLOOKUP('Données projet'!$B$10,Paramètres!$A$1:$I$89,5,0)</f>
        <v>-2.2612312022829427E-13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295.36463140471733</v>
      </c>
      <c r="AO181" s="59">
        <f t="shared" si="144"/>
        <v>295.34177980841878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0.92359353903699204</v>
      </c>
      <c r="AV181" s="21">
        <f>EXP(-LN(2)/25)*AV180+(1-EXP(-LN(2)/25))/(LN(2)/25)*Calculateur!AQ181*Calculateur!AS181*VLOOKUP('Données projet'!$B$10,Paramètres!$A$1:$I$89,3,0)*0.475*44/12</f>
        <v>0.34154698675485834</v>
      </c>
      <c r="AW181" s="21">
        <f>EXP(-LN(2)/2)*AW180+(1-EXP(-LN(2)/2))/(LN(2)/2)*AQ181*AT181*VLOOKUP('Données projet'!$B$10,Paramètres!$A$1:$I$89,3,0)*0.475*44/12</f>
        <v>6.2626021704352602E-22</v>
      </c>
      <c r="AX181" s="21">
        <f t="shared" si="166"/>
        <v>1.2651405257918504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274.78375889702613</v>
      </c>
      <c r="T182" s="59">
        <f t="shared" si="142"/>
        <v>180.48047802041276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0.38220578866942134</v>
      </c>
      <c r="AA182" s="21">
        <f>EXP(-LN(2)/25)*AA181+(1-EXP(-LN(2)/25))/(LN(2)/25)*Calculateur!V182*Calculateur!X182*VLOOKUP('Données projet'!$B$9,Paramètres!$A$1:$I$89,3,0)*0.475*44/12</f>
        <v>0.15043821154830928</v>
      </c>
      <c r="AB182" s="21">
        <f>EXP(-LN(2)/2)*AB181+(1-EXP(-LN(2)/2))/(LN(2)/2)*V182*Y182*VLOOKUP('Données projet'!$B$9,Paramètres!$A$1:$I$89,3,0)*0.475*44/12</f>
        <v>3.1949225150698777E-22</v>
      </c>
      <c r="AC182" s="22">
        <f t="shared" si="163"/>
        <v>0.53264400021773062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-2.8421709430404007E-13</v>
      </c>
      <c r="AJ182" s="13">
        <f>AI182*VLOOKUP('Données projet'!$B$10,Paramètres!$A$1:$I$89,3,0)*VLOOKUP('Données projet'!$B$10,Paramètres!$A$1:$I$89,5,0)</f>
        <v>-2.2612312022829427E-13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295.36463140471733</v>
      </c>
      <c r="AO182" s="59">
        <f t="shared" si="144"/>
        <v>295.34177980841878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0.90548243307291054</v>
      </c>
      <c r="AV182" s="21">
        <f>EXP(-LN(2)/25)*AV181+(1-EXP(-LN(2)/25))/(LN(2)/25)*Calculateur!AQ182*Calculateur!AS182*VLOOKUP('Données projet'!$B$10,Paramètres!$A$1:$I$89,3,0)*0.475*44/12</f>
        <v>0.33220736644087134</v>
      </c>
      <c r="AW182" s="21">
        <f>EXP(-LN(2)/2)*AW181+(1-EXP(-LN(2)/2))/(LN(2)/2)*AQ182*AT182*VLOOKUP('Données projet'!$B$10,Paramètres!$A$1:$I$89,3,0)*0.475*44/12</f>
        <v>4.428328462588363E-22</v>
      </c>
      <c r="AX182" s="21">
        <f t="shared" si="166"/>
        <v>1.2376897995137819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274.78375889702613</v>
      </c>
      <c r="T183" s="59">
        <f t="shared" si="142"/>
        <v>180.48047802041276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0.37471096627612616</v>
      </c>
      <c r="AA183" s="21">
        <f>EXP(-LN(2)/25)*AA182+(1-EXP(-LN(2)/25))/(LN(2)/25)*Calculateur!V183*Calculateur!X183*VLOOKUP('Données projet'!$B$9,Paramètres!$A$1:$I$89,3,0)*0.475*44/12</f>
        <v>0.14632447074231905</v>
      </c>
      <c r="AB183" s="21">
        <f>EXP(-LN(2)/2)*AB182+(1-EXP(-LN(2)/2))/(LN(2)/2)*V183*Y183*VLOOKUP('Données projet'!$B$9,Paramètres!$A$1:$I$89,3,0)*0.475*44/12</f>
        <v>2.2591513757714901E-22</v>
      </c>
      <c r="AC183" s="22">
        <f t="shared" si="163"/>
        <v>0.52103543701844524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-2.8421709430404007E-13</v>
      </c>
      <c r="AJ183" s="13">
        <f>AI183*VLOOKUP('Données projet'!$B$10,Paramètres!$A$1:$I$89,3,0)*VLOOKUP('Données projet'!$B$10,Paramètres!$A$1:$I$89,5,0)</f>
        <v>-2.2612312022829427E-13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295.36463140471733</v>
      </c>
      <c r="AO183" s="59">
        <f t="shared" si="144"/>
        <v>295.34177980841878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0.88772647485010081</v>
      </c>
      <c r="AV183" s="21">
        <f>EXP(-LN(2)/25)*AV182+(1-EXP(-LN(2)/25))/(LN(2)/25)*Calculateur!AQ183*Calculateur!AS183*VLOOKUP('Données projet'!$B$10,Paramètres!$A$1:$I$89,3,0)*0.475*44/12</f>
        <v>0.32312313853551961</v>
      </c>
      <c r="AW183" s="21">
        <f>EXP(-LN(2)/2)*AW182+(1-EXP(-LN(2)/2))/(LN(2)/2)*AQ183*AT183*VLOOKUP('Données projet'!$B$10,Paramètres!$A$1:$I$89,3,0)*0.475*44/12</f>
        <v>3.1313010852176301E-22</v>
      </c>
      <c r="AX183" s="21">
        <f t="shared" si="166"/>
        <v>1.2108496133856204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274.78375889702613</v>
      </c>
      <c r="T184" s="59">
        <f t="shared" si="142"/>
        <v>180.48047802041276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0.3673631127785732</v>
      </c>
      <c r="AA184" s="21">
        <f>EXP(-LN(2)/25)*AA183+(1-EXP(-LN(2)/25))/(LN(2)/25)*Calculateur!V184*Calculateur!X184*VLOOKUP('Données projet'!$B$9,Paramètres!$A$1:$I$89,3,0)*0.475*44/12</f>
        <v>0.14232322039500084</v>
      </c>
      <c r="AB184" s="21">
        <f>EXP(-LN(2)/2)*AB183+(1-EXP(-LN(2)/2))/(LN(2)/2)*V184*Y184*VLOOKUP('Données projet'!$B$9,Paramètres!$A$1:$I$89,3,0)*0.475*44/12</f>
        <v>1.5974612575349389E-22</v>
      </c>
      <c r="AC184" s="22">
        <f t="shared" si="163"/>
        <v>0.50968633317357404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-2.8421709430404007E-13</v>
      </c>
      <c r="AJ184" s="13">
        <f>AI184*VLOOKUP('Données projet'!$B$10,Paramètres!$A$1:$I$89,3,0)*VLOOKUP('Données projet'!$B$10,Paramètres!$A$1:$I$89,5,0)</f>
        <v>-2.2612312022829427E-13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295.36463140471733</v>
      </c>
      <c r="AO184" s="59">
        <f t="shared" si="144"/>
        <v>295.34177980841878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0.8703187001379753</v>
      </c>
      <c r="AV184" s="21">
        <f>EXP(-LN(2)/25)*AV183+(1-EXP(-LN(2)/25))/(LN(2)/25)*Calculateur!AQ184*Calculateur!AS184*VLOOKUP('Données projet'!$B$10,Paramètres!$A$1:$I$89,3,0)*0.475*44/12</f>
        <v>0.31428731931995846</v>
      </c>
      <c r="AW184" s="21">
        <f>EXP(-LN(2)/2)*AW183+(1-EXP(-LN(2)/2))/(LN(2)/2)*AQ184*AT184*VLOOKUP('Données projet'!$B$10,Paramètres!$A$1:$I$89,3,0)*0.475*44/12</f>
        <v>2.2141642312941815E-22</v>
      </c>
      <c r="AX184" s="21">
        <f t="shared" si="166"/>
        <v>1.1846060194579338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274.78375889702613</v>
      </c>
      <c r="T185" s="59">
        <f t="shared" si="142"/>
        <v>180.48047802041276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0.36015934620635914</v>
      </c>
      <c r="AA185" s="21">
        <f>EXP(-LN(2)/25)*AA184+(1-EXP(-LN(2)/25))/(LN(2)/25)*Calculateur!V185*Calculateur!X185*VLOOKUP('Données projet'!$B$9,Paramètres!$A$1:$I$89,3,0)*0.475*44/12</f>
        <v>0.13843138444884667</v>
      </c>
      <c r="AB185" s="21">
        <f>EXP(-LN(2)/2)*AB184+(1-EXP(-LN(2)/2))/(LN(2)/2)*V185*Y185*VLOOKUP('Données projet'!$B$9,Paramètres!$A$1:$I$89,3,0)*0.475*44/12</f>
        <v>1.129575687885745E-22</v>
      </c>
      <c r="AC185" s="22">
        <f t="shared" si="163"/>
        <v>0.49859073065520582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-2.8421709430404007E-13</v>
      </c>
      <c r="AJ185" s="13">
        <f>AI185*VLOOKUP('Données projet'!$B$10,Paramètres!$A$1:$I$89,3,0)*VLOOKUP('Données projet'!$B$10,Paramètres!$A$1:$I$89,5,0)</f>
        <v>-2.2612312022829427E-13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295.36463140471733</v>
      </c>
      <c r="AO185" s="59">
        <f t="shared" si="144"/>
        <v>295.34177980841878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0.85325228127026043</v>
      </c>
      <c r="AV185" s="21">
        <f>EXP(-LN(2)/25)*AV184+(1-EXP(-LN(2)/25))/(LN(2)/25)*Calculateur!AQ185*Calculateur!AS185*VLOOKUP('Données projet'!$B$10,Paramètres!$A$1:$I$89,3,0)*0.475*44/12</f>
        <v>0.30569311604550237</v>
      </c>
      <c r="AW185" s="21">
        <f>EXP(-LN(2)/2)*AW184+(1-EXP(-LN(2)/2))/(LN(2)/2)*AQ185*AT185*VLOOKUP('Données projet'!$B$10,Paramètres!$A$1:$I$89,3,0)*0.475*44/12</f>
        <v>1.565650542608815E-22</v>
      </c>
      <c r="AX185" s="21">
        <f t="shared" si="166"/>
        <v>1.1589453973157628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274.78375889702613</v>
      </c>
      <c r="T186" s="59">
        <f t="shared" si="142"/>
        <v>180.48047802041276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0.35309684110276246</v>
      </c>
      <c r="AA186" s="21">
        <f>EXP(-LN(2)/25)*AA185+(1-EXP(-LN(2)/25))/(LN(2)/25)*Calculateur!V186*Calculateur!X186*VLOOKUP('Données projet'!$B$9,Paramètres!$A$1:$I$89,3,0)*0.475*44/12</f>
        <v>0.13464597096130285</v>
      </c>
      <c r="AB186" s="21">
        <f>EXP(-LN(2)/2)*AB185+(1-EXP(-LN(2)/2))/(LN(2)/2)*V186*Y186*VLOOKUP('Données projet'!$B$9,Paramètres!$A$1:$I$89,3,0)*0.475*44/12</f>
        <v>7.9873062876746943E-23</v>
      </c>
      <c r="AC186" s="22">
        <f t="shared" si="163"/>
        <v>0.48774281206406533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-2.8421709430404007E-13</v>
      </c>
      <c r="AJ186" s="13">
        <f>AI186*VLOOKUP('Données projet'!$B$10,Paramètres!$A$1:$I$89,3,0)*VLOOKUP('Données projet'!$B$10,Paramètres!$A$1:$I$89,5,0)</f>
        <v>-2.2612312022829427E-13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295.36463140471733</v>
      </c>
      <c r="AO186" s="59">
        <f t="shared" si="144"/>
        <v>295.34177980841878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0.83652052446705372</v>
      </c>
      <c r="AV186" s="21">
        <f>EXP(-LN(2)/25)*AV185+(1-EXP(-LN(2)/25))/(LN(2)/25)*Calculateur!AQ186*Calculateur!AS186*VLOOKUP('Données projet'!$B$10,Paramètres!$A$1:$I$89,3,0)*0.475*44/12</f>
        <v>0.29733392171153578</v>
      </c>
      <c r="AW186" s="21">
        <f>EXP(-LN(2)/2)*AW185+(1-EXP(-LN(2)/2))/(LN(2)/2)*AQ186*AT186*VLOOKUP('Données projet'!$B$10,Paramètres!$A$1:$I$89,3,0)*0.475*44/12</f>
        <v>1.1070821156470907E-22</v>
      </c>
      <c r="AX186" s="21">
        <f t="shared" si="166"/>
        <v>1.1338544461785895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274.78375889702613</v>
      </c>
      <c r="T187" s="59">
        <f t="shared" si="142"/>
        <v>180.48047802041276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0.34617282741654454</v>
      </c>
      <c r="AA187" s="21">
        <f>EXP(-LN(2)/25)*AA186+(1-EXP(-LN(2)/25))/(LN(2)/25)*Calculateur!V187*Calculateur!X187*VLOOKUP('Données projet'!$B$9,Paramètres!$A$1:$I$89,3,0)*0.475*44/12</f>
        <v>0.13096406980464215</v>
      </c>
      <c r="AB187" s="21">
        <f>EXP(-LN(2)/2)*AB186+(1-EXP(-LN(2)/2))/(LN(2)/2)*V187*Y187*VLOOKUP('Données projet'!$B$9,Paramètres!$A$1:$I$89,3,0)*0.475*44/12</f>
        <v>5.6478784394287252E-23</v>
      </c>
      <c r="AC187" s="22">
        <f t="shared" si="163"/>
        <v>0.47713689722118668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-2.8421709430404007E-13</v>
      </c>
      <c r="AJ187" s="13">
        <f>AI187*VLOOKUP('Données projet'!$B$10,Paramètres!$A$1:$I$89,3,0)*VLOOKUP('Données projet'!$B$10,Paramètres!$A$1:$I$89,5,0)</f>
        <v>-2.2612312022829427E-13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295.36463140471733</v>
      </c>
      <c r="AO187" s="59">
        <f t="shared" si="144"/>
        <v>295.34177980841878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0.82011686720939392</v>
      </c>
      <c r="AV187" s="21">
        <f>EXP(-LN(2)/25)*AV186+(1-EXP(-LN(2)/25))/(LN(2)/25)*Calculateur!AQ187*Calculateur!AS187*VLOOKUP('Données projet'!$B$10,Paramètres!$A$1:$I$89,3,0)*0.475*44/12</f>
        <v>0.28920330998622246</v>
      </c>
      <c r="AW187" s="21">
        <f>EXP(-LN(2)/2)*AW186+(1-EXP(-LN(2)/2))/(LN(2)/2)*AQ187*AT187*VLOOKUP('Données projet'!$B$10,Paramètres!$A$1:$I$89,3,0)*0.475*44/12</f>
        <v>7.8282527130440752E-23</v>
      </c>
      <c r="AX187" s="21">
        <f t="shared" si="166"/>
        <v>1.1093201771956163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274.78375889702613</v>
      </c>
      <c r="T188" s="59">
        <f t="shared" si="142"/>
        <v>180.48047802041276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0.33938458941548205</v>
      </c>
      <c r="AA188" s="21">
        <f>EXP(-LN(2)/25)*AA187+(1-EXP(-LN(2)/25))/(LN(2)/25)*Calculateur!V188*Calculateur!X188*VLOOKUP('Données projet'!$B$9,Paramètres!$A$1:$I$89,3,0)*0.475*44/12</f>
        <v>0.1273828504287331</v>
      </c>
      <c r="AB188" s="21">
        <f>EXP(-LN(2)/2)*AB187+(1-EXP(-LN(2)/2))/(LN(2)/2)*V188*Y188*VLOOKUP('Données projet'!$B$9,Paramètres!$A$1:$I$89,3,0)*0.475*44/12</f>
        <v>3.9936531438373472E-23</v>
      </c>
      <c r="AC188" s="22">
        <f t="shared" si="163"/>
        <v>0.46676743984421515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-2.8421709430404007E-13</v>
      </c>
      <c r="AJ188" s="13">
        <f>AI188*VLOOKUP('Données projet'!$B$10,Paramètres!$A$1:$I$89,3,0)*VLOOKUP('Données projet'!$B$10,Paramètres!$A$1:$I$89,5,0)</f>
        <v>-2.2612312022829427E-13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295.36463140471733</v>
      </c>
      <c r="AO188" s="59">
        <f t="shared" si="144"/>
        <v>295.34177980841878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0.80403487566531384</v>
      </c>
      <c r="AV188" s="21">
        <f>EXP(-LN(2)/25)*AV187+(1-EXP(-LN(2)/25))/(LN(2)/25)*Calculateur!AQ188*Calculateur!AS188*VLOOKUP('Données projet'!$B$10,Paramètres!$A$1:$I$89,3,0)*0.475*44/12</f>
        <v>0.28129503026610814</v>
      </c>
      <c r="AW188" s="21">
        <f>EXP(-LN(2)/2)*AW187+(1-EXP(-LN(2)/2))/(LN(2)/2)*AQ188*AT188*VLOOKUP('Données projet'!$B$10,Paramètres!$A$1:$I$89,3,0)*0.475*44/12</f>
        <v>5.5354105782354537E-23</v>
      </c>
      <c r="AX188" s="21">
        <f t="shared" si="166"/>
        <v>1.0853299059314221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274.78375889702613</v>
      </c>
      <c r="T189" s="59">
        <f t="shared" si="142"/>
        <v>180.48047802041276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0.33272946462120401</v>
      </c>
      <c r="AA189" s="21">
        <f>EXP(-LN(2)/25)*AA188+(1-EXP(-LN(2)/25))/(LN(2)/25)*Calculateur!V189*Calculateur!X189*VLOOKUP('Données projet'!$B$9,Paramètres!$A$1:$I$89,3,0)*0.475*44/12</f>
        <v>0.12389955968498642</v>
      </c>
      <c r="AB189" s="21">
        <f>EXP(-LN(2)/2)*AB188+(1-EXP(-LN(2)/2))/(LN(2)/2)*V189*Y189*VLOOKUP('Données projet'!$B$9,Paramètres!$A$1:$I$89,3,0)*0.475*44/12</f>
        <v>2.8239392197143626E-23</v>
      </c>
      <c r="AC189" s="22">
        <f t="shared" si="163"/>
        <v>0.45662902430619046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-2.8421709430404007E-13</v>
      </c>
      <c r="AJ189" s="13">
        <f>AI189*VLOOKUP('Données projet'!$B$10,Paramètres!$A$1:$I$89,3,0)*VLOOKUP('Données projet'!$B$10,Paramètres!$A$1:$I$89,5,0)</f>
        <v>-2.2612312022829427E-13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295.36463140471733</v>
      </c>
      <c r="AO189" s="59">
        <f t="shared" si="144"/>
        <v>295.34177980841878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0.78826824216636693</v>
      </c>
      <c r="AV189" s="21">
        <f>EXP(-LN(2)/25)*AV188+(1-EXP(-LN(2)/25))/(LN(2)/25)*Calculateur!AQ189*Calculateur!AS189*VLOOKUP('Données projet'!$B$10,Paramètres!$A$1:$I$89,3,0)*0.475*44/12</f>
        <v>0.27360300287081868</v>
      </c>
      <c r="AW189" s="21">
        <f>EXP(-LN(2)/2)*AW188+(1-EXP(-LN(2)/2))/(LN(2)/2)*AQ189*AT189*VLOOKUP('Données projet'!$B$10,Paramètres!$A$1:$I$89,3,0)*0.475*44/12</f>
        <v>3.9141263565220376E-23</v>
      </c>
      <c r="AX189" s="21">
        <f t="shared" si="166"/>
        <v>1.0618712450371857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274.78375889702613</v>
      </c>
      <c r="T190" s="59">
        <f t="shared" si="142"/>
        <v>180.48047802041276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0.32620484276491646</v>
      </c>
      <c r="AA190" s="21">
        <f>EXP(-LN(2)/25)*AA189+(1-EXP(-LN(2)/25))/(LN(2)/25)*Calculateur!V190*Calculateur!X190*VLOOKUP('Données projet'!$B$9,Paramètres!$A$1:$I$89,3,0)*0.475*44/12</f>
        <v>0.12051151970980579</v>
      </c>
      <c r="AB190" s="21">
        <f>EXP(-LN(2)/2)*AB189+(1-EXP(-LN(2)/2))/(LN(2)/2)*V190*Y190*VLOOKUP('Données projet'!$B$9,Paramètres!$A$1:$I$89,3,0)*0.475*44/12</f>
        <v>1.9968265719186736E-23</v>
      </c>
      <c r="AC190" s="22">
        <f t="shared" si="163"/>
        <v>0.44671636247472224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-2.8421709430404007E-13</v>
      </c>
      <c r="AJ190" s="13">
        <f>AI190*VLOOKUP('Données projet'!$B$10,Paramètres!$A$1:$I$89,3,0)*VLOOKUP('Données projet'!$B$10,Paramètres!$A$1:$I$89,5,0)</f>
        <v>-2.2612312022829427E-13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295.36463140471733</v>
      </c>
      <c r="AO190" s="59">
        <f t="shared" si="144"/>
        <v>295.34177980841878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0.77281078273363757</v>
      </c>
      <c r="AV190" s="21">
        <f>EXP(-LN(2)/25)*AV189+(1-EXP(-LN(2)/25))/(LN(2)/25)*Calculateur!AQ190*Calculateur!AS190*VLOOKUP('Données projet'!$B$10,Paramètres!$A$1:$I$89,3,0)*0.475*44/12</f>
        <v>0.26612131436915953</v>
      </c>
      <c r="AW190" s="21">
        <f>EXP(-LN(2)/2)*AW189+(1-EXP(-LN(2)/2))/(LN(2)/2)*AQ190*AT190*VLOOKUP('Données projet'!$B$10,Paramètres!$A$1:$I$89,3,0)*0.475*44/12</f>
        <v>2.7677052891177268E-23</v>
      </c>
      <c r="AX190" s="21">
        <f t="shared" si="166"/>
        <v>1.0389320971027971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274.78375889702613</v>
      </c>
      <c r="T191" s="59">
        <f t="shared" si="142"/>
        <v>180.48047802041276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0.31980816476360435</v>
      </c>
      <c r="AA191" s="21">
        <f>EXP(-LN(2)/25)*AA190+(1-EXP(-LN(2)/25))/(LN(2)/25)*Calculateur!V191*Calculateur!X191*VLOOKUP('Données projet'!$B$9,Paramètres!$A$1:$I$89,3,0)*0.475*44/12</f>
        <v>0.11721612586591576</v>
      </c>
      <c r="AB191" s="21">
        <f>EXP(-LN(2)/2)*AB190+(1-EXP(-LN(2)/2))/(LN(2)/2)*V191*Y191*VLOOKUP('Données projet'!$B$9,Paramètres!$A$1:$I$89,3,0)*0.475*44/12</f>
        <v>1.4119696098571813E-23</v>
      </c>
      <c r="AC191" s="22">
        <f t="shared" si="163"/>
        <v>0.43702429062952008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-2.8421709430404007E-13</v>
      </c>
      <c r="AJ191" s="13">
        <f>AI191*VLOOKUP('Données projet'!$B$10,Paramètres!$A$1:$I$89,3,0)*VLOOKUP('Données projet'!$B$10,Paramètres!$A$1:$I$89,5,0)</f>
        <v>-2.2612312022829427E-13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295.36463140471733</v>
      </c>
      <c r="AO191" s="59">
        <f t="shared" si="144"/>
        <v>295.34177980841878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0.75765643465226462</v>
      </c>
      <c r="AV191" s="21">
        <f>EXP(-LN(2)/25)*AV190+(1-EXP(-LN(2)/25))/(LN(2)/25)*Calculateur!AQ191*Calculateur!AS191*VLOOKUP('Données projet'!$B$10,Paramètres!$A$1:$I$89,3,0)*0.475*44/12</f>
        <v>0.25884421303302318</v>
      </c>
      <c r="AW191" s="21">
        <f>EXP(-LN(2)/2)*AW190+(1-EXP(-LN(2)/2))/(LN(2)/2)*AQ191*AT191*VLOOKUP('Données projet'!$B$10,Paramètres!$A$1:$I$89,3,0)*0.475*44/12</f>
        <v>1.9570631782610188E-23</v>
      </c>
      <c r="AX191" s="21">
        <f t="shared" si="166"/>
        <v>1.0165006476852878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274.78375889702613</v>
      </c>
      <c r="T192" s="59">
        <f t="shared" si="142"/>
        <v>180.48047802041276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0.31353692171630965</v>
      </c>
      <c r="AA192" s="21">
        <f>EXP(-LN(2)/25)*AA191+(1-EXP(-LN(2)/25))/(LN(2)/25)*Calculateur!V192*Calculateur!X192*VLOOKUP('Données projet'!$B$9,Paramètres!$A$1:$I$89,3,0)*0.475*44/12</f>
        <v>0.11401084473998413</v>
      </c>
      <c r="AB192" s="21">
        <f>EXP(-LN(2)/2)*AB191+(1-EXP(-LN(2)/2))/(LN(2)/2)*V192*Y192*VLOOKUP('Données projet'!$B$9,Paramètres!$A$1:$I$89,3,0)*0.475*44/12</f>
        <v>9.9841328595933679E-24</v>
      </c>
      <c r="AC192" s="22">
        <f t="shared" si="163"/>
        <v>0.42754776645629378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-2.8421709430404007E-13</v>
      </c>
      <c r="AJ192" s="13">
        <f>AI192*VLOOKUP('Données projet'!$B$10,Paramètres!$A$1:$I$89,3,0)*VLOOKUP('Données projet'!$B$10,Paramètres!$A$1:$I$89,5,0)</f>
        <v>-2.2612312022829427E-13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295.36463140471733</v>
      </c>
      <c r="AO192" s="59">
        <f t="shared" si="144"/>
        <v>295.34177980841878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0.74279925409352776</v>
      </c>
      <c r="AV192" s="21">
        <f>EXP(-LN(2)/25)*AV191+(1-EXP(-LN(2)/25))/(LN(2)/25)*Calculateur!AQ192*Calculateur!AS192*VLOOKUP('Données projet'!$B$10,Paramètres!$A$1:$I$89,3,0)*0.475*44/12</f>
        <v>0.25176610441560959</v>
      </c>
      <c r="AW192" s="21">
        <f>EXP(-LN(2)/2)*AW191+(1-EXP(-LN(2)/2))/(LN(2)/2)*AQ192*AT192*VLOOKUP('Données projet'!$B$10,Paramètres!$A$1:$I$89,3,0)*0.475*44/12</f>
        <v>1.3838526445588634E-23</v>
      </c>
      <c r="AX192" s="21">
        <f t="shared" si="166"/>
        <v>0.99456535850913741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274.78375889702613</v>
      </c>
      <c r="T193" s="59">
        <f t="shared" si="142"/>
        <v>180.48047802041276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0.30738865392009179</v>
      </c>
      <c r="AA193" s="21">
        <f>EXP(-LN(2)/25)*AA192+(1-EXP(-LN(2)/25))/(LN(2)/25)*Calculateur!V193*Calculateur!X193*VLOOKUP('Données projet'!$B$9,Paramètres!$A$1:$I$89,3,0)*0.475*44/12</f>
        <v>0.11089321219499951</v>
      </c>
      <c r="AB193" s="21">
        <f>EXP(-LN(2)/2)*AB192+(1-EXP(-LN(2)/2))/(LN(2)/2)*V193*Y193*VLOOKUP('Données projet'!$B$9,Paramètres!$A$1:$I$89,3,0)*0.475*44/12</f>
        <v>7.0598480492859065E-24</v>
      </c>
      <c r="AC193" s="22">
        <f t="shared" si="163"/>
        <v>0.41828186611509133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-2.8421709430404007E-13</v>
      </c>
      <c r="AJ193" s="13">
        <f>AI193*VLOOKUP('Données projet'!$B$10,Paramètres!$A$1:$I$89,3,0)*VLOOKUP('Données projet'!$B$10,Paramètres!$A$1:$I$89,5,0)</f>
        <v>-2.2612312022829427E-13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295.36463140471733</v>
      </c>
      <c r="AO193" s="59">
        <f t="shared" si="144"/>
        <v>295.34177980841878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0.72823341378356243</v>
      </c>
      <c r="AV193" s="21">
        <f>EXP(-LN(2)/25)*AV192+(1-EXP(-LN(2)/25))/(LN(2)/25)*Calculateur!AQ193*Calculateur!AS193*VLOOKUP('Données projet'!$B$10,Paramètres!$A$1:$I$89,3,0)*0.475*44/12</f>
        <v>0.24488154705056073</v>
      </c>
      <c r="AW193" s="21">
        <f>EXP(-LN(2)/2)*AW192+(1-EXP(-LN(2)/2))/(LN(2)/2)*AQ193*AT193*VLOOKUP('Données projet'!$B$10,Paramètres!$A$1:$I$89,3,0)*0.475*44/12</f>
        <v>9.785315891305094E-24</v>
      </c>
      <c r="AX193" s="21">
        <f t="shared" si="166"/>
        <v>0.97311496083412319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274.78375889702613</v>
      </c>
      <c r="T194" s="59">
        <f t="shared" si="142"/>
        <v>180.48047802041276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0.30136094990528473</v>
      </c>
      <c r="AA194" s="21">
        <f>EXP(-LN(2)/25)*AA193+(1-EXP(-LN(2)/25))/(LN(2)/25)*Calculateur!V194*Calculateur!X194*VLOOKUP('Données projet'!$B$9,Paramètres!$A$1:$I$89,3,0)*0.475*44/12</f>
        <v>0.10786083147590667</v>
      </c>
      <c r="AB194" s="21">
        <f>EXP(-LN(2)/2)*AB193+(1-EXP(-LN(2)/2))/(LN(2)/2)*V194*Y194*VLOOKUP('Données projet'!$B$9,Paramètres!$A$1:$I$89,3,0)*0.475*44/12</f>
        <v>4.9920664297966839E-24</v>
      </c>
      <c r="AC194" s="22">
        <f t="shared" si="163"/>
        <v>0.40922178138119136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-2.8421709430404007E-13</v>
      </c>
      <c r="AJ194" s="13">
        <f>AI194*VLOOKUP('Données projet'!$B$10,Paramètres!$A$1:$I$89,3,0)*VLOOKUP('Données projet'!$B$10,Paramètres!$A$1:$I$89,5,0)</f>
        <v>-2.2612312022829427E-13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295.36463140471733</v>
      </c>
      <c r="AO194" s="59">
        <f t="shared" si="144"/>
        <v>295.34177980841878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0.71395320071779023</v>
      </c>
      <c r="AV194" s="21">
        <f>EXP(-LN(2)/25)*AV193+(1-EXP(-LN(2)/25))/(LN(2)/25)*Calculateur!AQ194*Calculateur!AS194*VLOOKUP('Données projet'!$B$10,Paramètres!$A$1:$I$89,3,0)*0.475*44/12</f>
        <v>0.23818524826870227</v>
      </c>
      <c r="AW194" s="21">
        <f>EXP(-LN(2)/2)*AW193+(1-EXP(-LN(2)/2))/(LN(2)/2)*AQ194*AT194*VLOOKUP('Données projet'!$B$10,Paramètres!$A$1:$I$89,3,0)*0.475*44/12</f>
        <v>6.9192632227943171E-24</v>
      </c>
      <c r="AX194" s="21">
        <f t="shared" si="166"/>
        <v>0.95213844898649247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274.78375889702613</v>
      </c>
      <c r="T195" s="59">
        <f t="shared" si="142"/>
        <v>180.48047802041276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0.29545144548967162</v>
      </c>
      <c r="AA195" s="21">
        <f>EXP(-LN(2)/25)*AA194+(1-EXP(-LN(2)/25))/(LN(2)/25)*Calculateur!V195*Calculateur!X195*VLOOKUP('Données projet'!$B$9,Paramètres!$A$1:$I$89,3,0)*0.475*44/12</f>
        <v>0.10491137136704339</v>
      </c>
      <c r="AB195" s="21">
        <f>EXP(-LN(2)/2)*AB194+(1-EXP(-LN(2)/2))/(LN(2)/2)*V195*Y195*VLOOKUP('Données projet'!$B$9,Paramètres!$A$1:$I$89,3,0)*0.475*44/12</f>
        <v>3.5299240246429533E-24</v>
      </c>
      <c r="AC195" s="22">
        <f t="shared" si="163"/>
        <v>0.40036281685671499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-2.2612312022829427E-13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295.36463140471733</v>
      </c>
      <c r="AO195" s="59">
        <f t="shared" si="144"/>
        <v>295.34177980841878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0.69995301392016784</v>
      </c>
      <c r="AV195" s="21">
        <f>EXP(-LN(2)/25)*AV194+(1-EXP(-LN(2)/25))/(LN(2)/25)*Calculateur!AQ195*Calculateur!AS195*VLOOKUP('Données projet'!$B$10,Paramètres!$A$1:$I$89,3,0)*0.475*44/12</f>
        <v>0.23167206012917679</v>
      </c>
      <c r="AW195" s="21">
        <f>EXP(-LN(2)/2)*AW194+(1-EXP(-LN(2)/2))/(LN(2)/2)*AQ195*AT195*VLOOKUP('Données projet'!$B$10,Paramètres!$A$1:$I$89,3,0)*0.475*44/12</f>
        <v>4.892657945652547E-24</v>
      </c>
      <c r="AX195" s="21">
        <f t="shared" si="166"/>
        <v>0.93162507404934458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274.78375889702613</v>
      </c>
      <c r="T196" s="59">
        <f t="shared" si="142"/>
        <v>180.48047802041276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0.28965782285120689</v>
      </c>
      <c r="AA196" s="21">
        <f>EXP(-LN(2)/25)*AA195+(1-EXP(-LN(2)/25))/(LN(2)/25)*Calculateur!V196*Calculateur!X196*VLOOKUP('Données projet'!$B$9,Paramètres!$A$1:$I$89,3,0)*0.475*44/12</f>
        <v>0.10204256439996234</v>
      </c>
      <c r="AB196" s="21">
        <f>EXP(-LN(2)/2)*AB195+(1-EXP(-LN(2)/2))/(LN(2)/2)*V196*Y196*VLOOKUP('Données projet'!$B$9,Paramètres!$A$1:$I$89,3,0)*0.475*44/12</f>
        <v>2.496033214898342E-24</v>
      </c>
      <c r="AC196" s="22">
        <f t="shared" si="163"/>
        <v>0.39170038725116924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-2.2612312022829427E-13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295.36463140471733</v>
      </c>
      <c r="AO196" s="59">
        <f t="shared" si="144"/>
        <v>295.34177980841878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0.68622736224637604</v>
      </c>
      <c r="AV196" s="21">
        <f>EXP(-LN(2)/25)*AV195+(1-EXP(-LN(2)/25))/(LN(2)/25)*Calculateur!AQ196*Calculateur!AS196*VLOOKUP('Données projet'!$B$10,Paramètres!$A$1:$I$89,3,0)*0.475*44/12</f>
        <v>0.22533697546184031</v>
      </c>
      <c r="AW196" s="21">
        <f>EXP(-LN(2)/2)*AW195+(1-EXP(-LN(2)/2))/(LN(2)/2)*AQ196*AT196*VLOOKUP('Données projet'!$B$10,Paramètres!$A$1:$I$89,3,0)*0.475*44/12</f>
        <v>3.4596316113971586E-24</v>
      </c>
      <c r="AX196" s="21">
        <f t="shared" si="166"/>
        <v>0.91156433770821632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274.78375889702613</v>
      </c>
      <c r="T197" s="59">
        <f t="shared" ref="T197:T203" si="204">$T$3</f>
        <v>180.48047802041276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0.28397780961892155</v>
      </c>
      <c r="AA197" s="21">
        <f>EXP(-LN(2)/25)*AA196+(1-EXP(-LN(2)/25))/(LN(2)/25)*Calculateur!V197*Calculateur!X197*VLOOKUP('Données projet'!$B$9,Paramètres!$A$1:$I$89,3,0)*0.475*44/12</f>
        <v>9.925220511026013E-2</v>
      </c>
      <c r="AB197" s="21">
        <f>EXP(-LN(2)/2)*AB196+(1-EXP(-LN(2)/2))/(LN(2)/2)*V197*Y197*VLOOKUP('Données projet'!$B$9,Paramètres!$A$1:$I$89,3,0)*0.475*44/12</f>
        <v>1.7649620123214766E-24</v>
      </c>
      <c r="AC197" s="22">
        <f t="shared" si="163"/>
        <v>0.38323001472918167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-2.2612312022829427E-13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295.36463140471733</v>
      </c>
      <c r="AO197" s="59">
        <f t="shared" ref="AO197:AO203" si="205">$AO$3</f>
        <v>295.34177980841878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0.67277086223008642</v>
      </c>
      <c r="AV197" s="21">
        <f>EXP(-LN(2)/25)*AV196+(1-EXP(-LN(2)/25))/(LN(2)/25)*Calculateur!AQ197*Calculateur!AS197*VLOOKUP('Données projet'!$B$10,Paramètres!$A$1:$I$89,3,0)*0.475*44/12</f>
        <v>0.21917512401787975</v>
      </c>
      <c r="AW197" s="21">
        <f>EXP(-LN(2)/2)*AW196+(1-EXP(-LN(2)/2))/(LN(2)/2)*AQ197*AT197*VLOOKUP('Données projet'!$B$10,Paramètres!$A$1:$I$89,3,0)*0.475*44/12</f>
        <v>2.4463289728262735E-24</v>
      </c>
      <c r="AX197" s="21">
        <f t="shared" si="166"/>
        <v>0.89194598624796617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274.78375889702613</v>
      </c>
      <c r="T198" s="59">
        <f t="shared" si="204"/>
        <v>180.48047802041276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0.27840917798165538</v>
      </c>
      <c r="AA198" s="21">
        <f>EXP(-LN(2)/25)*AA197+(1-EXP(-LN(2)/25))/(LN(2)/25)*Calculateur!V198*Calculateur!X198*VLOOKUP('Données projet'!$B$9,Paramètres!$A$1:$I$89,3,0)*0.475*44/12</f>
        <v>9.6538148342073443E-2</v>
      </c>
      <c r="AB198" s="21">
        <f>EXP(-LN(2)/2)*AB197+(1-EXP(-LN(2)/2))/(LN(2)/2)*V198*Y198*VLOOKUP('Données projet'!$B$9,Paramètres!$A$1:$I$89,3,0)*0.475*44/12</f>
        <v>1.248016607449171E-24</v>
      </c>
      <c r="AC198" s="22">
        <f t="shared" si="163"/>
        <v>0.37494732632372885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-2.2612312022829427E-13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295.36463140471733</v>
      </c>
      <c r="AO198" s="59">
        <f t="shared" si="205"/>
        <v>295.34177980841878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0.6595782359714617</v>
      </c>
      <c r="AV198" s="21">
        <f>EXP(-LN(2)/25)*AV197+(1-EXP(-LN(2)/25))/(LN(2)/25)*Calculateur!AQ198*Calculateur!AS198*VLOOKUP('Données projet'!$B$10,Paramètres!$A$1:$I$89,3,0)*0.475*44/12</f>
        <v>0.213181768725692</v>
      </c>
      <c r="AW198" s="21">
        <f>EXP(-LN(2)/2)*AW197+(1-EXP(-LN(2)/2))/(LN(2)/2)*AQ198*AT198*VLOOKUP('Données projet'!$B$10,Paramètres!$A$1:$I$89,3,0)*0.475*44/12</f>
        <v>1.7298158056985793E-24</v>
      </c>
      <c r="AX198" s="21">
        <f t="shared" si="166"/>
        <v>0.87276000469715376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274.78375889702613</v>
      </c>
      <c r="T199" s="59">
        <f t="shared" si="204"/>
        <v>180.48047802041276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0.27294974381426607</v>
      </c>
      <c r="AA199" s="21">
        <f>EXP(-LN(2)/25)*AA198+(1-EXP(-LN(2)/25))/(LN(2)/25)*Calculateur!V199*Calculateur!X199*VLOOKUP('Données projet'!$B$9,Paramètres!$A$1:$I$89,3,0)*0.475*44/12</f>
        <v>9.3898307598938871E-2</v>
      </c>
      <c r="AB199" s="21">
        <f>EXP(-LN(2)/2)*AB198+(1-EXP(-LN(2)/2))/(LN(2)/2)*V199*Y199*VLOOKUP('Données projet'!$B$9,Paramètres!$A$1:$I$89,3,0)*0.475*44/12</f>
        <v>8.8248100616073832E-25</v>
      </c>
      <c r="AC199" s="22">
        <f t="shared" si="163"/>
        <v>0.36684805141320492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-2.2612312022829427E-13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295.36463140471733</v>
      </c>
      <c r="AO199" s="59">
        <f t="shared" si="205"/>
        <v>295.34177980841878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0.64664430906706116</v>
      </c>
      <c r="AV199" s="21">
        <f>EXP(-LN(2)/25)*AV198+(1-EXP(-LN(2)/25))/(LN(2)/25)*Calculateur!AQ199*Calculateur!AS199*VLOOKUP('Données projet'!$B$10,Paramètres!$A$1:$I$89,3,0)*0.475*44/12</f>
        <v>0.20735230204914598</v>
      </c>
      <c r="AW199" s="21">
        <f>EXP(-LN(2)/2)*AW198+(1-EXP(-LN(2)/2))/(LN(2)/2)*AQ199*AT199*VLOOKUP('Données projet'!$B$10,Paramètres!$A$1:$I$89,3,0)*0.475*44/12</f>
        <v>1.2231644864131368E-24</v>
      </c>
      <c r="AX199" s="21">
        <f t="shared" si="166"/>
        <v>0.85399661111620717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274.78375889702613</v>
      </c>
      <c r="T200" s="59">
        <f t="shared" si="204"/>
        <v>180.48047802041276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0.26759736582097321</v>
      </c>
      <c r="AA200" s="21">
        <f>EXP(-LN(2)/25)*AA199+(1-EXP(-LN(2)/25))/(LN(2)/25)*Calculateur!V200*Calculateur!X200*VLOOKUP('Données projet'!$B$9,Paramètres!$A$1:$I$89,3,0)*0.475*44/12</f>
        <v>9.1330653439748499E-2</v>
      </c>
      <c r="AB200" s="21">
        <f>EXP(-LN(2)/2)*AB199+(1-EXP(-LN(2)/2))/(LN(2)/2)*V200*Y200*VLOOKUP('Données projet'!$B$9,Paramètres!$A$1:$I$89,3,0)*0.475*44/12</f>
        <v>6.2400830372458549E-25</v>
      </c>
      <c r="AC200" s="22">
        <f t="shared" si="163"/>
        <v>0.35892801926072171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-2.2612312022829427E-13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295.36463140471733</v>
      </c>
      <c r="AO200" s="59">
        <f t="shared" si="205"/>
        <v>295.34177980841878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0.63396400858033952</v>
      </c>
      <c r="AV200" s="21">
        <f>EXP(-LN(2)/25)*AV199+(1-EXP(-LN(2)/25))/(LN(2)/25)*Calculateur!AQ200*Calculateur!AS200*VLOOKUP('Données projet'!$B$10,Paramètres!$A$1:$I$89,3,0)*0.475*44/12</f>
        <v>0.20168224244542843</v>
      </c>
      <c r="AW200" s="21">
        <f>EXP(-LN(2)/2)*AW199+(1-EXP(-LN(2)/2))/(LN(2)/2)*AQ200*AT200*VLOOKUP('Données projet'!$B$10,Paramètres!$A$1:$I$89,3,0)*0.475*44/12</f>
        <v>8.6490790284928964E-25</v>
      </c>
      <c r="AX200" s="21">
        <f t="shared" si="166"/>
        <v>0.83564625102576795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274.78375889702613</v>
      </c>
      <c r="T201" s="59">
        <f t="shared" si="204"/>
        <v>180.48047802041276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0.2623499446955006</v>
      </c>
      <c r="AA201" s="21">
        <f>EXP(-LN(2)/25)*AA200+(1-EXP(-LN(2)/25))/(LN(2)/25)*Calculateur!V201*Calculateur!X201*VLOOKUP('Données projet'!$B$9,Paramètres!$A$1:$I$89,3,0)*0.475*44/12</f>
        <v>8.8833211918568245E-2</v>
      </c>
      <c r="AB201" s="21">
        <f>EXP(-LN(2)/2)*AB200+(1-EXP(-LN(2)/2))/(LN(2)/2)*V201*Y201*VLOOKUP('Données projet'!$B$9,Paramètres!$A$1:$I$89,3,0)*0.475*44/12</f>
        <v>4.4124050308036916E-25</v>
      </c>
      <c r="AC201" s="22">
        <f t="shared" si="163"/>
        <v>0.35118315661406885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-2.2612312022829427E-13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295.36463140471733</v>
      </c>
      <c r="AO201" s="59">
        <f t="shared" si="205"/>
        <v>295.34177980841878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0.62153236105194287</v>
      </c>
      <c r="AV201" s="21">
        <f>EXP(-LN(2)/25)*AV200+(1-EXP(-LN(2)/25))/(LN(2)/25)*Calculateur!AQ201*Calculateur!AS201*VLOOKUP('Données projet'!$B$10,Paramètres!$A$1:$I$89,3,0)*0.475*44/12</f>
        <v>0.19616723091975</v>
      </c>
      <c r="AW201" s="21">
        <f>EXP(-LN(2)/2)*AW200+(1-EXP(-LN(2)/2))/(LN(2)/2)*AQ201*AT201*VLOOKUP('Données projet'!$B$10,Paramètres!$A$1:$I$89,3,0)*0.475*44/12</f>
        <v>6.1158224320656838E-25</v>
      </c>
      <c r="AX201" s="21">
        <f t="shared" si="166"/>
        <v>0.81769959197169284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274.78375889702613</v>
      </c>
      <c r="T202" s="59">
        <f t="shared" si="204"/>
        <v>180.48047802041276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0.25720542229768767</v>
      </c>
      <c r="AA202" s="21">
        <f>EXP(-LN(2)/25)*AA201+(1-EXP(-LN(2)/25))/(LN(2)/25)*Calculateur!V202*Calculateur!X202*VLOOKUP('Données projet'!$B$9,Paramètres!$A$1:$I$89,3,0)*0.475*44/12</f>
        <v>8.640406306711941E-2</v>
      </c>
      <c r="AB202" s="21">
        <f>EXP(-LN(2)/2)*AB201+(1-EXP(-LN(2)/2))/(LN(2)/2)*V202*Y202*VLOOKUP('Données projet'!$B$9,Paramètres!$A$1:$I$89,3,0)*0.475*44/12</f>
        <v>3.1200415186229275E-25</v>
      </c>
      <c r="AC202" s="22">
        <f t="shared" si="163"/>
        <v>0.34360948536480707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-2.2612312022829427E-13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295.36463140471733</v>
      </c>
      <c r="AO202" s="59">
        <f t="shared" si="205"/>
        <v>295.34177980841878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0.60934449054902173</v>
      </c>
      <c r="AV202" s="21">
        <f>EXP(-LN(2)/25)*AV201+(1-EXP(-LN(2)/25))/(LN(2)/25)*Calculateur!AQ202*Calculateur!AS202*VLOOKUP('Données projet'!$B$10,Paramètres!$A$1:$I$89,3,0)*0.475*44/12</f>
        <v>0.1908030276742631</v>
      </c>
      <c r="AW202" s="21">
        <f>EXP(-LN(2)/2)*AW201+(1-EXP(-LN(2)/2))/(LN(2)/2)*AQ202*AT202*VLOOKUP('Données projet'!$B$10,Paramètres!$A$1:$I$89,3,0)*0.475*44/12</f>
        <v>4.3245395142464482E-25</v>
      </c>
      <c r="AX202" s="21">
        <f t="shared" si="166"/>
        <v>0.80014751822328489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274.78375889702613</v>
      </c>
      <c r="T203" s="59">
        <f t="shared" si="204"/>
        <v>180.48047802041276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0.25216178084624702</v>
      </c>
      <c r="AA203" s="21">
        <f>EXP(-LN(2)/25)*AA202+(1-EXP(-LN(2)/25))/(LN(2)/25)*Calculateur!V203*Calculateur!X203*VLOOKUP('Données projet'!$B$9,Paramètres!$A$1:$I$89,3,0)*0.475*44/12</f>
        <v>8.4041339418756827E-2</v>
      </c>
      <c r="AB203" s="21">
        <f>EXP(-LN(2)/2)*AB202+(1-EXP(-LN(2)/2))/(LN(2)/2)*V203*Y203*VLOOKUP('Données projet'!$B$9,Paramètres!$A$1:$I$89,3,0)*0.475*44/12</f>
        <v>2.2062025154018458E-25</v>
      </c>
      <c r="AC203" s="22">
        <f t="shared" si="163"/>
        <v>0.33620312026500387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-2.2612312022829427E-13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295.36463140471733</v>
      </c>
      <c r="AO203" s="59">
        <f t="shared" si="205"/>
        <v>295.34177980841878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0.59739561675279595</v>
      </c>
      <c r="AV203" s="21">
        <f>EXP(-LN(2)/25)*AV202+(1-EXP(-LN(2)/25))/(LN(2)/25)*Calculateur!AQ203*Calculateur!AS203*VLOOKUP('Données projet'!$B$10,Paramètres!$A$1:$I$89,3,0)*0.475*44/12</f>
        <v>0.18558550884861524</v>
      </c>
      <c r="AW203" s="21">
        <f>EXP(-LN(2)/2)*AW202+(1-EXP(-LN(2)/2))/(LN(2)/2)*AQ203*AT203*VLOOKUP('Données projet'!$B$10,Paramètres!$A$1:$I$89,3,0)*0.475*44/12</f>
        <v>3.0579112160328419E-25</v>
      </c>
      <c r="AX203" s="21">
        <f t="shared" si="166"/>
        <v>0.7829811256014112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1.3423796509621049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O4" sqref="O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1.74</v>
      </c>
      <c r="C6" s="147">
        <f ca="1">IF(OR('Données projet'!B9="",'Données projet'!C9="",'Données projet'!C9=0%),0,Calculateur!S3)</f>
        <v>274.78375889702613</v>
      </c>
      <c r="D6" s="147">
        <f>IF(OR('Données projet'!B9="",'Données projet'!C9="",'Données projet'!C9=0%),0,Calculateur!T3)</f>
        <v>180.48047802041276</v>
      </c>
      <c r="E6" s="147">
        <f ca="1">MIN(C6,D6)</f>
        <v>180.48047802041276</v>
      </c>
      <c r="F6" s="147">
        <f ca="1">E6*B6</f>
        <v>314.0360317555182</v>
      </c>
      <c r="G6" s="147">
        <f ca="1">F6*(100%-'Données projet'!$C$24)*(100%-'Données projet'!$C$25)*(100%-'Données projet'!$C$26)*(100%-'Données projet'!$C$27)</f>
        <v>282.63242857996636</v>
      </c>
      <c r="H6" s="148">
        <f>IF(OR('Données projet'!B9="",'Données projet'!C9="",'Données projet'!C9=0%),0,AVERAGE(Calculateur!$AC$3:$AC$33)*B6)</f>
        <v>5.8875535953936371</v>
      </c>
      <c r="I6" s="149">
        <f>H6*(100%-'Données projet'!$C$24)*(100%-'Données projet'!$C$25)*(100%-'Données projet'!$C$26)*(100%-'Données projet'!$C$27)</f>
        <v>5.2987982358542736</v>
      </c>
      <c r="J6" s="150">
        <f>IF(OR('Données projet'!B9="",'Données projet'!C9="",'Données projet'!C9=0%),0,SUM(Calculateur!$V$3:$V$33)*VLOOKUP('Données projet'!$B$9,Paramètres!$A$1:$I$89,9,0)*B6)</f>
        <v>26.97</v>
      </c>
      <c r="K6" s="151">
        <f>J6*(100%-'Données projet'!$C$24)*(100%-'Données projet'!$C$25)*(100%-'Données projet'!$C$26)*(100%-'Données projet'!$C$27)</f>
        <v>24.273</v>
      </c>
      <c r="L6" s="152">
        <f ca="1">G6+I6+K6</f>
        <v>312.20422681582068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Erable sycomore</v>
      </c>
      <c r="B7" s="154">
        <f>'Données projet'!D10</f>
        <v>1.74</v>
      </c>
      <c r="C7" s="147">
        <f ca="1">IF(OR('Données projet'!B10="",'Données projet'!C10="",'Données projet'!C10=0%),0,Calculateur!AN3)</f>
        <v>295.36463140471733</v>
      </c>
      <c r="D7" s="147">
        <f>IF(OR('Données projet'!B10="",'Données projet'!C10="",'Données projet'!C10=0%),0,Calculateur!AO3)</f>
        <v>295.34177980841878</v>
      </c>
      <c r="E7" s="147">
        <f t="shared" ref="E7:E15" ca="1" si="0">MIN(C7,D7)</f>
        <v>295.34177980841878</v>
      </c>
      <c r="F7" s="147">
        <f t="shared" ref="F7:F15" ca="1" si="1">E7*B7</f>
        <v>513.8946968666487</v>
      </c>
      <c r="G7" s="147">
        <f ca="1">F7*(100%-'Données projet'!$C$24)*(100%-'Données projet'!$C$25)*(100%-'Données projet'!$C$26)*(100%-'Données projet'!$C$27)</f>
        <v>462.50522717998382</v>
      </c>
      <c r="H7" s="155">
        <f>IF(OR('Données projet'!B10="",'Données projet'!C10="",'Données projet'!C10=0%),0,AVERAGE(Calculateur!$AX$3:$AX$33)*B7)</f>
        <v>26.175863935368863</v>
      </c>
      <c r="I7" s="149">
        <f>H7*(100%-'Données projet'!$C$24)*(100%-'Données projet'!$C$25)*(100%-'Données projet'!$C$26)*(100%-'Données projet'!$C$27)</f>
        <v>23.558277541831977</v>
      </c>
      <c r="J7" s="150">
        <f>IF(OR('Données projet'!B10="",'Données projet'!C10="",'Données projet'!C10=0%),0,SUM(Calculateur!$AQ$3:$AQ$33)*VLOOKUP('Données projet'!$B$10,Paramètres!$A$1:$I$89,9,0)*B7)</f>
        <v>76.125</v>
      </c>
      <c r="K7" s="151">
        <f>J7*(100%-'Données projet'!$C$24)*(100%-'Données projet'!$C$25)*(100%-'Données projet'!$C$26)*(100%-'Données projet'!$C$27)</f>
        <v>68.512500000000003</v>
      </c>
      <c r="L7" s="152">
        <f t="shared" ref="L7:L15" ca="1" si="2">G7+I7+K7</f>
        <v>554.57600472181582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827.93072862216695</v>
      </c>
      <c r="G16" s="166">
        <f t="shared" ca="1" si="3"/>
        <v>745.13765575995012</v>
      </c>
      <c r="H16" s="167">
        <f t="shared" si="3"/>
        <v>32.0634175307625</v>
      </c>
      <c r="I16" s="167">
        <f t="shared" si="3"/>
        <v>28.857075777686251</v>
      </c>
      <c r="J16" s="168">
        <f t="shared" si="3"/>
        <v>103.095</v>
      </c>
      <c r="K16" s="168">
        <f t="shared" si="3"/>
        <v>92.785499999999999</v>
      </c>
      <c r="L16" s="169">
        <f t="shared" ca="1" si="3"/>
        <v>866.7802315376365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3" zoomScale="80" zoomScaleNormal="80" workbookViewId="0">
      <selection activeCell="I31" sqref="I3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-2141.5266442753491</v>
      </c>
      <c r="U10" s="178">
        <f>'Données projet'!D9</f>
        <v>1.74</v>
      </c>
      <c r="V10" s="177">
        <f>U10*T10</f>
        <v>-3726.2563610391076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sycomore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-701.99613237507197</v>
      </c>
      <c r="U11" s="178">
        <f>'Données projet'!D10</f>
        <v>1.74</v>
      </c>
      <c r="V11" s="177">
        <f t="shared" ref="V11" si="0">U11*T11</f>
        <v>-1221.4732703326251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1300*(1.45+1)</f>
        <v>3185.0000000000005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400.00000000000057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(4400+1170+1320+3300+3720+9300+2451+603)/3.43</f>
        <v>7657.1428571428569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6</v>
      </c>
      <c r="C23" s="193">
        <v>1.3</v>
      </c>
      <c r="D23" s="182">
        <f>B23*C23</f>
        <v>7.8000000000000007</v>
      </c>
      <c r="E23" s="193"/>
      <c r="F23" s="230"/>
      <c r="H23" s="190">
        <v>3</v>
      </c>
      <c r="I23" s="191">
        <v>650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-37479.729789668447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28</v>
      </c>
      <c r="C24" s="193">
        <v>1.3</v>
      </c>
      <c r="D24" s="182">
        <f t="shared" ref="D24:D42" si="2">B24*C24</f>
        <v>36.4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41.146793734584833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28</v>
      </c>
      <c r="C25" s="193">
        <v>2.2799999999999998</v>
      </c>
      <c r="D25" s="182">
        <f t="shared" si="2"/>
        <v>63.839999999999996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-37520.876583403035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28</v>
      </c>
      <c r="C26" s="193">
        <v>2.2799999999999998</v>
      </c>
      <c r="D26" s="182">
        <f t="shared" si="2"/>
        <v>63.839999999999996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28</v>
      </c>
      <c r="C27" s="193">
        <v>2.2799999999999998</v>
      </c>
      <c r="D27" s="182">
        <f t="shared" si="2"/>
        <v>63.839999999999996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28</v>
      </c>
      <c r="C28" s="193">
        <v>2.2799999999999998</v>
      </c>
      <c r="D28" s="182">
        <f t="shared" si="2"/>
        <v>63.839999999999996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28</v>
      </c>
      <c r="C29" s="193">
        <v>2.83</v>
      </c>
      <c r="D29" s="182">
        <f t="shared" si="2"/>
        <v>79.240000000000009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28</v>
      </c>
      <c r="C30" s="193">
        <v>2.83</v>
      </c>
      <c r="D30" s="182">
        <f t="shared" si="2"/>
        <v>79.240000000000009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28</v>
      </c>
      <c r="C31" s="193">
        <v>2.83</v>
      </c>
      <c r="D31" s="182">
        <f t="shared" si="2"/>
        <v>79.240000000000009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28</v>
      </c>
      <c r="C32" s="193">
        <v>40.5</v>
      </c>
      <c r="D32" s="182">
        <f t="shared" si="2"/>
        <v>1134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28</v>
      </c>
      <c r="C33" s="193">
        <v>40.5</v>
      </c>
      <c r="D33" s="182">
        <f t="shared" si="2"/>
        <v>1134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28</v>
      </c>
      <c r="C34" s="193">
        <v>40.5</v>
      </c>
      <c r="D34" s="182">
        <f t="shared" si="2"/>
        <v>1134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80</v>
      </c>
      <c r="B35" s="181">
        <f>'Données projet'!D48</f>
        <v>28</v>
      </c>
      <c r="C35" s="193">
        <v>41</v>
      </c>
      <c r="D35" s="182">
        <f t="shared" si="2"/>
        <v>1148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85</v>
      </c>
      <c r="B36" s="181">
        <f>'Données projet'!D49</f>
        <v>28</v>
      </c>
      <c r="C36" s="193">
        <v>41</v>
      </c>
      <c r="D36" s="182">
        <f t="shared" si="2"/>
        <v>1148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90</v>
      </c>
      <c r="B37" s="181">
        <f>'Données projet'!D50</f>
        <v>28</v>
      </c>
      <c r="C37" s="193">
        <v>41</v>
      </c>
      <c r="D37" s="182">
        <f t="shared" si="2"/>
        <v>1148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95</v>
      </c>
      <c r="B38" s="181">
        <f>'Données projet'!D51</f>
        <v>28</v>
      </c>
      <c r="C38" s="193">
        <v>41</v>
      </c>
      <c r="D38" s="182">
        <f t="shared" si="2"/>
        <v>1148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100</v>
      </c>
      <c r="B39" s="181">
        <f>'Données projet'!D52</f>
        <v>333</v>
      </c>
      <c r="C39" s="193">
        <v>170.75</v>
      </c>
      <c r="D39" s="182">
        <f t="shared" si="2"/>
        <v>56859.75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Erable sycomore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1300*(0.75+1)</f>
        <v>2275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7</v>
      </c>
      <c r="C54" s="191">
        <v>0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42</v>
      </c>
      <c r="C55" s="191">
        <v>0</v>
      </c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42</v>
      </c>
      <c r="C56" s="191">
        <v>10</v>
      </c>
      <c r="D56" s="179">
        <f t="shared" si="4"/>
        <v>420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25</v>
      </c>
      <c r="B57" s="181">
        <f>'Données projet'!D65</f>
        <v>42</v>
      </c>
      <c r="C57" s="191">
        <v>10</v>
      </c>
      <c r="D57" s="179">
        <f t="shared" si="4"/>
        <v>420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42</v>
      </c>
      <c r="C58" s="191">
        <v>20</v>
      </c>
      <c r="D58" s="179">
        <f t="shared" si="4"/>
        <v>840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42</v>
      </c>
      <c r="C59" s="191">
        <v>20</v>
      </c>
      <c r="D59" s="179">
        <f t="shared" si="4"/>
        <v>840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40</v>
      </c>
      <c r="C60" s="191">
        <v>20</v>
      </c>
      <c r="D60" s="179">
        <f t="shared" si="4"/>
        <v>800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26</v>
      </c>
      <c r="C61" s="191">
        <v>20</v>
      </c>
      <c r="D61" s="179">
        <f t="shared" si="4"/>
        <v>520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21</v>
      </c>
      <c r="C62" s="191">
        <v>20</v>
      </c>
      <c r="D62" s="179">
        <f t="shared" si="4"/>
        <v>420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55</v>
      </c>
      <c r="B63" s="181">
        <f>'Données projet'!D71</f>
        <v>18</v>
      </c>
      <c r="C63" s="191">
        <v>20</v>
      </c>
      <c r="D63" s="179">
        <f t="shared" si="4"/>
        <v>360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60</v>
      </c>
      <c r="B64" s="181">
        <f>'Données projet'!D72</f>
        <v>17</v>
      </c>
      <c r="C64" s="191">
        <v>35</v>
      </c>
      <c r="D64" s="179">
        <f t="shared" si="4"/>
        <v>595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65</v>
      </c>
      <c r="B65" s="181">
        <f>'Données projet'!D73</f>
        <v>16</v>
      </c>
      <c r="C65" s="191">
        <v>35</v>
      </c>
      <c r="D65" s="179">
        <f t="shared" si="4"/>
        <v>560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70</v>
      </c>
      <c r="B66" s="181">
        <f>'Données projet'!D74</f>
        <v>15</v>
      </c>
      <c r="C66" s="191">
        <v>35</v>
      </c>
      <c r="D66" s="179">
        <f t="shared" si="4"/>
        <v>525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75</v>
      </c>
      <c r="B67" s="181">
        <f>'Données projet'!D75</f>
        <v>14</v>
      </c>
      <c r="C67" s="191">
        <v>35</v>
      </c>
      <c r="D67" s="179">
        <f t="shared" si="4"/>
        <v>490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80</v>
      </c>
      <c r="B68" s="181">
        <f>'Données projet'!D76</f>
        <v>381</v>
      </c>
      <c r="C68" s="191">
        <v>40</v>
      </c>
      <c r="D68" s="179">
        <f t="shared" si="4"/>
        <v>15240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2025-03-26T10:47:07Z</dcterms:modified>
</cp:coreProperties>
</file>