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X:\1_Clients\9_MACIF\1_GF_BALGUERIES\2_Gestion_technique\1_Dossiers_par_massifs\9_Condrine\7_certification-labels\LBC\LBC Reboisement Tranche 1\"/>
    </mc:Choice>
  </mc:AlternateContent>
  <xr:revisionPtr revIDLastSave="0" documentId="13_ncr:1_{45288706-72E0-4C73-B565-7936F6B71411}" xr6:coauthVersionLast="47" xr6:coauthVersionMax="47" xr10:uidLastSave="{00000000-0000-0000-0000-000000000000}"/>
  <bookViews>
    <workbookView xWindow="-10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81" i="6"/>
  <c r="I73" i="6"/>
  <c r="I65" i="6"/>
  <c r="I59" i="6"/>
  <c r="I53" i="6"/>
  <c r="I47" i="6"/>
  <c r="I43" i="6"/>
  <c r="I39" i="6"/>
  <c r="I35" i="6"/>
  <c r="I23" i="6"/>
  <c r="I22" i="6"/>
  <c r="I21" i="6"/>
  <c r="B44" i="1" l="1"/>
  <c r="B43" i="1"/>
  <c r="B42" i="1"/>
  <c r="B41" i="1"/>
  <c r="B40" i="1"/>
  <c r="B39" i="1"/>
  <c r="B38" i="1"/>
  <c r="B37" i="1"/>
  <c r="B36" i="1"/>
  <c r="I50" i="6" l="1"/>
  <c r="I51" i="6"/>
  <c r="I52" i="6"/>
  <c r="I54" i="6"/>
  <c r="I55" i="6"/>
  <c r="I56" i="6"/>
  <c r="I57" i="6"/>
  <c r="I58" i="6"/>
  <c r="I60" i="6"/>
  <c r="I61" i="6"/>
  <c r="I62" i="6"/>
  <c r="I63" i="6"/>
  <c r="I64" i="6"/>
  <c r="I66" i="6"/>
  <c r="I67" i="6"/>
  <c r="I68" i="6"/>
  <c r="I69" i="6"/>
  <c r="I70" i="6"/>
  <c r="I71" i="6"/>
  <c r="I72" i="6"/>
  <c r="I74" i="6"/>
  <c r="I75" i="6"/>
  <c r="I76" i="6"/>
  <c r="I77" i="6"/>
  <c r="I78" i="6"/>
  <c r="I79" i="6"/>
  <c r="I80" i="6"/>
  <c r="I49" i="6"/>
  <c r="I48" i="6"/>
  <c r="I46" i="6"/>
  <c r="I45" i="6"/>
  <c r="I44" i="6"/>
  <c r="I42" i="6"/>
  <c r="I41" i="6"/>
  <c r="I40" i="6"/>
  <c r="I38" i="6"/>
  <c r="I37" i="6"/>
  <c r="I36" i="6"/>
  <c r="I34" i="6"/>
  <c r="I33" i="6"/>
  <c r="I32" i="6"/>
  <c r="I31" i="6"/>
  <c r="I30" i="6"/>
  <c r="I29" i="6"/>
  <c r="I28" i="6"/>
  <c r="I27" i="6"/>
  <c r="I26" i="6"/>
  <c r="I25" i="6"/>
  <c r="I2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Q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EV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EC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C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H85" i="2"/>
  <c r="EC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W113" i="2"/>
  <c r="HI113" i="2"/>
  <c r="EC113" i="2"/>
  <c r="EX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I130" i="2"/>
  <c r="FS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A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EX155" i="2"/>
  <c r="EA155" i="2"/>
  <c r="DI154" i="2"/>
  <c r="HG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FS156" i="2"/>
  <c r="HH156" i="2"/>
  <c r="EX156" i="2"/>
  <c r="EB156" i="2"/>
  <c r="D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C158" i="2"/>
  <c r="EW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ED159" i="2"/>
  <c r="HI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FS161" i="2"/>
  <c r="EX161" i="2"/>
  <c r="EA161" i="2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C162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B163" i="2"/>
  <c r="HG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D163" i="2"/>
  <c r="DH164" i="2"/>
  <c r="HG164" i="2"/>
  <c r="HH164" i="2"/>
  <c r="EA164" i="2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B167" i="2"/>
  <c r="DG167" i="2"/>
  <c r="EA167" i="2"/>
  <c r="HH167" i="2"/>
  <c r="FR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I172" i="2"/>
  <c r="EW172" i="2"/>
  <c r="EV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HJ172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A175" i="2"/>
  <c r="HI175" i="2"/>
  <c r="A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HH178" i="2"/>
  <c r="EW178" i="2"/>
  <c r="FQ178" i="2"/>
  <c r="HG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EW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HH186" i="2"/>
  <c r="EW186" i="2"/>
  <c r="EA186" i="2"/>
  <c r="EB186" i="2"/>
  <c r="ED185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HH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EW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HI192" i="2"/>
  <c r="EV192" i="2"/>
  <c r="EB192" i="2"/>
  <c r="HH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DI192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ED193" i="2"/>
  <c r="CN193" i="2"/>
  <c r="EA194" i="2"/>
  <c r="EB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FQ195" i="2"/>
  <c r="ED194" i="2"/>
  <c r="EA195" i="2"/>
  <c r="DH195" i="2"/>
  <c r="HI195" i="2"/>
  <c r="EB195" i="2"/>
  <c r="HG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A197" i="2"/>
  <c r="HG197" i="2"/>
  <c r="EW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A199" i="2"/>
  <c r="HH199" i="2"/>
  <c r="HG199" i="2"/>
  <c r="HJ199" i="2" s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B201" i="2"/>
  <c r="ED200" i="2"/>
  <c r="DI200" i="2"/>
  <c r="FS201" i="2"/>
  <c r="EA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FS202" i="2"/>
  <c r="EX202" i="2"/>
  <c r="EW202" i="2"/>
  <c r="FR202" i="2"/>
  <c r="HH202" i="2"/>
  <c r="HG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35" i="2" a="1"/>
  <c r="FY35" i="2" s="1"/>
  <c r="FY29" i="2" a="1"/>
  <c r="FY29" i="2" s="1"/>
  <c r="FY69" i="2" a="1"/>
  <c r="FY69" i="2" s="1"/>
  <c r="FY102" i="2" a="1"/>
  <c r="FY102" i="2" s="1"/>
  <c r="FY186" i="2" a="1"/>
  <c r="FY186" i="2" s="1"/>
  <c r="FY152" i="2" a="1"/>
  <c r="FY152" i="2" s="1"/>
  <c r="FY78" i="2" a="1"/>
  <c r="FY78" i="2" s="1"/>
  <c r="FY28" i="2" a="1"/>
  <c r="FY28" i="2" s="1"/>
  <c r="FY190" i="2" a="1"/>
  <c r="FY190" i="2" s="1"/>
  <c r="FY62" i="2" a="1"/>
  <c r="FY62" i="2" s="1"/>
  <c r="FY104" i="2" a="1"/>
  <c r="FY104" i="2" s="1"/>
  <c r="FY172" i="2" a="1"/>
  <c r="FY172" i="2" s="1"/>
  <c r="GT133" i="2" a="1"/>
  <c r="GT133" i="2" s="1"/>
  <c r="CS52" i="2" a="1"/>
  <c r="CS52" i="2" s="1"/>
  <c r="CS129" i="2" a="1"/>
  <c r="CS129" i="2" s="1"/>
  <c r="DN41" i="2" a="1"/>
  <c r="DN41" i="2" s="1"/>
  <c r="CS137" i="2" a="1"/>
  <c r="CS137" i="2" s="1"/>
  <c r="CS77" i="2" a="1"/>
  <c r="CS77" i="2" s="1"/>
  <c r="CS161" i="2" a="1"/>
  <c r="CS161" i="2" s="1"/>
  <c r="CS105" i="2" a="1"/>
  <c r="CS105" i="2" s="1"/>
  <c r="FY58" i="2" a="1"/>
  <c r="FY58" i="2" s="1"/>
  <c r="FY196" i="2" a="1"/>
  <c r="FY196" i="2" s="1"/>
  <c r="FY30" i="2" a="1"/>
  <c r="FY30" i="2" s="1"/>
  <c r="FY80" i="2" a="1"/>
  <c r="FY80" i="2" s="1"/>
  <c r="FD188" i="2" a="1"/>
  <c r="FD188" i="2" s="1"/>
  <c r="FD48" i="2" a="1"/>
  <c r="FD48" i="2" s="1"/>
  <c r="FD14" i="2" a="1"/>
  <c r="FD14" i="2" s="1"/>
  <c r="FD167" i="2" a="1"/>
  <c r="FD167" i="2" s="1"/>
  <c r="FD107" i="2" a="1"/>
  <c r="FD107" i="2" s="1"/>
  <c r="FD159" i="2" a="1"/>
  <c r="FD159" i="2" s="1"/>
  <c r="FD137" i="2" a="1"/>
  <c r="FD137" i="2" s="1"/>
  <c r="FD194" i="2" a="1"/>
  <c r="FD194" i="2" s="1"/>
  <c r="DN63" i="2" a="1"/>
  <c r="DN63" i="2" s="1"/>
  <c r="CS120" i="2" a="1"/>
  <c r="CS120" i="2" s="1"/>
  <c r="GT12" i="2" a="1"/>
  <c r="GT12" i="2" s="1"/>
  <c r="GT191" i="2" a="1"/>
  <c r="GT191" i="2" s="1"/>
  <c r="DN168" i="2" a="1"/>
  <c r="DN168" i="2" s="1"/>
  <c r="CS185" i="2" a="1"/>
  <c r="CS185" i="2" s="1"/>
  <c r="CS56" i="2" a="1"/>
  <c r="CS56" i="2" s="1"/>
  <c r="CS114" i="2" a="1"/>
  <c r="CS114" i="2" s="1"/>
  <c r="DN65" i="2" a="1"/>
  <c r="DN65" i="2" s="1"/>
  <c r="DN6" i="2" a="1"/>
  <c r="DN6" i="2" s="1"/>
  <c r="DO6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BC82" i="2" l="1" a="1"/>
  <c r="BC82" i="2" s="1"/>
  <c r="BC83" i="2" a="1"/>
  <c r="BC83" i="2" s="1"/>
  <c r="BC164" i="2" a="1"/>
  <c r="BC164" i="2" s="1"/>
  <c r="HJ202" i="2"/>
  <c r="FS203" i="2"/>
  <c r="EY202" i="2"/>
  <c r="AH163" i="2" a="1"/>
  <c r="AH163" i="2" s="1"/>
  <c r="AH199" i="2" a="1"/>
  <c r="AH199" i="2" s="1"/>
  <c r="AH151" i="2" a="1"/>
  <c r="AH151" i="2" s="1"/>
  <c r="GT190" i="2" a="1"/>
  <c r="GT190" i="2" s="1"/>
  <c r="GT21" i="2" a="1"/>
  <c r="GT21" i="2" s="1"/>
  <c r="GT33" i="2" a="1"/>
  <c r="GT33" i="2" s="1"/>
  <c r="GT115" i="2" a="1"/>
  <c r="GT115" i="2" s="1"/>
  <c r="GT38" i="2" a="1"/>
  <c r="GT38" i="2" s="1"/>
  <c r="GT121" i="2" a="1"/>
  <c r="GT121" i="2" s="1"/>
  <c r="GT126" i="2" a="1"/>
  <c r="GT126" i="2" s="1"/>
  <c r="GT122" i="2" a="1"/>
  <c r="GT122" i="2" s="1"/>
  <c r="GT74" i="2" a="1"/>
  <c r="GT74" i="2" s="1"/>
  <c r="GT11" i="2" a="1"/>
  <c r="GT11" i="2" s="1"/>
  <c r="GT51" i="2" a="1"/>
  <c r="GT51" i="2" s="1"/>
  <c r="GT15" i="2" a="1"/>
  <c r="GT15" i="2" s="1"/>
  <c r="GT138" i="2" a="1"/>
  <c r="GT138" i="2" s="1"/>
  <c r="GT178" i="2" a="1"/>
  <c r="GT178" i="2" s="1"/>
  <c r="GT102" i="2" a="1"/>
  <c r="GT102" i="2" s="1"/>
  <c r="GT68" i="2" a="1"/>
  <c r="GT68" i="2" s="1"/>
  <c r="GT107" i="2" a="1"/>
  <c r="GT107" i="2" s="1"/>
  <c r="GT189" i="2" a="1"/>
  <c r="GT189" i="2" s="1"/>
  <c r="GT147" i="2" a="1"/>
  <c r="GT147" i="2" s="1"/>
  <c r="GT181" i="2" a="1"/>
  <c r="GT181" i="2" s="1"/>
  <c r="GT174" i="2" a="1"/>
  <c r="GT174" i="2" s="1"/>
  <c r="GT198" i="2" a="1"/>
  <c r="GT198" i="2" s="1"/>
  <c r="GT152" i="2" a="1"/>
  <c r="GT152" i="2" s="1"/>
  <c r="GT184" i="2" a="1"/>
  <c r="GT184" i="2" s="1"/>
  <c r="DN70" i="2" a="1"/>
  <c r="DN70" i="2" s="1"/>
  <c r="DN56" i="2" a="1"/>
  <c r="DN56" i="2" s="1"/>
  <c r="DN49" i="2" a="1"/>
  <c r="DN49" i="2" s="1"/>
  <c r="AH62" i="2" a="1"/>
  <c r="AH62" i="2" s="1"/>
  <c r="CS116" i="2" a="1"/>
  <c r="CS116" i="2" s="1"/>
  <c r="CS66" i="2" a="1"/>
  <c r="CS66" i="2" s="1"/>
  <c r="DN164" i="2" a="1"/>
  <c r="DN164" i="2" s="1"/>
  <c r="DN150" i="2" a="1"/>
  <c r="DN150" i="2" s="1"/>
  <c r="DN155" i="2" a="1"/>
  <c r="DN155" i="2" s="1"/>
  <c r="AH166" i="2" a="1"/>
  <c r="AH166" i="2" s="1"/>
  <c r="DN153" i="2" a="1"/>
  <c r="DN153" i="2" s="1"/>
  <c r="AH19" i="2" a="1"/>
  <c r="AH19" i="2" s="1"/>
  <c r="DN170" i="2" a="1"/>
  <c r="DN170" i="2" s="1"/>
  <c r="CS38" i="2" a="1"/>
  <c r="CS38" i="2" s="1"/>
  <c r="AH90" i="2" a="1"/>
  <c r="AH90" i="2" s="1"/>
  <c r="DN29" i="2" a="1"/>
  <c r="DN29" i="2" s="1"/>
  <c r="EI106" i="2" a="1"/>
  <c r="EI106" i="2" s="1"/>
  <c r="EI128" i="2" a="1"/>
  <c r="EI128" i="2" s="1"/>
  <c r="EI109" i="2" a="1"/>
  <c r="EI109" i="2" s="1"/>
  <c r="DN133" i="2" a="1"/>
  <c r="DN133" i="2" s="1"/>
  <c r="DN162" i="2" a="1"/>
  <c r="DN162" i="2" s="1"/>
  <c r="EI113" i="2" a="1"/>
  <c r="EI113" i="2" s="1"/>
  <c r="EI87" i="2" a="1"/>
  <c r="EI87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AH92" i="2" a="1"/>
  <c r="AH92" i="2" s="1"/>
  <c r="HG203" i="2"/>
  <c r="EI37" i="2" a="1"/>
  <c r="EI37" i="2" s="1"/>
  <c r="EI153" i="2" a="1"/>
  <c r="EI153" i="2" s="1"/>
  <c r="DN30" i="2" a="1"/>
  <c r="DN30" i="2" s="1"/>
  <c r="EI35" i="2" a="1"/>
  <c r="EI35" i="2" s="1"/>
  <c r="DN114" i="2" a="1"/>
  <c r="DN114" i="2" s="1"/>
  <c r="DN192" i="2" a="1"/>
  <c r="DN192" i="2" s="1"/>
  <c r="DN129" i="2" a="1"/>
  <c r="DN129" i="2" s="1"/>
  <c r="DN43" i="2" a="1"/>
  <c r="DN43" i="2" s="1"/>
  <c r="EI142" i="2" a="1"/>
  <c r="EI142" i="2" s="1"/>
  <c r="EI166" i="2" a="1"/>
  <c r="EI166" i="2" s="1"/>
  <c r="DN187" i="2" a="1"/>
  <c r="DN187" i="2" s="1"/>
  <c r="DN135" i="2" a="1"/>
  <c r="DN135" i="2" s="1"/>
  <c r="DN46" i="2" a="1"/>
  <c r="DN46" i="2" s="1"/>
  <c r="DN38" i="2" a="1"/>
  <c r="DN38" i="2" s="1"/>
  <c r="EI139" i="2" a="1"/>
  <c r="EI139" i="2" s="1"/>
  <c r="EI165" i="2" a="1"/>
  <c r="EI165" i="2" s="1"/>
  <c r="DN103" i="2" a="1"/>
  <c r="DN103" i="2" s="1"/>
  <c r="DN66" i="2" a="1"/>
  <c r="DN66" i="2" s="1"/>
  <c r="DN50" i="2" a="1"/>
  <c r="DN50" i="2" s="1"/>
  <c r="DN186" i="2" a="1"/>
  <c r="DN186" i="2" s="1"/>
  <c r="EI178" i="2" a="1"/>
  <c r="EI178" i="2" s="1"/>
  <c r="EI198" i="2" a="1"/>
  <c r="EI198" i="2" s="1"/>
  <c r="DN55" i="2" a="1"/>
  <c r="DN55" i="2" s="1"/>
  <c r="EI34" i="2" a="1"/>
  <c r="EI34" i="2" s="1"/>
  <c r="DN110" i="2" a="1"/>
  <c r="DN110" i="2" s="1"/>
  <c r="DN31" i="2" a="1"/>
  <c r="DN31" i="2" s="1"/>
  <c r="EI67" i="2" a="1"/>
  <c r="EI67" i="2" s="1"/>
  <c r="EI71" i="2" a="1"/>
  <c r="EI71" i="2" s="1"/>
  <c r="DN188" i="2" a="1"/>
  <c r="DN188" i="2" s="1"/>
  <c r="DN113" i="2" a="1"/>
  <c r="DN113" i="2" s="1"/>
  <c r="DN137" i="2" a="1"/>
  <c r="DN137" i="2" s="1"/>
  <c r="EI145" i="2" a="1"/>
  <c r="EI145" i="2" s="1"/>
  <c r="EI20" i="2" a="1"/>
  <c r="EI20" i="2" s="1"/>
  <c r="DN176" i="2" a="1"/>
  <c r="DN176" i="2" s="1"/>
  <c r="DN167" i="2" a="1"/>
  <c r="DN167" i="2" s="1"/>
  <c r="EI170" i="2" a="1"/>
  <c r="EI170" i="2" s="1"/>
  <c r="EI57" i="2" a="1"/>
  <c r="EI57" i="2" s="1"/>
  <c r="DN86" i="2" a="1"/>
  <c r="DN86" i="2" s="1"/>
  <c r="DN25" i="2" a="1"/>
  <c r="DN25" i="2" s="1"/>
  <c r="EI162" i="2" a="1"/>
  <c r="EI162" i="2" s="1"/>
  <c r="BP203" i="2"/>
  <c r="HH203" i="2"/>
  <c r="EI38" i="2" a="1"/>
  <c r="EI38" i="2" s="1"/>
  <c r="DN45" i="2" a="1"/>
  <c r="DN45" i="2" s="1"/>
  <c r="DN190" i="2" a="1"/>
  <c r="DN190" i="2" s="1"/>
  <c r="DN16" i="2" a="1"/>
  <c r="DN16" i="2" s="1"/>
  <c r="DN80" i="2" a="1"/>
  <c r="DN80" i="2" s="1"/>
  <c r="EI16" i="2" a="1"/>
  <c r="EI16" i="2" s="1"/>
  <c r="EI36" i="2" a="1"/>
  <c r="EI36" i="2" s="1"/>
  <c r="DN123" i="2" a="1"/>
  <c r="DN123" i="2" s="1"/>
  <c r="DN177" i="2" a="1"/>
  <c r="DN177" i="2" s="1"/>
  <c r="DN184" i="2" a="1"/>
  <c r="DN184" i="2" s="1"/>
  <c r="EI150" i="2" a="1"/>
  <c r="EI150" i="2" s="1"/>
  <c r="BC47" i="2" a="1"/>
  <c r="BC47" i="2" s="1"/>
  <c r="BC151" i="2" a="1"/>
  <c r="BC151" i="2" s="1"/>
  <c r="BC7" i="2" a="1"/>
  <c r="BC7" i="2" s="1"/>
  <c r="BD7" i="2" s="1"/>
  <c r="BC55" i="2" a="1"/>
  <c r="BC55" i="2" s="1"/>
  <c r="FD44" i="2" a="1"/>
  <c r="FD44" i="2" s="1"/>
  <c r="FY42" i="2" a="1"/>
  <c r="FY42" i="2" s="1"/>
  <c r="BC68" i="2" a="1"/>
  <c r="BC68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BC185" i="2" a="1"/>
  <c r="BC185" i="2" s="1"/>
  <c r="BC130" i="2" a="1"/>
  <c r="BC130" i="2" s="1"/>
  <c r="BC117" i="2" a="1"/>
  <c r="BC117" i="2" s="1"/>
  <c r="BC58" i="2" a="1"/>
  <c r="BC58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BC143" i="2" a="1"/>
  <c r="BC143" i="2" s="1"/>
  <c r="FD187" i="2" a="1"/>
  <c r="FD187" i="2" s="1"/>
  <c r="FD131" i="2" a="1"/>
  <c r="FD131" i="2" s="1"/>
  <c r="FD60" i="2" a="1"/>
  <c r="FD60" i="2" s="1"/>
  <c r="FY82" i="2" a="1"/>
  <c r="FY82" i="2" s="1"/>
  <c r="BC181" i="2" a="1"/>
  <c r="BC181" i="2" s="1"/>
  <c r="BC34" i="2" a="1"/>
  <c r="BC34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BC192" i="2" a="1"/>
  <c r="BC192" i="2" s="1"/>
  <c r="BC31" i="2" a="1"/>
  <c r="BC31" i="2" s="1"/>
  <c r="FD43" i="2" a="1"/>
  <c r="FD43" i="2" s="1"/>
  <c r="FY121" i="2" a="1"/>
  <c r="FY121" i="2" s="1"/>
  <c r="FY182" i="2" a="1"/>
  <c r="FY182" i="2" s="1"/>
  <c r="BC65" i="2" a="1"/>
  <c r="BC6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BC18" i="2" a="1"/>
  <c r="BC18" i="2" s="1"/>
  <c r="BC84" i="2" a="1"/>
  <c r="BC84" i="2" s="1"/>
  <c r="FD19" i="2" a="1"/>
  <c r="FD19" i="2" s="1"/>
  <c r="FD64" i="2" a="1"/>
  <c r="FD64" i="2" s="1"/>
  <c r="FY167" i="2" a="1"/>
  <c r="FY167" i="2" s="1"/>
  <c r="FY115" i="2" a="1"/>
  <c r="FY115" i="2" s="1"/>
  <c r="BC114" i="2" a="1"/>
  <c r="BC114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BC38" i="2" a="1"/>
  <c r="BC38" i="2" s="1"/>
  <c r="BC32" i="2" a="1"/>
  <c r="BC32" i="2" s="1"/>
  <c r="FD160" i="2" a="1"/>
  <c r="FD160" i="2" s="1"/>
  <c r="FD189" i="2" a="1"/>
  <c r="FD189" i="2" s="1"/>
  <c r="FY142" i="2" a="1"/>
  <c r="FY142" i="2" s="1"/>
  <c r="FY86" i="2" a="1"/>
  <c r="FY86" i="2" s="1"/>
  <c r="BC126" i="2" a="1"/>
  <c r="BC12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<sst xmlns="http://schemas.openxmlformats.org/spreadsheetml/2006/main" count="1177" uniqueCount="324">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</sst>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2.478119393861888</c:v>
                </c:pt>
                <c:pt idx="2">
                  <c:v>2.9527425964063188</c:v>
                </c:pt>
                <c:pt idx="3">
                  <c:v>3.5186065327909621</c:v>
                </c:pt>
                <c:pt idx="4">
                  <c:v>4.1933125811030143</c:v>
                </c:pt>
                <c:pt idx="5">
                  <c:v>4.9978687367477814</c:v>
                </c:pt>
                <c:pt idx="6">
                  <c:v>5.9573509411136714</c:v>
                </c:pt>
                <c:pt idx="7">
                  <c:v>7.1016931542572657</c:v>
                </c:pt>
                <c:pt idx="8">
                  <c:v>8.4666312992933879</c:v>
                </c:pt>
                <c:pt idx="9">
                  <c:v>10.094831122001354</c:v>
                </c:pt>
                <c:pt idx="10">
                  <c:v>12.037235888739211</c:v>
                </c:pt>
                <c:pt idx="11">
                  <c:v>14.354676878402325</c:v>
                </c:pt>
                <c:pt idx="12">
                  <c:v>17.119798036432517</c:v>
                </c:pt>
                <c:pt idx="13">
                  <c:v>20.419356221931722</c:v>
                </c:pt>
                <c:pt idx="14">
                  <c:v>24.35697051729559</c:v>
                </c:pt>
                <c:pt idx="15">
                  <c:v>29.056408471900628</c:v>
                </c:pt>
                <c:pt idx="16">
                  <c:v>34.665514382207711</c:v>
                </c:pt>
                <c:pt idx="17">
                  <c:v>41.360905326743577</c:v>
                </c:pt>
                <c:pt idx="18">
                  <c:v>49.353585342024054</c:v>
                </c:pt>
                <c:pt idx="19">
                  <c:v>58.895657642143874</c:v>
                </c:pt>
                <c:pt idx="20">
                  <c:v>70.288350105273665</c:v>
                </c:pt>
                <c:pt idx="21">
                  <c:v>77.115721108744836</c:v>
                </c:pt>
                <c:pt idx="22">
                  <c:v>83.927716731965816</c:v>
                </c:pt>
                <c:pt idx="23">
                  <c:v>90.725763926973229</c:v>
                </c:pt>
                <c:pt idx="24">
                  <c:v>97.511057643942991</c:v>
                </c:pt>
                <c:pt idx="25">
                  <c:v>104.28461245280984</c:v>
                </c:pt>
                <c:pt idx="26">
                  <c:v>91.083193034949701</c:v>
                </c:pt>
                <c:pt idx="27">
                  <c:v>97.511057643942991</c:v>
                </c:pt>
                <c:pt idx="28">
                  <c:v>103.92838758980963</c:v>
                </c:pt>
                <c:pt idx="29">
                  <c:v>110.33592656570862</c:v>
                </c:pt>
                <c:pt idx="30">
                  <c:v>116.73432460418319</c:v>
                </c:pt>
                <c:pt idx="31">
                  <c:v>110.69162732463077</c:v>
                </c:pt>
                <c:pt idx="32">
                  <c:v>117.08953497430657</c:v>
                </c:pt>
                <c:pt idx="33">
                  <c:v>123.47890428692081</c:v>
                </c:pt>
                <c:pt idx="34">
                  <c:v>129.86024032294594</c:v>
                </c:pt>
                <c:pt idx="35">
                  <c:v>136.23399433545887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E35" sqref="E3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3" zoomScale="90" zoomScaleNormal="90" workbookViewId="0">
      <selection activeCell="D88" sqref="D8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150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0.64</v>
      </c>
      <c r="D9" s="33">
        <f t="shared" ref="D9:D18" si="0">C9*$C$5</f>
        <v>96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0.23</v>
      </c>
      <c r="D10" s="33">
        <f t="shared" si="0"/>
        <v>34.5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0.1</v>
      </c>
      <c r="D11" s="33">
        <f t="shared" si="0"/>
        <v>15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Corrigez : révolution incorrecte</v>
      </c>
      <c r="I11" s="226"/>
      <c r="J11" s="220"/>
      <c r="K11" s="220"/>
      <c r="L11" s="220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10</v>
      </c>
      <c r="C12" s="32">
        <v>8.5000000000000006E-3</v>
      </c>
      <c r="D12" s="33">
        <f t="shared" si="0"/>
        <v>1.2750000000000001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H12" s="220"/>
      <c r="I12" s="226"/>
      <c r="J12" s="220"/>
      <c r="K12" s="220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15</v>
      </c>
      <c r="C13" s="32">
        <v>6.0000000000000001E-3</v>
      </c>
      <c r="D13" s="33">
        <f t="shared" si="0"/>
        <v>0.9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H13" s="220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16</v>
      </c>
      <c r="C14" s="32">
        <v>8.5000000000000006E-3</v>
      </c>
      <c r="D14" s="33">
        <f t="shared" si="0"/>
        <v>1.2750000000000001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</v>
      </c>
      <c r="C15" s="32">
        <v>3.0000000000000001E-3</v>
      </c>
      <c r="D15" s="33">
        <f t="shared" si="0"/>
        <v>0.45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39</v>
      </c>
      <c r="C16" s="32">
        <v>2E-3</v>
      </c>
      <c r="D16" s="33">
        <f t="shared" si="0"/>
        <v>0.3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41</v>
      </c>
      <c r="C17" s="32">
        <v>2E-3</v>
      </c>
      <c r="D17" s="33">
        <f t="shared" si="0"/>
        <v>0.3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150.00000000000003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E21" s="257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16</v>
      </c>
      <c r="B36" s="60">
        <f>66+15</f>
        <v>81</v>
      </c>
      <c r="C36" s="60">
        <v>1</v>
      </c>
      <c r="D36" s="60">
        <v>15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5.0625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97+22</f>
        <v>119</v>
      </c>
      <c r="C37" s="60">
        <v>2</v>
      </c>
      <c r="D37" s="60">
        <v>22</v>
      </c>
      <c r="E37" s="51">
        <v>0.2</v>
      </c>
      <c r="F37" s="51">
        <v>0.4</v>
      </c>
      <c r="G37" s="51">
        <v>0.4</v>
      </c>
      <c r="H37" s="51">
        <v>0</v>
      </c>
      <c r="I37" s="53">
        <f t="shared" ref="I37:I55" si="1">IF(A37&lt;&gt;0,(B37-(B36-D36))/(A37-A36),"")</f>
        <v>13.25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126+31</f>
        <v>157</v>
      </c>
      <c r="C38" s="60">
        <v>3</v>
      </c>
      <c r="D38" s="60">
        <v>31</v>
      </c>
      <c r="E38" s="51">
        <v>0.3</v>
      </c>
      <c r="F38" s="51">
        <v>0.35</v>
      </c>
      <c r="G38" s="51">
        <v>0.35</v>
      </c>
      <c r="H38" s="51">
        <v>0</v>
      </c>
      <c r="I38" s="53">
        <f t="shared" si="1"/>
        <v>15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28</v>
      </c>
      <c r="B39" s="60">
        <f>155+35</f>
        <v>190</v>
      </c>
      <c r="C39" s="60">
        <v>4</v>
      </c>
      <c r="D39" s="60">
        <v>35</v>
      </c>
      <c r="E39" s="51">
        <v>0.4</v>
      </c>
      <c r="F39" s="51">
        <v>0.3</v>
      </c>
      <c r="G39" s="51">
        <v>0.3</v>
      </c>
      <c r="H39" s="51">
        <v>0</v>
      </c>
      <c r="I39" s="49">
        <f t="shared" si="1"/>
        <v>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34</v>
      </c>
      <c r="B40" s="60">
        <f>198+46</f>
        <v>244</v>
      </c>
      <c r="C40" s="60">
        <v>5</v>
      </c>
      <c r="D40" s="60">
        <v>46</v>
      </c>
      <c r="E40" s="51">
        <v>0.5</v>
      </c>
      <c r="F40" s="51">
        <v>0.25</v>
      </c>
      <c r="G40" s="51">
        <v>0.25</v>
      </c>
      <c r="H40" s="51">
        <v>0</v>
      </c>
      <c r="I40" s="49">
        <f t="shared" si="1"/>
        <v>14.833333333333334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234+41</f>
        <v>275</v>
      </c>
      <c r="C41" s="60">
        <v>6</v>
      </c>
      <c r="D41" s="60">
        <v>41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12.833333333333334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46</v>
      </c>
      <c r="B42" s="60">
        <f>264+29</f>
        <v>293</v>
      </c>
      <c r="C42" s="60">
        <v>7</v>
      </c>
      <c r="D42" s="60">
        <v>29</v>
      </c>
      <c r="E42" s="51">
        <v>0.7</v>
      </c>
      <c r="F42" s="51">
        <v>0.15</v>
      </c>
      <c r="G42" s="51">
        <v>0.15</v>
      </c>
      <c r="H42" s="51">
        <v>0</v>
      </c>
      <c r="I42" s="53">
        <f t="shared" si="1"/>
        <v>9.8333333333333339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295+16</f>
        <v>311</v>
      </c>
      <c r="C43" s="60">
        <v>8</v>
      </c>
      <c r="D43" s="60">
        <v>16</v>
      </c>
      <c r="E43" s="51">
        <v>0.75</v>
      </c>
      <c r="F43" s="51">
        <v>0.1</v>
      </c>
      <c r="G43" s="51">
        <v>0.15</v>
      </c>
      <c r="H43" s="51">
        <v>0</v>
      </c>
      <c r="I43" s="49">
        <f t="shared" si="1"/>
        <v>5.875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62</v>
      </c>
      <c r="B44" s="60">
        <f>309+7</f>
        <v>316</v>
      </c>
      <c r="C44" s="60">
        <v>9</v>
      </c>
      <c r="D44" s="60">
        <v>316</v>
      </c>
      <c r="E44" s="51">
        <v>0.8</v>
      </c>
      <c r="F44" s="51">
        <v>0.1</v>
      </c>
      <c r="G44" s="51">
        <v>0.1</v>
      </c>
      <c r="H44" s="51">
        <v>0</v>
      </c>
      <c r="I44" s="49">
        <f t="shared" si="1"/>
        <v>2.625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16</v>
      </c>
      <c r="B62" s="60">
        <v>81</v>
      </c>
      <c r="C62" s="60">
        <v>1</v>
      </c>
      <c r="D62" s="60">
        <v>15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5.0625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119</v>
      </c>
      <c r="C63" s="60">
        <v>2</v>
      </c>
      <c r="D63" s="60">
        <v>22</v>
      </c>
      <c r="E63" s="51">
        <v>0.2</v>
      </c>
      <c r="F63" s="51">
        <v>0.4</v>
      </c>
      <c r="G63" s="51">
        <v>0.4</v>
      </c>
      <c r="H63" s="51">
        <v>0</v>
      </c>
      <c r="I63" s="49">
        <f>IF(A63&lt;&gt;0,(B63-(B62-D62))/(A63-A62),"")</f>
        <v>13.25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24</v>
      </c>
      <c r="B64" s="60">
        <v>157</v>
      </c>
      <c r="C64" s="60">
        <v>3</v>
      </c>
      <c r="D64" s="60">
        <v>31</v>
      </c>
      <c r="E64" s="51">
        <v>0.3</v>
      </c>
      <c r="F64" s="51">
        <v>0.35</v>
      </c>
      <c r="G64" s="51">
        <v>0.35</v>
      </c>
      <c r="H64" s="51">
        <v>0</v>
      </c>
      <c r="I64" s="49">
        <f>IF(A64&lt;&gt;0,(B64-(B63-D63))/(A64-A63),"")</f>
        <v>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28</v>
      </c>
      <c r="B65" s="60">
        <v>190</v>
      </c>
      <c r="C65" s="60">
        <v>4</v>
      </c>
      <c r="D65" s="60">
        <v>35</v>
      </c>
      <c r="E65" s="51">
        <v>0.4</v>
      </c>
      <c r="F65" s="51">
        <v>0.3</v>
      </c>
      <c r="G65" s="51">
        <v>0.3</v>
      </c>
      <c r="H65" s="51">
        <v>0</v>
      </c>
      <c r="I65" s="49">
        <f>IF(A65&lt;&gt;0,(B65-(B64-D64))/(A65-A64),"")</f>
        <v>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34</v>
      </c>
      <c r="B66" s="60">
        <v>244</v>
      </c>
      <c r="C66" s="60">
        <v>5</v>
      </c>
      <c r="D66" s="60">
        <v>46</v>
      </c>
      <c r="E66" s="51">
        <v>0.5</v>
      </c>
      <c r="F66" s="51">
        <v>0.25</v>
      </c>
      <c r="G66" s="51">
        <v>0.25</v>
      </c>
      <c r="H66" s="51">
        <v>0</v>
      </c>
      <c r="I66" s="49">
        <f t="shared" ref="I66:I81" si="2">IF(A66&lt;&gt;0,(B66-(B65-D65))/(A66-A65),"")</f>
        <v>14.833333333333334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275</v>
      </c>
      <c r="C67" s="60">
        <v>6</v>
      </c>
      <c r="D67" s="60">
        <v>41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12.833333333333334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46</v>
      </c>
      <c r="B68" s="60">
        <v>293</v>
      </c>
      <c r="C68" s="60">
        <v>7</v>
      </c>
      <c r="D68" s="60">
        <v>29</v>
      </c>
      <c r="E68" s="51">
        <v>0.7</v>
      </c>
      <c r="F68" s="51">
        <v>0.15</v>
      </c>
      <c r="G68" s="51">
        <v>0.15</v>
      </c>
      <c r="H68" s="51">
        <v>0</v>
      </c>
      <c r="I68" s="49">
        <f t="shared" si="2"/>
        <v>9.8333333333333339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54</v>
      </c>
      <c r="B69" s="50">
        <v>311</v>
      </c>
      <c r="C69" s="50">
        <v>8</v>
      </c>
      <c r="D69" s="50">
        <v>16</v>
      </c>
      <c r="E69" s="51">
        <v>0.75</v>
      </c>
      <c r="F69" s="51">
        <v>0.1</v>
      </c>
      <c r="G69" s="51">
        <v>0.15</v>
      </c>
      <c r="H69" s="51">
        <v>0</v>
      </c>
      <c r="I69" s="49">
        <f t="shared" si="2"/>
        <v>5.875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62</v>
      </c>
      <c r="B70" s="50">
        <v>316</v>
      </c>
      <c r="C70" s="50">
        <v>9</v>
      </c>
      <c r="D70" s="50">
        <v>316</v>
      </c>
      <c r="E70" s="51">
        <v>0.8</v>
      </c>
      <c r="F70" s="51">
        <v>0.1</v>
      </c>
      <c r="G70" s="51">
        <v>0.1</v>
      </c>
      <c r="H70" s="51">
        <v>0</v>
      </c>
      <c r="I70" s="49">
        <f t="shared" si="2"/>
        <v>2.625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38</v>
      </c>
      <c r="C88" s="60"/>
      <c r="D88" s="60"/>
      <c r="E88" s="51"/>
      <c r="F88" s="51"/>
      <c r="G88" s="51"/>
      <c r="H88" s="87"/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57</v>
      </c>
      <c r="C89" s="60">
        <v>1</v>
      </c>
      <c r="D89" s="60">
        <v>11</v>
      </c>
      <c r="E89" s="51">
        <v>0</v>
      </c>
      <c r="F89" s="51">
        <v>0</v>
      </c>
      <c r="G89" s="51">
        <v>1</v>
      </c>
      <c r="H89" s="87">
        <v>0</v>
      </c>
      <c r="I89" s="53">
        <f t="shared" ref="I89:I107" si="3">IF(A89&lt;&gt;0,(B89-(B88-D88))/(A89-A88),"")</f>
        <v>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64</v>
      </c>
      <c r="C90" s="60">
        <v>2</v>
      </c>
      <c r="D90" s="60">
        <v>7</v>
      </c>
      <c r="E90" s="87">
        <v>0</v>
      </c>
      <c r="F90" s="87">
        <v>0</v>
      </c>
      <c r="G90" s="87">
        <v>1</v>
      </c>
      <c r="H90" s="87">
        <v>0</v>
      </c>
      <c r="I90" s="53">
        <f t="shared" si="3"/>
        <v>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75</v>
      </c>
      <c r="C91" s="60">
        <v>3</v>
      </c>
      <c r="D91" s="60">
        <v>75</v>
      </c>
      <c r="E91" s="87">
        <v>0</v>
      </c>
      <c r="F91" s="87">
        <v>0</v>
      </c>
      <c r="G91" s="87">
        <v>1</v>
      </c>
      <c r="H91" s="87">
        <v>0</v>
      </c>
      <c r="I91" s="53">
        <f t="shared" si="3"/>
        <v>3.6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Chêne-liège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tauzin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vert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Arbousier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Pin pignon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sylvestre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Bouleau verruqueux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Chêne-liège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Chêne tauzin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Chêne vert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>Arbousier</v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>Pin pignon</v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>Pin sylvestre</v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186.90544184210381</v>
      </c>
      <c r="T3" s="59">
        <f>IF('Données projet'!E9&gt;30,$R$33-$H$33,LOOKUP('Données projet'!$E$9,$A$3:$A$203,R3:R203)-LOOKUP('Données projet'!$E$9,$A$3:$A$203,$H$3:$H$203))</f>
        <v>202.05988514450519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186.90544184210381</v>
      </c>
      <c r="AO3" s="59">
        <f>IF('Données projet'!E10&gt;30,$AM$33-$H$33,LOOKUP('Données projet'!$E$10,$A$3:$A$203,AM3:AM203)-LOOKUP('Données projet'!$E$10,$A$3:$A$203,$H$3:$H$203))</f>
        <v>202.05988514450519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5.8584049049231908</v>
      </c>
      <c r="BJ3" s="59">
        <f>IF('Données projet'!E11&gt;30,$BH$33-$H$33,LOOKUP('Données projet'!$E$11,$A$3:$A$203,BH3:BH203)-LOOKUP('Données projet'!$E$11,$A$3:$A$203,$H$3:$H$203))</f>
        <v>42.266833200216638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0</v>
      </c>
      <c r="CE3" s="59">
        <f>IF('Données projet'!E12&gt;30,$CC$33-$H$33,LOOKUP('Données projet'!$E$12,$A$3:$A$203,CC3:CC203)-LOOKUP('Données projet'!$E$12,$A$3:$A$203,$H$3:$H$203))</f>
        <v>0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0</v>
      </c>
      <c r="CZ3" s="59">
        <f>IF('Données projet'!E13&gt;30,$CX$33-$H$33,LOOKUP('Données projet'!$E$13,$A$3:$A$203,CX3:CX203)-LOOKUP('Données projet'!$E$13,$A$3:$A$203,$H$3:$H$203))</f>
        <v>0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0</v>
      </c>
      <c r="EP3" s="59">
        <f>IF('Données projet'!E15&gt;30,$EN$33-$H$33,LOOKUP('Données projet'!$E$15,$A$3:$A$203,EN3:EN203)-LOOKUP('Données projet'!$E$15,$A$3:$A$203,$H$3:$H$203))</f>
        <v>0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0</v>
      </c>
      <c r="FK3" s="59">
        <f>IF('Données projet'!E16&gt;30,$FI$33-$H$33,LOOKUP('Données projet'!$E$16,$A$3:$A$203,FI3:FI203)-LOOKUP('Données projet'!$E$16,$A$3:$A$203,$H$3:$H$203))</f>
        <v>0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0</v>
      </c>
      <c r="GF3" s="59">
        <f>IF('Données projet'!E17&gt;30,$GD$33-$H$33,LOOKUP('Données projet'!$E$17,$A$3:$A$203,GD3:GD203)-LOOKUP('Données projet'!$E$17,$A$3:$A$203,$H$3:$H$203))</f>
        <v>0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5.0625</v>
      </c>
      <c r="N4" s="13">
        <f>IF('Données projet'!$A$36&gt;35,N3+M4-V3,IF(A4&lt;'Données projet'!$A$36,$K$205^A4,IF(A4='Données projet'!$A$36,'Données projet'!$B$36,N3+M4-V3)))</f>
        <v>1.3160740129524926</v>
      </c>
      <c r="O4" s="13">
        <f>N4*VLOOKUP('Données projet'!$B$9,Paramètres!$A$1:$I$89,3,0)*VLOOKUP('Données projet'!$B$9,Paramètres!$A$1:$I$89,5,0)</f>
        <v>0.78701225974559064</v>
      </c>
      <c r="P4" s="13">
        <f>EXP(-1.0587+0.8836*LN(O4)+0.284)</f>
        <v>0.37294201777313857</v>
      </c>
      <c r="Q4" s="20">
        <f t="shared" ref="Q4:Q34" si="2">(O4+P4)*0.475*44/12</f>
        <v>2.0202537000117871</v>
      </c>
      <c r="R4" s="59">
        <f t="shared" si="0"/>
        <v>295.35358703334509</v>
      </c>
      <c r="S4" s="59">
        <f ca="1">AVERAGE(OFFSET($R$3,0,0,'Données projet'!$E$9+1,1))-AVERAGE(OFFSET($H$3,0,0,'Données projet'!$E$9+1,1))</f>
        <v>186.90544184210381</v>
      </c>
      <c r="T4" s="59">
        <f>$T$3</f>
        <v>202.05988514450519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5.0625</v>
      </c>
      <c r="AI4" s="13">
        <f>IF('Données projet'!$A$62&gt;35,AI3+AH4-AQ3,IF(A4&lt;'Données projet'!$A$62,$AF$205^A4,IF(A4='Données projet'!$A$62,'Données projet'!$B$62,AI3+AH4-AQ3)))</f>
        <v>1.3160740129524926</v>
      </c>
      <c r="AJ4" s="13">
        <f>AI4*VLOOKUP('Données projet'!$B$10,Paramètres!$A$1:$I$89,3,0)*VLOOKUP('Données projet'!$B$10,Paramètres!$A$1:$I$89,5,0)</f>
        <v>0.78701225974559064</v>
      </c>
      <c r="AK4" s="13">
        <f>EXP(-1.0587+0.8836*LN(AJ4)+0.284)</f>
        <v>0.37294201777313857</v>
      </c>
      <c r="AL4" s="20">
        <f t="shared" ref="AL4:AL67" si="4">(AJ4+AK4)*0.475*44/12</f>
        <v>2.0202537000117871</v>
      </c>
      <c r="AM4" s="59">
        <f t="shared" ref="AM4:AM67" si="5">AL4+(AD4+AE4)*44/12</f>
        <v>295.35358703334509</v>
      </c>
      <c r="AN4" s="59">
        <f ca="1">AVERAGE(OFFSET($AM$3,0,0,'Données projet'!$E$10+1,1))-AVERAGE(OFFSET($H$3,0,0,'Données projet'!$E$10+1,1))</f>
        <v>186.90544184210381</v>
      </c>
      <c r="AO4" s="59">
        <f>$AO$3</f>
        <v>202.05988514450519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1.199469418763945</v>
      </c>
      <c r="BE4" s="13">
        <f>BD4*VLOOKUP('Données projet'!$B$11,Paramètres!$A$1:$I$89,3,0)*VLOOKUP('Données projet'!$B$11,Paramètres!$A$1:$I$89,5,0)</f>
        <v>0.97300959250131236</v>
      </c>
      <c r="BF4" s="13">
        <f>EXP(-1.0587+0.8836*LN(BE4)+0.284)</f>
        <v>0.44983407861556124</v>
      </c>
      <c r="BG4" s="20">
        <f t="shared" ref="BG4:BG67" si="7">(BE4+BF4)*0.475*44/12</f>
        <v>2.478119393861888</v>
      </c>
      <c r="BH4" s="59">
        <f t="shared" ref="BH4:BH67" si="8">BG4+(AY4+AZ4)*44/12</f>
        <v>295.81145272719522</v>
      </c>
      <c r="BI4" s="59">
        <f ca="1">AVERAGE(OFFSET($BH$3,0,0,'Données projet'!$E$11+1,1))-AVERAGE(OFFSET($H$3,0,0,'Données projet'!$E$11+1,1))</f>
        <v>5.8584049049231908</v>
      </c>
      <c r="BJ4" s="59">
        <f>$BJ$3</f>
        <v>42.266833200216638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>
        <f>BY4*VLOOKUP('Données projet'!$B$12,Paramètres!$A$1:$I$89,3,0)*VLOOKUP('Données projet'!$B$12,Paramètres!$A$1:$I$89,5,0)</f>
        <v>0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>
        <f ca="1">AVERAGE(OFFSET($CC$3,0,0,'Données projet'!$E$12+1,1))-AVERAGE(OFFSET($H$3,0,0,'Données projet'!$E$12+1,1))</f>
        <v>0</v>
      </c>
      <c r="CE4" s="59">
        <f>$CE$3</f>
        <v>0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>
        <f>CT4*VLOOKUP('Données projet'!$B$13,Paramètres!$A$1:$I$89,3,0)*VLOOKUP('Données projet'!$B$13,Paramètres!$A$1:$I$89,5,0)</f>
        <v>0</v>
      </c>
      <c r="CV4" s="13" t="e">
        <f>EXP(-1.0587+0.8836*LN(CU4)+0.284)</f>
        <v>#NUM!</v>
      </c>
      <c r="CW4" s="20" t="e">
        <f t="shared" ref="CW4:CW67" si="13">(CU4+CV4)*0.475*44/12</f>
        <v>#NUM!</v>
      </c>
      <c r="CX4" s="59" t="e">
        <f t="shared" ref="CX4:CX67" si="14">CW4+(CO4+CP4)*44/12</f>
        <v>#NUM!</v>
      </c>
      <c r="CY4" s="59">
        <f ca="1">AVERAGE(OFFSET($CX$3,0,0,'Données projet'!$E$13+1,1))-AVERAGE(OFFSET($H$3,0,0,'Données projet'!$E$13+1,1))</f>
        <v>0</v>
      </c>
      <c r="CZ4" s="59">
        <f>$CZ$3</f>
        <v>0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>
        <f>EJ4*VLOOKUP('Données projet'!$B$15,Paramètres!$A$1:$I$89,3,0)*VLOOKUP('Données projet'!$B$15,Paramètres!$A$1:$I$89,5,0)</f>
        <v>0</v>
      </c>
      <c r="EL4" s="13" t="e">
        <f>EXP(-1.0587+0.8836*LN(EK4)+0.284)</f>
        <v>#NUM!</v>
      </c>
      <c r="EM4" s="20" t="e">
        <f t="shared" ref="EM4:EM67" si="19">(EK4+EL4)*0.475*44/12</f>
        <v>#NUM!</v>
      </c>
      <c r="EN4" s="59" t="e">
        <f t="shared" ref="EN4:EN67" si="20">EM4+(EE4+EF4)*44/12</f>
        <v>#NUM!</v>
      </c>
      <c r="EO4" s="59">
        <f ca="1">AVERAGE(OFFSET($EN$3,0,0,'Données projet'!$E$15+1,1))-AVERAGE(OFFSET($H$3,0,0,'Données projet'!$E$15+1,1))</f>
        <v>0</v>
      </c>
      <c r="EP4" s="59">
        <f>$EP$3</f>
        <v>0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>
        <f>FE4*VLOOKUP('Données projet'!$B$16,Paramètres!$A$1:$I$89,3,0)*VLOOKUP('Données projet'!$B$16,Paramètres!$A$1:$I$89,5,0)</f>
        <v>0</v>
      </c>
      <c r="FG4" s="13" t="e">
        <f>EXP(-1.0587+0.8836*LN(FF4)+0.284)</f>
        <v>#NUM!</v>
      </c>
      <c r="FH4" s="20" t="e">
        <f t="shared" ref="FH4:FH67" si="22">(FF4+FG4)*0.475*44/12</f>
        <v>#NUM!</v>
      </c>
      <c r="FI4" s="59" t="e">
        <f t="shared" ref="FI4:FI67" si="23">FH4+(EZ4+FA4)*44/12</f>
        <v>#NUM!</v>
      </c>
      <c r="FJ4" s="59">
        <f ca="1">AVERAGE(OFFSET($FI$3,0,0,'Données projet'!$E$16+1,1))-AVERAGE(OFFSET($H$3,0,0,'Données projet'!$E$16+1,1))</f>
        <v>0</v>
      </c>
      <c r="FK4" s="59">
        <f>$FK$3</f>
        <v>0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>
        <f>FZ4*VLOOKUP('Données projet'!$B$17,Paramètres!$A$1:$I$89,3,0)*VLOOKUP('Données projet'!$B$17,Paramètres!$A$1:$I$89,5,0)</f>
        <v>0</v>
      </c>
      <c r="GB4" s="13" t="e">
        <f>EXP(-1.0587+0.8836*LN(GA4)+0.284)</f>
        <v>#NUM!</v>
      </c>
      <c r="GC4" s="20" t="e">
        <f t="shared" ref="GC4:GC67" si="25">(GA4+GB4)*0.475*44/12</f>
        <v>#NUM!</v>
      </c>
      <c r="GD4" s="59" t="e">
        <f t="shared" ref="GD4:GD67" si="26">GC4+(FU4+FV4)*44/12</f>
        <v>#NUM!</v>
      </c>
      <c r="GE4" s="59">
        <f ca="1">AVERAGE(OFFSET($GD$3,0,0,'Données projet'!$E$17+1,1))-AVERAGE(OFFSET($H$3,0,0,'Données projet'!$E$17+1,1))</f>
        <v>0</v>
      </c>
      <c r="GF4" s="59">
        <f>$GF$3</f>
        <v>0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5.0625</v>
      </c>
      <c r="N5" s="13">
        <f>IF('Données projet'!$A$36&gt;35,N4+M5-V4,IF(A5&lt;'Données projet'!$A$36,$K$205^A5,IF(A5='Données projet'!$A$36,'Données projet'!$B$36,N4+M5-V4)))</f>
        <v>1.7320508075688776</v>
      </c>
      <c r="O5" s="13">
        <f>N5*VLOOKUP('Données projet'!$B$9,Paramètres!$A$1:$I$89,3,0)*VLOOKUP('Données projet'!$B$9,Paramètres!$A$1:$I$89,5,0)</f>
        <v>1.0357663829261889</v>
      </c>
      <c r="P5" s="13">
        <f t="shared" ref="P5:P68" si="33">EXP(-1.0587+0.8836*LN(O5)+0.284)</f>
        <v>0.47537616350524192</v>
      </c>
      <c r="Q5" s="20">
        <f t="shared" si="2"/>
        <v>2.6319066017014086</v>
      </c>
      <c r="R5" s="59">
        <f t="shared" si="0"/>
        <v>295.96523993503473</v>
      </c>
      <c r="S5" s="59">
        <f ca="1">AVERAGE(OFFSET($R$3,0,0,'Données projet'!$E$9+1,1))-AVERAGE(OFFSET($H$3,0,0,'Données projet'!$E$9+1,1))</f>
        <v>186.90544184210381</v>
      </c>
      <c r="T5" s="59">
        <f t="shared" ref="T5:T68" si="34">$T$3</f>
        <v>202.05988514450519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5.0625</v>
      </c>
      <c r="AI5" s="13">
        <f>IF('Données projet'!$A$62&gt;35,AI4+AH5-AQ4,IF(A5&lt;'Données projet'!$A$62,$AF$205^A5,IF(A5='Données projet'!$A$62,'Données projet'!$B$62,AI4+AH5-AQ4)))</f>
        <v>1.7320508075688776</v>
      </c>
      <c r="AJ5" s="13">
        <f>AI5*VLOOKUP('Données projet'!$B$10,Paramètres!$A$1:$I$89,3,0)*VLOOKUP('Données projet'!$B$10,Paramètres!$A$1:$I$89,5,0)</f>
        <v>1.0357663829261889</v>
      </c>
      <c r="AK5" s="13">
        <f t="shared" ref="AK5:AK68" si="35">EXP(-1.0587+0.8836*LN(AJ5)+0.284)</f>
        <v>0.47537616350524192</v>
      </c>
      <c r="AL5" s="20">
        <f t="shared" si="4"/>
        <v>2.6319066017014086</v>
      </c>
      <c r="AM5" s="59">
        <f t="shared" si="5"/>
        <v>295.96523993503473</v>
      </c>
      <c r="AN5" s="59">
        <f ca="1">AVERAGE(OFFSET($AM$3,0,0,'Données projet'!$E$10+1,1))-AVERAGE(OFFSET($H$3,0,0,'Données projet'!$E$10+1,1))</f>
        <v>186.90544184210381</v>
      </c>
      <c r="AO5" s="59">
        <f t="shared" ref="AO5:AO68" si="36">$AO$3</f>
        <v>202.05988514450519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1.4387268865499161</v>
      </c>
      <c r="BE5" s="13">
        <f>BD5*VLOOKUP('Données projet'!$B$11,Paramètres!$A$1:$I$89,3,0)*VLOOKUP('Données projet'!$B$11,Paramètres!$A$1:$I$89,5,0)</f>
        <v>1.167095250369292</v>
      </c>
      <c r="BF5" s="13">
        <f t="shared" ref="BF5:BF68" si="37">EXP(-1.0587+0.8836*LN(BE5)+0.284)</f>
        <v>0.52825935043816374</v>
      </c>
      <c r="BG5" s="20">
        <f t="shared" si="7"/>
        <v>2.9527425964063188</v>
      </c>
      <c r="BH5" s="59">
        <f t="shared" si="8"/>
        <v>296.28607592973964</v>
      </c>
      <c r="BI5" s="59">
        <f ca="1">AVERAGE(OFFSET($BH$3,0,0,'Données projet'!$E$11+1,1))-AVERAGE(OFFSET($H$3,0,0,'Données projet'!$E$11+1,1))</f>
        <v>5.8584049049231908</v>
      </c>
      <c r="BJ5" s="59">
        <f t="shared" ref="BJ5:BJ68" si="38">$BJ$3</f>
        <v>42.266833200216638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>
        <f>BY5*VLOOKUP('Données projet'!$B$12,Paramètres!$A$1:$I$89,3,0)*VLOOKUP('Données projet'!$B$12,Paramètres!$A$1:$I$89,5,0)</f>
        <v>0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>
        <f ca="1">AVERAGE(OFFSET($CC$3,0,0,'Données projet'!$E$12+1,1))-AVERAGE(OFFSET($H$3,0,0,'Données projet'!$E$12+1,1))</f>
        <v>0</v>
      </c>
      <c r="CE5" s="59">
        <f t="shared" ref="CE5:CE68" si="40">$CE$3</f>
        <v>0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>
        <f>CT5*VLOOKUP('Données projet'!$B$13,Paramètres!$A$1:$I$89,3,0)*VLOOKUP('Données projet'!$B$13,Paramètres!$A$1:$I$89,5,0)</f>
        <v>0</v>
      </c>
      <c r="CV5" s="13" t="e">
        <f t="shared" ref="CV5:CV68" si="41">EXP(-1.0587+0.8836*LN(CU5)+0.284)</f>
        <v>#NUM!</v>
      </c>
      <c r="CW5" s="20" t="e">
        <f t="shared" si="13"/>
        <v>#NUM!</v>
      </c>
      <c r="CX5" s="59" t="e">
        <f t="shared" si="14"/>
        <v>#NUM!</v>
      </c>
      <c r="CY5" s="59">
        <f ca="1">AVERAGE(OFFSET($CX$3,0,0,'Données projet'!$E$13+1,1))-AVERAGE(OFFSET($H$3,0,0,'Données projet'!$E$13+1,1))</f>
        <v>0</v>
      </c>
      <c r="CZ5" s="59">
        <f t="shared" ref="CZ5:CZ68" si="42">$CZ$3</f>
        <v>0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>
        <f>EJ5*VLOOKUP('Données projet'!$B$15,Paramètres!$A$1:$I$89,3,0)*VLOOKUP('Données projet'!$B$15,Paramètres!$A$1:$I$89,5,0)</f>
        <v>0</v>
      </c>
      <c r="EL5" s="13" t="e">
        <f t="shared" ref="EL5:EL68" si="45">EXP(-1.0587+0.8836*LN(EK5)+0.284)</f>
        <v>#NUM!</v>
      </c>
      <c r="EM5" s="20" t="e">
        <f t="shared" si="19"/>
        <v>#NUM!</v>
      </c>
      <c r="EN5" s="59" t="e">
        <f t="shared" si="20"/>
        <v>#NUM!</v>
      </c>
      <c r="EO5" s="59">
        <f ca="1">AVERAGE(OFFSET($EN$3,0,0,'Données projet'!$E$15+1,1))-AVERAGE(OFFSET($H$3,0,0,'Données projet'!$E$15+1,1))</f>
        <v>0</v>
      </c>
      <c r="EP5" s="59">
        <f t="shared" ref="EP5:EP68" si="46">$EP$3</f>
        <v>0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>
        <f>FE5*VLOOKUP('Données projet'!$B$16,Paramètres!$A$1:$I$89,3,0)*VLOOKUP('Données projet'!$B$16,Paramètres!$A$1:$I$89,5,0)</f>
        <v>0</v>
      </c>
      <c r="FG5" s="13" t="e">
        <f t="shared" ref="FG5:FG68" si="47">EXP(-1.0587+0.8836*LN(FF5)+0.284)</f>
        <v>#NUM!</v>
      </c>
      <c r="FH5" s="20" t="e">
        <f t="shared" si="22"/>
        <v>#NUM!</v>
      </c>
      <c r="FI5" s="59" t="e">
        <f t="shared" si="23"/>
        <v>#NUM!</v>
      </c>
      <c r="FJ5" s="59">
        <f ca="1">AVERAGE(OFFSET($FI$3,0,0,'Données projet'!$E$16+1,1))-AVERAGE(OFFSET($H$3,0,0,'Données projet'!$E$16+1,1))</f>
        <v>0</v>
      </c>
      <c r="FK5" s="59">
        <f t="shared" ref="FK5:FK68" si="48">$FK$3</f>
        <v>0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>
        <f>FZ5*VLOOKUP('Données projet'!$B$17,Paramètres!$A$1:$I$89,3,0)*VLOOKUP('Données projet'!$B$17,Paramètres!$A$1:$I$89,5,0)</f>
        <v>0</v>
      </c>
      <c r="GB5" s="13" t="e">
        <f t="shared" ref="GB5:GB68" si="49">EXP(-1.0587+0.8836*LN(GA5)+0.284)</f>
        <v>#NUM!</v>
      </c>
      <c r="GC5" s="20" t="e">
        <f t="shared" si="25"/>
        <v>#NUM!</v>
      </c>
      <c r="GD5" s="59" t="e">
        <f t="shared" si="26"/>
        <v>#NUM!</v>
      </c>
      <c r="GE5" s="59">
        <f ca="1">AVERAGE(OFFSET($GD$3,0,0,'Données projet'!$E$17+1,1))-AVERAGE(OFFSET($H$3,0,0,'Données projet'!$E$17+1,1))</f>
        <v>0</v>
      </c>
      <c r="GF5" s="59">
        <f t="shared" ref="GF5:GF68" si="50">$GF$3</f>
        <v>0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5.0625</v>
      </c>
      <c r="N6" s="13">
        <f>IF('Données projet'!$A$36&gt;35,N5+M6-V5,IF(A6&lt;'Données projet'!$A$36,$K$205^A6,IF(A6='Données projet'!$A$36,'Données projet'!$B$36,N5+M6-V5)))</f>
        <v>2.2795070569547784</v>
      </c>
      <c r="O6" s="13">
        <f>N6*VLOOKUP('Données projet'!$B$9,Paramètres!$A$1:$I$89,3,0)*VLOOKUP('Données projet'!$B$9,Paramètres!$A$1:$I$89,5,0)</f>
        <v>1.3631452200589576</v>
      </c>
      <c r="P6" s="13">
        <f t="shared" si="33"/>
        <v>0.6059453911316266</v>
      </c>
      <c r="Q6" s="20">
        <f t="shared" si="2"/>
        <v>3.4294994811569341</v>
      </c>
      <c r="R6" s="59">
        <f t="shared" si="0"/>
        <v>296.76283281449025</v>
      </c>
      <c r="S6" s="59">
        <f ca="1">AVERAGE(OFFSET($R$3,0,0,'Données projet'!$E$9+1,1))-AVERAGE(OFFSET($H$3,0,0,'Données projet'!$E$9+1,1))</f>
        <v>186.90544184210381</v>
      </c>
      <c r="T6" s="59">
        <f t="shared" si="34"/>
        <v>202.05988514450519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5.0625</v>
      </c>
      <c r="AI6" s="13">
        <f>IF('Données projet'!$A$62&gt;35,AI5+AH6-AQ5,IF(A6&lt;'Données projet'!$A$62,$AF$205^A6,IF(A6='Données projet'!$A$62,'Données projet'!$B$62,AI5+AH6-AQ5)))</f>
        <v>2.2795070569547784</v>
      </c>
      <c r="AJ6" s="13">
        <f>AI6*VLOOKUP('Données projet'!$B$10,Paramètres!$A$1:$I$89,3,0)*VLOOKUP('Données projet'!$B$10,Paramètres!$A$1:$I$89,5,0)</f>
        <v>1.3631452200589576</v>
      </c>
      <c r="AK6" s="13">
        <f t="shared" si="35"/>
        <v>0.6059453911316266</v>
      </c>
      <c r="AL6" s="20">
        <f t="shared" si="4"/>
        <v>3.4294994811569341</v>
      </c>
      <c r="AM6" s="59">
        <f t="shared" si="5"/>
        <v>296.76283281449025</v>
      </c>
      <c r="AN6" s="59">
        <f ca="1">AVERAGE(OFFSET($AM$3,0,0,'Données projet'!$E$10+1,1))-AVERAGE(OFFSET($H$3,0,0,'Données projet'!$E$10+1,1))</f>
        <v>186.90544184210381</v>
      </c>
      <c r="AO6" s="59">
        <f t="shared" si="36"/>
        <v>202.05988514450519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1.725708902370088</v>
      </c>
      <c r="BE6" s="13">
        <f>BD6*VLOOKUP('Données projet'!$B$11,Paramètres!$A$1:$I$89,3,0)*VLOOKUP('Données projet'!$B$11,Paramètres!$A$1:$I$89,5,0)</f>
        <v>1.3998950616026153</v>
      </c>
      <c r="BF6" s="13">
        <f t="shared" si="37"/>
        <v>0.62035749310989874</v>
      </c>
      <c r="BG6" s="20">
        <f t="shared" si="7"/>
        <v>3.5186065327909621</v>
      </c>
      <c r="BH6" s="59">
        <f t="shared" si="8"/>
        <v>296.85193986612427</v>
      </c>
      <c r="BI6" s="59">
        <f ca="1">AVERAGE(OFFSET($BH$3,0,0,'Données projet'!$E$11+1,1))-AVERAGE(OFFSET($H$3,0,0,'Données projet'!$E$11+1,1))</f>
        <v>5.8584049049231908</v>
      </c>
      <c r="BJ6" s="59">
        <f t="shared" si="38"/>
        <v>42.266833200216638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>
        <f>BY6*VLOOKUP('Données projet'!$B$12,Paramètres!$A$1:$I$89,3,0)*VLOOKUP('Données projet'!$B$12,Paramètres!$A$1:$I$89,5,0)</f>
        <v>0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>
        <f ca="1">AVERAGE(OFFSET($CC$3,0,0,'Données projet'!$E$12+1,1))-AVERAGE(OFFSET($H$3,0,0,'Données projet'!$E$12+1,1))</f>
        <v>0</v>
      </c>
      <c r="CE6" s="59">
        <f t="shared" si="40"/>
        <v>0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>
        <f>CT6*VLOOKUP('Données projet'!$B$13,Paramètres!$A$1:$I$89,3,0)*VLOOKUP('Données projet'!$B$13,Paramètres!$A$1:$I$89,5,0)</f>
        <v>0</v>
      </c>
      <c r="CV6" s="13" t="e">
        <f t="shared" si="41"/>
        <v>#NUM!</v>
      </c>
      <c r="CW6" s="20" t="e">
        <f t="shared" si="13"/>
        <v>#NUM!</v>
      </c>
      <c r="CX6" s="59" t="e">
        <f t="shared" si="14"/>
        <v>#NUM!</v>
      </c>
      <c r="CY6" s="59">
        <f ca="1">AVERAGE(OFFSET($CX$3,0,0,'Données projet'!$E$13+1,1))-AVERAGE(OFFSET($H$3,0,0,'Données projet'!$E$13+1,1))</f>
        <v>0</v>
      </c>
      <c r="CZ6" s="59">
        <f t="shared" si="42"/>
        <v>0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>
        <f>EJ6*VLOOKUP('Données projet'!$B$15,Paramètres!$A$1:$I$89,3,0)*VLOOKUP('Données projet'!$B$15,Paramètres!$A$1:$I$89,5,0)</f>
        <v>0</v>
      </c>
      <c r="EL6" s="13" t="e">
        <f t="shared" si="45"/>
        <v>#NUM!</v>
      </c>
      <c r="EM6" s="20" t="e">
        <f t="shared" si="19"/>
        <v>#NUM!</v>
      </c>
      <c r="EN6" s="59" t="e">
        <f t="shared" si="20"/>
        <v>#NUM!</v>
      </c>
      <c r="EO6" s="59">
        <f ca="1">AVERAGE(OFFSET($EN$3,0,0,'Données projet'!$E$15+1,1))-AVERAGE(OFFSET($H$3,0,0,'Données projet'!$E$15+1,1))</f>
        <v>0</v>
      </c>
      <c r="EP6" s="59">
        <f t="shared" si="46"/>
        <v>0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>
        <f>FE6*VLOOKUP('Données projet'!$B$16,Paramètres!$A$1:$I$89,3,0)*VLOOKUP('Données projet'!$B$16,Paramètres!$A$1:$I$89,5,0)</f>
        <v>0</v>
      </c>
      <c r="FG6" s="13" t="e">
        <f t="shared" si="47"/>
        <v>#NUM!</v>
      </c>
      <c r="FH6" s="20" t="e">
        <f t="shared" si="22"/>
        <v>#NUM!</v>
      </c>
      <c r="FI6" s="59" t="e">
        <f t="shared" si="23"/>
        <v>#NUM!</v>
      </c>
      <c r="FJ6" s="59">
        <f ca="1">AVERAGE(OFFSET($FI$3,0,0,'Données projet'!$E$16+1,1))-AVERAGE(OFFSET($H$3,0,0,'Données projet'!$E$16+1,1))</f>
        <v>0</v>
      </c>
      <c r="FK6" s="59">
        <f t="shared" si="48"/>
        <v>0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>
        <f>FZ6*VLOOKUP('Données projet'!$B$17,Paramètres!$A$1:$I$89,3,0)*VLOOKUP('Données projet'!$B$17,Paramètres!$A$1:$I$89,5,0)</f>
        <v>0</v>
      </c>
      <c r="GB6" s="13" t="e">
        <f t="shared" si="49"/>
        <v>#NUM!</v>
      </c>
      <c r="GC6" s="20" t="e">
        <f t="shared" si="25"/>
        <v>#NUM!</v>
      </c>
      <c r="GD6" s="59" t="e">
        <f t="shared" si="26"/>
        <v>#NUM!</v>
      </c>
      <c r="GE6" s="59">
        <f ca="1">AVERAGE(OFFSET($GD$3,0,0,'Données projet'!$E$17+1,1))-AVERAGE(OFFSET($H$3,0,0,'Données projet'!$E$17+1,1))</f>
        <v>0</v>
      </c>
      <c r="GF6" s="59">
        <f t="shared" si="50"/>
        <v>0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5.0625</v>
      </c>
      <c r="N7" s="13">
        <f>IF('Données projet'!$A$36&gt;35,N6+M7-V6,IF(A7&lt;'Données projet'!$A$36,$K$205^A7,IF(A7='Données projet'!$A$36,'Données projet'!$B$36,N6+M7-V6)))</f>
        <v>3.0000000000000013</v>
      </c>
      <c r="O7" s="13">
        <f>N7*VLOOKUP('Données projet'!$B$9,Paramètres!$A$1:$I$89,3,0)*VLOOKUP('Données projet'!$B$9,Paramètres!$A$1:$I$89,5,0)</f>
        <v>1.7940000000000011</v>
      </c>
      <c r="P7" s="13">
        <f t="shared" si="33"/>
        <v>0.77237742491396777</v>
      </c>
      <c r="Q7" s="20">
        <f t="shared" si="2"/>
        <v>4.4697740150584959</v>
      </c>
      <c r="R7" s="59">
        <f t="shared" si="0"/>
        <v>297.80310734839179</v>
      </c>
      <c r="S7" s="59">
        <f ca="1">AVERAGE(OFFSET($R$3,0,0,'Données projet'!$E$9+1,1))-AVERAGE(OFFSET($H$3,0,0,'Données projet'!$E$9+1,1))</f>
        <v>186.90544184210381</v>
      </c>
      <c r="T7" s="59">
        <f t="shared" si="34"/>
        <v>202.05988514450519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5.0625</v>
      </c>
      <c r="AI7" s="13">
        <f>IF('Données projet'!$A$62&gt;35,AI6+AH7-AQ6,IF(A7&lt;'Données projet'!$A$62,$AF$205^A7,IF(A7='Données projet'!$A$62,'Données projet'!$B$62,AI6+AH7-AQ6)))</f>
        <v>3.0000000000000013</v>
      </c>
      <c r="AJ7" s="13">
        <f>AI7*VLOOKUP('Données projet'!$B$10,Paramètres!$A$1:$I$89,3,0)*VLOOKUP('Données projet'!$B$10,Paramètres!$A$1:$I$89,5,0)</f>
        <v>1.7940000000000011</v>
      </c>
      <c r="AK7" s="13">
        <f t="shared" si="35"/>
        <v>0.77237742491396777</v>
      </c>
      <c r="AL7" s="20">
        <f t="shared" si="4"/>
        <v>4.4697740150584959</v>
      </c>
      <c r="AM7" s="59">
        <f t="shared" si="5"/>
        <v>297.80310734839179</v>
      </c>
      <c r="AN7" s="59">
        <f ca="1">AVERAGE(OFFSET($AM$3,0,0,'Données projet'!$E$10+1,1))-AVERAGE(OFFSET($H$3,0,0,'Données projet'!$E$10+1,1))</f>
        <v>186.90544184210381</v>
      </c>
      <c r="AO7" s="59">
        <f t="shared" si="36"/>
        <v>202.05988514450519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2.0699350540816153</v>
      </c>
      <c r="BE7" s="13">
        <f>BD7*VLOOKUP('Données projet'!$B$11,Paramètres!$A$1:$I$89,3,0)*VLOOKUP('Données projet'!$B$11,Paramètres!$A$1:$I$89,5,0)</f>
        <v>1.6791313158710064</v>
      </c>
      <c r="BF7" s="13">
        <f t="shared" si="37"/>
        <v>0.72851227136517427</v>
      </c>
      <c r="BG7" s="20">
        <f t="shared" si="7"/>
        <v>4.1933125811030143</v>
      </c>
      <c r="BH7" s="59">
        <f t="shared" si="8"/>
        <v>297.5266459144363</v>
      </c>
      <c r="BI7" s="59">
        <f ca="1">AVERAGE(OFFSET($BH$3,0,0,'Données projet'!$E$11+1,1))-AVERAGE(OFFSET($H$3,0,0,'Données projet'!$E$11+1,1))</f>
        <v>5.8584049049231908</v>
      </c>
      <c r="BJ7" s="59">
        <f t="shared" si="38"/>
        <v>42.266833200216638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>
        <f>BY7*VLOOKUP('Données projet'!$B$12,Paramètres!$A$1:$I$89,3,0)*VLOOKUP('Données projet'!$B$12,Paramètres!$A$1:$I$89,5,0)</f>
        <v>0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>
        <f ca="1">AVERAGE(OFFSET($CC$3,0,0,'Données projet'!$E$12+1,1))-AVERAGE(OFFSET($H$3,0,0,'Données projet'!$E$12+1,1))</f>
        <v>0</v>
      </c>
      <c r="CE7" s="59">
        <f t="shared" si="40"/>
        <v>0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>
        <f>CT7*VLOOKUP('Données projet'!$B$13,Paramètres!$A$1:$I$89,3,0)*VLOOKUP('Données projet'!$B$13,Paramètres!$A$1:$I$89,5,0)</f>
        <v>0</v>
      </c>
      <c r="CV7" s="13" t="e">
        <f t="shared" si="41"/>
        <v>#NUM!</v>
      </c>
      <c r="CW7" s="20" t="e">
        <f t="shared" si="13"/>
        <v>#NUM!</v>
      </c>
      <c r="CX7" s="59" t="e">
        <f t="shared" si="14"/>
        <v>#NUM!</v>
      </c>
      <c r="CY7" s="59">
        <f ca="1">AVERAGE(OFFSET($CX$3,0,0,'Données projet'!$E$13+1,1))-AVERAGE(OFFSET($H$3,0,0,'Données projet'!$E$13+1,1))</f>
        <v>0</v>
      </c>
      <c r="CZ7" s="59">
        <f t="shared" si="42"/>
        <v>0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>
        <f>EJ7*VLOOKUP('Données projet'!$B$15,Paramètres!$A$1:$I$89,3,0)*VLOOKUP('Données projet'!$B$15,Paramètres!$A$1:$I$89,5,0)</f>
        <v>0</v>
      </c>
      <c r="EL7" s="13" t="e">
        <f t="shared" si="45"/>
        <v>#NUM!</v>
      </c>
      <c r="EM7" s="20" t="e">
        <f t="shared" si="19"/>
        <v>#NUM!</v>
      </c>
      <c r="EN7" s="59" t="e">
        <f t="shared" si="20"/>
        <v>#NUM!</v>
      </c>
      <c r="EO7" s="59">
        <f ca="1">AVERAGE(OFFSET($EN$3,0,0,'Données projet'!$E$15+1,1))-AVERAGE(OFFSET($H$3,0,0,'Données projet'!$E$15+1,1))</f>
        <v>0</v>
      </c>
      <c r="EP7" s="59">
        <f t="shared" si="46"/>
        <v>0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>
        <f>FE7*VLOOKUP('Données projet'!$B$16,Paramètres!$A$1:$I$89,3,0)*VLOOKUP('Données projet'!$B$16,Paramètres!$A$1:$I$89,5,0)</f>
        <v>0</v>
      </c>
      <c r="FG7" s="13" t="e">
        <f t="shared" si="47"/>
        <v>#NUM!</v>
      </c>
      <c r="FH7" s="20" t="e">
        <f t="shared" si="22"/>
        <v>#NUM!</v>
      </c>
      <c r="FI7" s="59" t="e">
        <f t="shared" si="23"/>
        <v>#NUM!</v>
      </c>
      <c r="FJ7" s="59">
        <f ca="1">AVERAGE(OFFSET($FI$3,0,0,'Données projet'!$E$16+1,1))-AVERAGE(OFFSET($H$3,0,0,'Données projet'!$E$16+1,1))</f>
        <v>0</v>
      </c>
      <c r="FK7" s="59">
        <f t="shared" si="48"/>
        <v>0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>
        <f>FZ7*VLOOKUP('Données projet'!$B$17,Paramètres!$A$1:$I$89,3,0)*VLOOKUP('Données projet'!$B$17,Paramètres!$A$1:$I$89,5,0)</f>
        <v>0</v>
      </c>
      <c r="GB7" s="13" t="e">
        <f t="shared" si="49"/>
        <v>#NUM!</v>
      </c>
      <c r="GC7" s="20" t="e">
        <f t="shared" si="25"/>
        <v>#NUM!</v>
      </c>
      <c r="GD7" s="59" t="e">
        <f t="shared" si="26"/>
        <v>#NUM!</v>
      </c>
      <c r="GE7" s="59">
        <f ca="1">AVERAGE(OFFSET($GD$3,0,0,'Données projet'!$E$17+1,1))-AVERAGE(OFFSET($H$3,0,0,'Données projet'!$E$17+1,1))</f>
        <v>0</v>
      </c>
      <c r="GF7" s="59">
        <f t="shared" si="50"/>
        <v>0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5.0625</v>
      </c>
      <c r="N8" s="13">
        <f>IF('Données projet'!$A$36&gt;35,N7+M8-V7,IF(A8&lt;'Données projet'!$A$36,$K$205^A8,IF(A8='Données projet'!$A$36,'Données projet'!$B$36,N7+M8-V7)))</f>
        <v>3.9482220388574794</v>
      </c>
      <c r="O8" s="13">
        <f>N8*VLOOKUP('Données projet'!$B$9,Paramètres!$A$1:$I$89,3,0)*VLOOKUP('Données projet'!$B$9,Paramètres!$A$1:$I$89,5,0)</f>
        <v>2.3610367792367728</v>
      </c>
      <c r="P8" s="13">
        <f t="shared" si="33"/>
        <v>0.98452252504573023</v>
      </c>
      <c r="Q8" s="20">
        <f t="shared" si="2"/>
        <v>5.8268491216253588</v>
      </c>
      <c r="R8" s="59">
        <f t="shared" si="0"/>
        <v>299.16018245495866</v>
      </c>
      <c r="S8" s="59">
        <f ca="1">AVERAGE(OFFSET($R$3,0,0,'Données projet'!$E$9+1,1))-AVERAGE(OFFSET($H$3,0,0,'Données projet'!$E$9+1,1))</f>
        <v>186.90544184210381</v>
      </c>
      <c r="T8" s="59">
        <f t="shared" si="34"/>
        <v>202.05988514450519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5.0625</v>
      </c>
      <c r="AI8" s="13">
        <f>IF('Données projet'!$A$62&gt;35,AI7+AH8-AQ7,IF(A8&lt;'Données projet'!$A$62,$AF$205^A8,IF(A8='Données projet'!$A$62,'Données projet'!$B$62,AI7+AH8-AQ7)))</f>
        <v>3.9482220388574794</v>
      </c>
      <c r="AJ8" s="13">
        <f>AI8*VLOOKUP('Données projet'!$B$10,Paramètres!$A$1:$I$89,3,0)*VLOOKUP('Données projet'!$B$10,Paramètres!$A$1:$I$89,5,0)</f>
        <v>2.3610367792367728</v>
      </c>
      <c r="AK8" s="13">
        <f t="shared" si="35"/>
        <v>0.98452252504573023</v>
      </c>
      <c r="AL8" s="20">
        <f t="shared" si="4"/>
        <v>5.8268491216253588</v>
      </c>
      <c r="AM8" s="59">
        <f t="shared" si="5"/>
        <v>299.16018245495866</v>
      </c>
      <c r="AN8" s="59">
        <f ca="1">AVERAGE(OFFSET($AM$3,0,0,'Données projet'!$E$10+1,1))-AVERAGE(OFFSET($H$3,0,0,'Données projet'!$E$10+1,1))</f>
        <v>186.90544184210381</v>
      </c>
      <c r="AO8" s="59">
        <f t="shared" si="36"/>
        <v>202.05988514450519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2.4828237961983901</v>
      </c>
      <c r="BE8" s="13">
        <f>BD8*VLOOKUP('Données projet'!$B$11,Paramètres!$A$1:$I$89,3,0)*VLOOKUP('Données projet'!$B$11,Paramètres!$A$1:$I$89,5,0)</f>
        <v>2.0140666634761342</v>
      </c>
      <c r="BF8" s="13">
        <f t="shared" si="37"/>
        <v>0.85552304183359684</v>
      </c>
      <c r="BG8" s="20">
        <f t="shared" si="7"/>
        <v>4.9978687367477814</v>
      </c>
      <c r="BH8" s="59">
        <f t="shared" si="8"/>
        <v>298.33120207008108</v>
      </c>
      <c r="BI8" s="59">
        <f ca="1">AVERAGE(OFFSET($BH$3,0,0,'Données projet'!$E$11+1,1))-AVERAGE(OFFSET($H$3,0,0,'Données projet'!$E$11+1,1))</f>
        <v>5.8584049049231908</v>
      </c>
      <c r="BJ8" s="59">
        <f t="shared" si="38"/>
        <v>42.266833200216638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>
        <f>BY8*VLOOKUP('Données projet'!$B$12,Paramètres!$A$1:$I$89,3,0)*VLOOKUP('Données projet'!$B$12,Paramètres!$A$1:$I$89,5,0)</f>
        <v>0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>
        <f ca="1">AVERAGE(OFFSET($CC$3,0,0,'Données projet'!$E$12+1,1))-AVERAGE(OFFSET($H$3,0,0,'Données projet'!$E$12+1,1))</f>
        <v>0</v>
      </c>
      <c r="CE8" s="59">
        <f t="shared" si="40"/>
        <v>0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>
        <f>CT8*VLOOKUP('Données projet'!$B$13,Paramètres!$A$1:$I$89,3,0)*VLOOKUP('Données projet'!$B$13,Paramètres!$A$1:$I$89,5,0)</f>
        <v>0</v>
      </c>
      <c r="CV8" s="13" t="e">
        <f t="shared" si="41"/>
        <v>#NUM!</v>
      </c>
      <c r="CW8" s="20" t="e">
        <f t="shared" si="13"/>
        <v>#NUM!</v>
      </c>
      <c r="CX8" s="59" t="e">
        <f t="shared" si="14"/>
        <v>#NUM!</v>
      </c>
      <c r="CY8" s="59">
        <f ca="1">AVERAGE(OFFSET($CX$3,0,0,'Données projet'!$E$13+1,1))-AVERAGE(OFFSET($H$3,0,0,'Données projet'!$E$13+1,1))</f>
        <v>0</v>
      </c>
      <c r="CZ8" s="59">
        <f t="shared" si="42"/>
        <v>0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>
        <f>EJ8*VLOOKUP('Données projet'!$B$15,Paramètres!$A$1:$I$89,3,0)*VLOOKUP('Données projet'!$B$15,Paramètres!$A$1:$I$89,5,0)</f>
        <v>0</v>
      </c>
      <c r="EL8" s="13" t="e">
        <f t="shared" si="45"/>
        <v>#NUM!</v>
      </c>
      <c r="EM8" s="20" t="e">
        <f t="shared" si="19"/>
        <v>#NUM!</v>
      </c>
      <c r="EN8" s="59" t="e">
        <f t="shared" si="20"/>
        <v>#NUM!</v>
      </c>
      <c r="EO8" s="59">
        <f ca="1">AVERAGE(OFFSET($EN$3,0,0,'Données projet'!$E$15+1,1))-AVERAGE(OFFSET($H$3,0,0,'Données projet'!$E$15+1,1))</f>
        <v>0</v>
      </c>
      <c r="EP8" s="59">
        <f t="shared" si="46"/>
        <v>0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>
        <f>FE8*VLOOKUP('Données projet'!$B$16,Paramètres!$A$1:$I$89,3,0)*VLOOKUP('Données projet'!$B$16,Paramètres!$A$1:$I$89,5,0)</f>
        <v>0</v>
      </c>
      <c r="FG8" s="13" t="e">
        <f t="shared" si="47"/>
        <v>#NUM!</v>
      </c>
      <c r="FH8" s="20" t="e">
        <f t="shared" si="22"/>
        <v>#NUM!</v>
      </c>
      <c r="FI8" s="59" t="e">
        <f t="shared" si="23"/>
        <v>#NUM!</v>
      </c>
      <c r="FJ8" s="59">
        <f ca="1">AVERAGE(OFFSET($FI$3,0,0,'Données projet'!$E$16+1,1))-AVERAGE(OFFSET($H$3,0,0,'Données projet'!$E$16+1,1))</f>
        <v>0</v>
      </c>
      <c r="FK8" s="59">
        <f t="shared" si="48"/>
        <v>0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>
        <f>FZ8*VLOOKUP('Données projet'!$B$17,Paramètres!$A$1:$I$89,3,0)*VLOOKUP('Données projet'!$B$17,Paramètres!$A$1:$I$89,5,0)</f>
        <v>0</v>
      </c>
      <c r="GB8" s="13" t="e">
        <f t="shared" si="49"/>
        <v>#NUM!</v>
      </c>
      <c r="GC8" s="20" t="e">
        <f t="shared" si="25"/>
        <v>#NUM!</v>
      </c>
      <c r="GD8" s="59" t="e">
        <f t="shared" si="26"/>
        <v>#NUM!</v>
      </c>
      <c r="GE8" s="59">
        <f ca="1">AVERAGE(OFFSET($GD$3,0,0,'Données projet'!$E$17+1,1))-AVERAGE(OFFSET($H$3,0,0,'Données projet'!$E$17+1,1))</f>
        <v>0</v>
      </c>
      <c r="GF8" s="59">
        <f t="shared" si="50"/>
        <v>0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5.0625</v>
      </c>
      <c r="N9" s="13">
        <f>IF('Données projet'!$A$36&gt;35,N8+M9-V8,IF(A9&lt;'Données projet'!$A$36,$K$205^A9,IF(A9='Données projet'!$A$36,'Données projet'!$B$36,N8+M9-V8)))</f>
        <v>5.1961524227066356</v>
      </c>
      <c r="O9" s="13">
        <f>N9*VLOOKUP('Données projet'!$B$9,Paramètres!$A$1:$I$89,3,0)*VLOOKUP('Données projet'!$B$9,Paramètres!$A$1:$I$89,5,0)</f>
        <v>3.1072991487785684</v>
      </c>
      <c r="P9" s="13">
        <f t="shared" si="33"/>
        <v>1.254936474134243</v>
      </c>
      <c r="Q9" s="20">
        <f t="shared" si="2"/>
        <v>7.5975603765731456</v>
      </c>
      <c r="R9" s="59">
        <f t="shared" si="0"/>
        <v>300.93089370990646</v>
      </c>
      <c r="S9" s="59">
        <f ca="1">AVERAGE(OFFSET($R$3,0,0,'Données projet'!$E$9+1,1))-AVERAGE(OFFSET($H$3,0,0,'Données projet'!$E$9+1,1))</f>
        <v>186.90544184210381</v>
      </c>
      <c r="T9" s="59">
        <f t="shared" si="34"/>
        <v>202.05988514450519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5.0625</v>
      </c>
      <c r="AI9" s="13">
        <f>IF('Données projet'!$A$62&gt;35,AI8+AH9-AQ8,IF(A9&lt;'Données projet'!$A$62,$AF$205^A9,IF(A9='Données projet'!$A$62,'Données projet'!$B$62,AI8+AH9-AQ8)))</f>
        <v>5.1961524227066356</v>
      </c>
      <c r="AJ9" s="13">
        <f>AI9*VLOOKUP('Données projet'!$B$10,Paramètres!$A$1:$I$89,3,0)*VLOOKUP('Données projet'!$B$10,Paramètres!$A$1:$I$89,5,0)</f>
        <v>3.1072991487785684</v>
      </c>
      <c r="AK9" s="13">
        <f t="shared" si="35"/>
        <v>1.254936474134243</v>
      </c>
      <c r="AL9" s="20">
        <f t="shared" si="4"/>
        <v>7.5975603765731456</v>
      </c>
      <c r="AM9" s="59">
        <f t="shared" si="5"/>
        <v>300.93089370990646</v>
      </c>
      <c r="AN9" s="59">
        <f ca="1">AVERAGE(OFFSET($AM$3,0,0,'Données projet'!$E$10+1,1))-AVERAGE(OFFSET($H$3,0,0,'Données projet'!$E$10+1,1))</f>
        <v>186.90544184210381</v>
      </c>
      <c r="AO9" s="59">
        <f t="shared" si="36"/>
        <v>202.05988514450519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2.9780712157193747</v>
      </c>
      <c r="BE9" s="13">
        <f>BD9*VLOOKUP('Données projet'!$B$11,Paramètres!$A$1:$I$89,3,0)*VLOOKUP('Données projet'!$B$11,Paramètres!$A$1:$I$89,5,0)</f>
        <v>2.4158113701915571</v>
      </c>
      <c r="BF9" s="13">
        <f t="shared" si="37"/>
        <v>1.0046772084383024</v>
      </c>
      <c r="BG9" s="20">
        <f t="shared" si="7"/>
        <v>5.9573509411136714</v>
      </c>
      <c r="BH9" s="59">
        <f t="shared" si="8"/>
        <v>299.29068427444696</v>
      </c>
      <c r="BI9" s="59">
        <f ca="1">AVERAGE(OFFSET($BH$3,0,0,'Données projet'!$E$11+1,1))-AVERAGE(OFFSET($H$3,0,0,'Données projet'!$E$11+1,1))</f>
        <v>5.8584049049231908</v>
      </c>
      <c r="BJ9" s="59">
        <f t="shared" si="38"/>
        <v>42.266833200216638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>
        <f>BY9*VLOOKUP('Données projet'!$B$12,Paramètres!$A$1:$I$89,3,0)*VLOOKUP('Données projet'!$B$12,Paramètres!$A$1:$I$89,5,0)</f>
        <v>0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>
        <f ca="1">AVERAGE(OFFSET($CC$3,0,0,'Données projet'!$E$12+1,1))-AVERAGE(OFFSET($H$3,0,0,'Données projet'!$E$12+1,1))</f>
        <v>0</v>
      </c>
      <c r="CE9" s="59">
        <f t="shared" si="40"/>
        <v>0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>
        <f>CT9*VLOOKUP('Données projet'!$B$13,Paramètres!$A$1:$I$89,3,0)*VLOOKUP('Données projet'!$B$13,Paramètres!$A$1:$I$89,5,0)</f>
        <v>0</v>
      </c>
      <c r="CV9" s="13" t="e">
        <f t="shared" si="41"/>
        <v>#NUM!</v>
      </c>
      <c r="CW9" s="20" t="e">
        <f t="shared" si="13"/>
        <v>#NUM!</v>
      </c>
      <c r="CX9" s="59" t="e">
        <f t="shared" si="14"/>
        <v>#NUM!</v>
      </c>
      <c r="CY9" s="59">
        <f ca="1">AVERAGE(OFFSET($CX$3,0,0,'Données projet'!$E$13+1,1))-AVERAGE(OFFSET($H$3,0,0,'Données projet'!$E$13+1,1))</f>
        <v>0</v>
      </c>
      <c r="CZ9" s="59">
        <f t="shared" si="42"/>
        <v>0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>
        <f>EJ9*VLOOKUP('Données projet'!$B$15,Paramètres!$A$1:$I$89,3,0)*VLOOKUP('Données projet'!$B$15,Paramètres!$A$1:$I$89,5,0)</f>
        <v>0</v>
      </c>
      <c r="EL9" s="13" t="e">
        <f t="shared" si="45"/>
        <v>#NUM!</v>
      </c>
      <c r="EM9" s="20" t="e">
        <f t="shared" si="19"/>
        <v>#NUM!</v>
      </c>
      <c r="EN9" s="59" t="e">
        <f t="shared" si="20"/>
        <v>#NUM!</v>
      </c>
      <c r="EO9" s="59">
        <f ca="1">AVERAGE(OFFSET($EN$3,0,0,'Données projet'!$E$15+1,1))-AVERAGE(OFFSET($H$3,0,0,'Données projet'!$E$15+1,1))</f>
        <v>0</v>
      </c>
      <c r="EP9" s="59">
        <f t="shared" si="46"/>
        <v>0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>
        <f>FE9*VLOOKUP('Données projet'!$B$16,Paramètres!$A$1:$I$89,3,0)*VLOOKUP('Données projet'!$B$16,Paramètres!$A$1:$I$89,5,0)</f>
        <v>0</v>
      </c>
      <c r="FG9" s="13" t="e">
        <f t="shared" si="47"/>
        <v>#NUM!</v>
      </c>
      <c r="FH9" s="20" t="e">
        <f t="shared" si="22"/>
        <v>#NUM!</v>
      </c>
      <c r="FI9" s="59" t="e">
        <f t="shared" si="23"/>
        <v>#NUM!</v>
      </c>
      <c r="FJ9" s="59">
        <f ca="1">AVERAGE(OFFSET($FI$3,0,0,'Données projet'!$E$16+1,1))-AVERAGE(OFFSET($H$3,0,0,'Données projet'!$E$16+1,1))</f>
        <v>0</v>
      </c>
      <c r="FK9" s="59">
        <f t="shared" si="48"/>
        <v>0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>
        <f>FZ9*VLOOKUP('Données projet'!$B$17,Paramètres!$A$1:$I$89,3,0)*VLOOKUP('Données projet'!$B$17,Paramètres!$A$1:$I$89,5,0)</f>
        <v>0</v>
      </c>
      <c r="GB9" s="13" t="e">
        <f t="shared" si="49"/>
        <v>#NUM!</v>
      </c>
      <c r="GC9" s="20" t="e">
        <f t="shared" si="25"/>
        <v>#NUM!</v>
      </c>
      <c r="GD9" s="59" t="e">
        <f t="shared" si="26"/>
        <v>#NUM!</v>
      </c>
      <c r="GE9" s="59">
        <f ca="1">AVERAGE(OFFSET($GD$3,0,0,'Données projet'!$E$17+1,1))-AVERAGE(OFFSET($H$3,0,0,'Données projet'!$E$17+1,1))</f>
        <v>0</v>
      </c>
      <c r="GF9" s="59">
        <f t="shared" si="50"/>
        <v>0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5.0625</v>
      </c>
      <c r="N10" s="13">
        <f>IF('Données projet'!$A$36&gt;35,N9+M10-V9,IF(A10&lt;'Données projet'!$A$36,$K$205^A10,IF(A10='Données projet'!$A$36,'Données projet'!$B$36,N9+M10-V9)))</f>
        <v>6.8385211708643379</v>
      </c>
      <c r="O10" s="13">
        <f>N10*VLOOKUP('Données projet'!$B$9,Paramètres!$A$1:$I$89,3,0)*VLOOKUP('Données projet'!$B$9,Paramètres!$A$1:$I$89,5,0)</f>
        <v>4.0894356601768749</v>
      </c>
      <c r="P10" s="13">
        <f t="shared" si="33"/>
        <v>1.5996236897061695</v>
      </c>
      <c r="Q10" s="20">
        <f t="shared" si="2"/>
        <v>9.9084450343796355</v>
      </c>
      <c r="R10" s="59">
        <f t="shared" si="0"/>
        <v>303.24177836771293</v>
      </c>
      <c r="S10" s="59">
        <f ca="1">AVERAGE(OFFSET($R$3,0,0,'Données projet'!$E$9+1,1))-AVERAGE(OFFSET($H$3,0,0,'Données projet'!$E$9+1,1))</f>
        <v>186.90544184210381</v>
      </c>
      <c r="T10" s="59">
        <f t="shared" si="34"/>
        <v>202.05988514450519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5.0625</v>
      </c>
      <c r="AI10" s="13">
        <f>IF('Données projet'!$A$62&gt;35,AI9+AH10-AQ9,IF(A10&lt;'Données projet'!$A$62,$AF$205^A10,IF(A10='Données projet'!$A$62,'Données projet'!$B$62,AI9+AH10-AQ9)))</f>
        <v>6.8385211708643379</v>
      </c>
      <c r="AJ10" s="13">
        <f>AI10*VLOOKUP('Données projet'!$B$10,Paramètres!$A$1:$I$89,3,0)*VLOOKUP('Données projet'!$B$10,Paramètres!$A$1:$I$89,5,0)</f>
        <v>4.0894356601768749</v>
      </c>
      <c r="AK10" s="13">
        <f t="shared" si="35"/>
        <v>1.5996236897061695</v>
      </c>
      <c r="AL10" s="20">
        <f t="shared" si="4"/>
        <v>9.9084450343796355</v>
      </c>
      <c r="AM10" s="59">
        <f t="shared" si="5"/>
        <v>303.24177836771293</v>
      </c>
      <c r="AN10" s="59">
        <f ca="1">AVERAGE(OFFSET($AM$3,0,0,'Données projet'!$E$10+1,1))-AVERAGE(OFFSET($H$3,0,0,'Données projet'!$E$10+1,1))</f>
        <v>186.90544184210381</v>
      </c>
      <c r="AO10" s="59">
        <f t="shared" si="36"/>
        <v>202.05988514450519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3.5721053501565532</v>
      </c>
      <c r="BE10" s="13">
        <f>BD10*VLOOKUP('Données projet'!$B$11,Paramètres!$A$1:$I$89,3,0)*VLOOKUP('Données projet'!$B$11,Paramètres!$A$1:$I$89,5,0)</f>
        <v>2.8976918600469959</v>
      </c>
      <c r="BF10" s="13">
        <f t="shared" si="37"/>
        <v>1.1798353098614829</v>
      </c>
      <c r="BG10" s="20">
        <f t="shared" si="7"/>
        <v>7.1016931542572657</v>
      </c>
      <c r="BH10" s="59">
        <f t="shared" si="8"/>
        <v>300.43502648759056</v>
      </c>
      <c r="BI10" s="59">
        <f ca="1">AVERAGE(OFFSET($BH$3,0,0,'Données projet'!$E$11+1,1))-AVERAGE(OFFSET($H$3,0,0,'Données projet'!$E$11+1,1))</f>
        <v>5.8584049049231908</v>
      </c>
      <c r="BJ10" s="59">
        <f t="shared" si="38"/>
        <v>42.266833200216638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>
        <f>BY10*VLOOKUP('Données projet'!$B$12,Paramètres!$A$1:$I$89,3,0)*VLOOKUP('Données projet'!$B$12,Paramètres!$A$1:$I$89,5,0)</f>
        <v>0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>
        <f ca="1">AVERAGE(OFFSET($CC$3,0,0,'Données projet'!$E$12+1,1))-AVERAGE(OFFSET($H$3,0,0,'Données projet'!$E$12+1,1))</f>
        <v>0</v>
      </c>
      <c r="CE10" s="59">
        <f t="shared" si="40"/>
        <v>0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>
        <f>CT10*VLOOKUP('Données projet'!$B$13,Paramètres!$A$1:$I$89,3,0)*VLOOKUP('Données projet'!$B$13,Paramètres!$A$1:$I$89,5,0)</f>
        <v>0</v>
      </c>
      <c r="CV10" s="13" t="e">
        <f t="shared" si="41"/>
        <v>#NUM!</v>
      </c>
      <c r="CW10" s="20" t="e">
        <f t="shared" si="13"/>
        <v>#NUM!</v>
      </c>
      <c r="CX10" s="59" t="e">
        <f t="shared" si="14"/>
        <v>#NUM!</v>
      </c>
      <c r="CY10" s="59">
        <f ca="1">AVERAGE(OFFSET($CX$3,0,0,'Données projet'!$E$13+1,1))-AVERAGE(OFFSET($H$3,0,0,'Données projet'!$E$13+1,1))</f>
        <v>0</v>
      </c>
      <c r="CZ10" s="59">
        <f t="shared" si="42"/>
        <v>0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>
        <f>EJ10*VLOOKUP('Données projet'!$B$15,Paramètres!$A$1:$I$89,3,0)*VLOOKUP('Données projet'!$B$15,Paramètres!$A$1:$I$89,5,0)</f>
        <v>0</v>
      </c>
      <c r="EL10" s="13" t="e">
        <f t="shared" si="45"/>
        <v>#NUM!</v>
      </c>
      <c r="EM10" s="20" t="e">
        <f t="shared" si="19"/>
        <v>#NUM!</v>
      </c>
      <c r="EN10" s="59" t="e">
        <f t="shared" si="20"/>
        <v>#NUM!</v>
      </c>
      <c r="EO10" s="59">
        <f ca="1">AVERAGE(OFFSET($EN$3,0,0,'Données projet'!$E$15+1,1))-AVERAGE(OFFSET($H$3,0,0,'Données projet'!$E$15+1,1))</f>
        <v>0</v>
      </c>
      <c r="EP10" s="59">
        <f t="shared" si="46"/>
        <v>0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>
        <f>FE10*VLOOKUP('Données projet'!$B$16,Paramètres!$A$1:$I$89,3,0)*VLOOKUP('Données projet'!$B$16,Paramètres!$A$1:$I$89,5,0)</f>
        <v>0</v>
      </c>
      <c r="FG10" s="13" t="e">
        <f t="shared" si="47"/>
        <v>#NUM!</v>
      </c>
      <c r="FH10" s="20" t="e">
        <f t="shared" si="22"/>
        <v>#NUM!</v>
      </c>
      <c r="FI10" s="59" t="e">
        <f t="shared" si="23"/>
        <v>#NUM!</v>
      </c>
      <c r="FJ10" s="59">
        <f ca="1">AVERAGE(OFFSET($FI$3,0,0,'Données projet'!$E$16+1,1))-AVERAGE(OFFSET($H$3,0,0,'Données projet'!$E$16+1,1))</f>
        <v>0</v>
      </c>
      <c r="FK10" s="59">
        <f t="shared" si="48"/>
        <v>0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>
        <f>FZ10*VLOOKUP('Données projet'!$B$17,Paramètres!$A$1:$I$89,3,0)*VLOOKUP('Données projet'!$B$17,Paramètres!$A$1:$I$89,5,0)</f>
        <v>0</v>
      </c>
      <c r="GB10" s="13" t="e">
        <f t="shared" si="49"/>
        <v>#NUM!</v>
      </c>
      <c r="GC10" s="20" t="e">
        <f t="shared" si="25"/>
        <v>#NUM!</v>
      </c>
      <c r="GD10" s="59" t="e">
        <f t="shared" si="26"/>
        <v>#NUM!</v>
      </c>
      <c r="GE10" s="59">
        <f ca="1">AVERAGE(OFFSET($GD$3,0,0,'Données projet'!$E$17+1,1))-AVERAGE(OFFSET($H$3,0,0,'Données projet'!$E$17+1,1))</f>
        <v>0</v>
      </c>
      <c r="GF10" s="59">
        <f t="shared" si="50"/>
        <v>0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5.0625</v>
      </c>
      <c r="N11" s="13">
        <f>IF('Données projet'!$A$36&gt;35,N10+M11-V10,IF(A11&lt;'Données projet'!$A$36,$K$205^A11,IF(A11='Données projet'!$A$36,'Données projet'!$B$36,N10+M11-V10)))</f>
        <v>9.0000000000000071</v>
      </c>
      <c r="O11" s="13">
        <f>N11*VLOOKUP('Données projet'!$B$9,Paramètres!$A$1:$I$89,3,0)*VLOOKUP('Données projet'!$B$9,Paramètres!$A$1:$I$89,5,0)</f>
        <v>5.3820000000000041</v>
      </c>
      <c r="P11" s="13">
        <f t="shared" si="33"/>
        <v>2.0389844437619393</v>
      </c>
      <c r="Q11" s="20">
        <f t="shared" si="2"/>
        <v>12.92488123955205</v>
      </c>
      <c r="R11" s="59">
        <f t="shared" si="0"/>
        <v>306.25821457288538</v>
      </c>
      <c r="S11" s="59">
        <f ca="1">AVERAGE(OFFSET($R$3,0,0,'Données projet'!$E$9+1,1))-AVERAGE(OFFSET($H$3,0,0,'Données projet'!$E$9+1,1))</f>
        <v>186.90544184210381</v>
      </c>
      <c r="T11" s="59">
        <f t="shared" si="34"/>
        <v>202.05988514450519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5.0625</v>
      </c>
      <c r="AI11" s="13">
        <f>IF('Données projet'!$A$62&gt;35,AI10+AH11-AQ10,IF(A11&lt;'Données projet'!$A$62,$AF$205^A11,IF(A11='Données projet'!$A$62,'Données projet'!$B$62,AI10+AH11-AQ10)))</f>
        <v>9.0000000000000071</v>
      </c>
      <c r="AJ11" s="13">
        <f>AI11*VLOOKUP('Données projet'!$B$10,Paramètres!$A$1:$I$89,3,0)*VLOOKUP('Données projet'!$B$10,Paramètres!$A$1:$I$89,5,0)</f>
        <v>5.3820000000000041</v>
      </c>
      <c r="AK11" s="13">
        <f t="shared" si="35"/>
        <v>2.0389844437619393</v>
      </c>
      <c r="AL11" s="20">
        <f t="shared" si="4"/>
        <v>12.92488123955205</v>
      </c>
      <c r="AM11" s="59">
        <f t="shared" si="5"/>
        <v>306.25821457288538</v>
      </c>
      <c r="AN11" s="59">
        <f ca="1">AVERAGE(OFFSET($AM$3,0,0,'Données projet'!$E$10+1,1))-AVERAGE(OFFSET($H$3,0,0,'Données projet'!$E$10+1,1))</f>
        <v>186.90544184210381</v>
      </c>
      <c r="AO11" s="59">
        <f t="shared" si="36"/>
        <v>202.05988514450519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4.2846311281158593</v>
      </c>
      <c r="BE11" s="13">
        <f>BD11*VLOOKUP('Données projet'!$B$11,Paramètres!$A$1:$I$89,3,0)*VLOOKUP('Données projet'!$B$11,Paramètres!$A$1:$I$89,5,0)</f>
        <v>3.4756927711275853</v>
      </c>
      <c r="BF11" s="13">
        <f t="shared" si="37"/>
        <v>1.3855309413853645</v>
      </c>
      <c r="BG11" s="20">
        <f t="shared" si="7"/>
        <v>8.4666312992933879</v>
      </c>
      <c r="BH11" s="59">
        <f t="shared" si="8"/>
        <v>301.79996463262671</v>
      </c>
      <c r="BI11" s="59">
        <f ca="1">AVERAGE(OFFSET($BH$3,0,0,'Données projet'!$E$11+1,1))-AVERAGE(OFFSET($H$3,0,0,'Données projet'!$E$11+1,1))</f>
        <v>5.8584049049231908</v>
      </c>
      <c r="BJ11" s="59">
        <f t="shared" si="38"/>
        <v>42.266833200216638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>
        <f>BY11*VLOOKUP('Données projet'!$B$12,Paramètres!$A$1:$I$89,3,0)*VLOOKUP('Données projet'!$B$12,Paramètres!$A$1:$I$89,5,0)</f>
        <v>0</v>
      </c>
      <c r="CA11" s="13" t="e">
        <f t="shared" si="39"/>
        <v>#NUM!</v>
      </c>
      <c r="CB11" s="20" t="e">
        <f t="shared" si="10"/>
        <v>#NUM!</v>
      </c>
      <c r="CC11" s="59" t="e">
        <f t="shared" si="11"/>
        <v>#NUM!</v>
      </c>
      <c r="CD11" s="59">
        <f ca="1">AVERAGE(OFFSET($CC$3,0,0,'Données projet'!$E$12+1,1))-AVERAGE(OFFSET($H$3,0,0,'Données projet'!$E$12+1,1))</f>
        <v>0</v>
      </c>
      <c r="CE11" s="59">
        <f t="shared" si="40"/>
        <v>0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>
        <f>CT11*VLOOKUP('Données projet'!$B$13,Paramètres!$A$1:$I$89,3,0)*VLOOKUP('Données projet'!$B$13,Paramètres!$A$1:$I$89,5,0)</f>
        <v>0</v>
      </c>
      <c r="CV11" s="13" t="e">
        <f t="shared" si="41"/>
        <v>#NUM!</v>
      </c>
      <c r="CW11" s="20" t="e">
        <f t="shared" si="13"/>
        <v>#NUM!</v>
      </c>
      <c r="CX11" s="59" t="e">
        <f t="shared" si="14"/>
        <v>#NUM!</v>
      </c>
      <c r="CY11" s="59">
        <f ca="1">AVERAGE(OFFSET($CX$3,0,0,'Données projet'!$E$13+1,1))-AVERAGE(OFFSET($H$3,0,0,'Données projet'!$E$13+1,1))</f>
        <v>0</v>
      </c>
      <c r="CZ11" s="59">
        <f t="shared" si="42"/>
        <v>0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>
        <f>EJ11*VLOOKUP('Données projet'!$B$15,Paramètres!$A$1:$I$89,3,0)*VLOOKUP('Données projet'!$B$15,Paramètres!$A$1:$I$89,5,0)</f>
        <v>0</v>
      </c>
      <c r="EL11" s="13" t="e">
        <f t="shared" si="45"/>
        <v>#NUM!</v>
      </c>
      <c r="EM11" s="20" t="e">
        <f t="shared" si="19"/>
        <v>#NUM!</v>
      </c>
      <c r="EN11" s="59" t="e">
        <f t="shared" si="20"/>
        <v>#NUM!</v>
      </c>
      <c r="EO11" s="59">
        <f ca="1">AVERAGE(OFFSET($EN$3,0,0,'Données projet'!$E$15+1,1))-AVERAGE(OFFSET($H$3,0,0,'Données projet'!$E$15+1,1))</f>
        <v>0</v>
      </c>
      <c r="EP11" s="59">
        <f t="shared" si="46"/>
        <v>0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>
        <f>FE11*VLOOKUP('Données projet'!$B$16,Paramètres!$A$1:$I$89,3,0)*VLOOKUP('Données projet'!$B$16,Paramètres!$A$1:$I$89,5,0)</f>
        <v>0</v>
      </c>
      <c r="FG11" s="13" t="e">
        <f t="shared" si="47"/>
        <v>#NUM!</v>
      </c>
      <c r="FH11" s="20" t="e">
        <f t="shared" si="22"/>
        <v>#NUM!</v>
      </c>
      <c r="FI11" s="59" t="e">
        <f t="shared" si="23"/>
        <v>#NUM!</v>
      </c>
      <c r="FJ11" s="59">
        <f ca="1">AVERAGE(OFFSET($FI$3,0,0,'Données projet'!$E$16+1,1))-AVERAGE(OFFSET($H$3,0,0,'Données projet'!$E$16+1,1))</f>
        <v>0</v>
      </c>
      <c r="FK11" s="59">
        <f t="shared" si="48"/>
        <v>0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>
        <f>FZ11*VLOOKUP('Données projet'!$B$17,Paramètres!$A$1:$I$89,3,0)*VLOOKUP('Données projet'!$B$17,Paramètres!$A$1:$I$89,5,0)</f>
        <v>0</v>
      </c>
      <c r="GB11" s="13" t="e">
        <f t="shared" si="49"/>
        <v>#NUM!</v>
      </c>
      <c r="GC11" s="20" t="e">
        <f t="shared" si="25"/>
        <v>#NUM!</v>
      </c>
      <c r="GD11" s="59" t="e">
        <f t="shared" si="26"/>
        <v>#NUM!</v>
      </c>
      <c r="GE11" s="59">
        <f ca="1">AVERAGE(OFFSET($GD$3,0,0,'Données projet'!$E$17+1,1))-AVERAGE(OFFSET($H$3,0,0,'Données projet'!$E$17+1,1))</f>
        <v>0</v>
      </c>
      <c r="GF11" s="59">
        <f t="shared" si="50"/>
        <v>0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5.0625</v>
      </c>
      <c r="N12" s="13">
        <f>IF('Données projet'!$A$36&gt;35,N11+M12-V11,IF(A12&lt;'Données projet'!$A$36,$K$205^A12,IF(A12='Données projet'!$A$36,'Données projet'!$B$36,N11+M12-V11)))</f>
        <v>11.844666116572443</v>
      </c>
      <c r="O12" s="13">
        <f>N12*VLOOKUP('Données projet'!$B$9,Paramètres!$A$1:$I$89,3,0)*VLOOKUP('Données projet'!$B$9,Paramètres!$A$1:$I$89,5,0)</f>
        <v>7.0831103377103206</v>
      </c>
      <c r="P12" s="13">
        <f t="shared" si="33"/>
        <v>2.5990222504562044</v>
      </c>
      <c r="Q12" s="20">
        <f t="shared" si="2"/>
        <v>16.863047591056695</v>
      </c>
      <c r="R12" s="59">
        <f t="shared" si="0"/>
        <v>310.19638092438998</v>
      </c>
      <c r="S12" s="59">
        <f ca="1">AVERAGE(OFFSET($R$3,0,0,'Données projet'!$E$9+1,1))-AVERAGE(OFFSET($H$3,0,0,'Données projet'!$E$9+1,1))</f>
        <v>186.90544184210381</v>
      </c>
      <c r="T12" s="59">
        <f t="shared" si="34"/>
        <v>202.05988514450519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5.0625</v>
      </c>
      <c r="AI12" s="13">
        <f>IF('Données projet'!$A$62&gt;35,AI11+AH12-AQ11,IF(A12&lt;'Données projet'!$A$62,$AF$205^A12,IF(A12='Données projet'!$A$62,'Données projet'!$B$62,AI11+AH12-AQ11)))</f>
        <v>11.844666116572443</v>
      </c>
      <c r="AJ12" s="13">
        <f>AI12*VLOOKUP('Données projet'!$B$10,Paramètres!$A$1:$I$89,3,0)*VLOOKUP('Données projet'!$B$10,Paramètres!$A$1:$I$89,5,0)</f>
        <v>7.0831103377103206</v>
      </c>
      <c r="AK12" s="13">
        <f t="shared" si="35"/>
        <v>2.5990222504562044</v>
      </c>
      <c r="AL12" s="20">
        <f t="shared" si="4"/>
        <v>16.863047591056695</v>
      </c>
      <c r="AM12" s="59">
        <f t="shared" si="5"/>
        <v>310.19638092438998</v>
      </c>
      <c r="AN12" s="59">
        <f ca="1">AVERAGE(OFFSET($AM$3,0,0,'Données projet'!$E$10+1,1))-AVERAGE(OFFSET($H$3,0,0,'Données projet'!$E$10+1,1))</f>
        <v>186.90544184210381</v>
      </c>
      <c r="AO12" s="59">
        <f t="shared" si="36"/>
        <v>202.05988514450519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5.1392840088590352</v>
      </c>
      <c r="BE12" s="13">
        <f>BD12*VLOOKUP('Données projet'!$B$11,Paramètres!$A$1:$I$89,3,0)*VLOOKUP('Données projet'!$B$11,Paramètres!$A$1:$I$89,5,0)</f>
        <v>4.16898718798645</v>
      </c>
      <c r="BF12" s="13">
        <f t="shared" si="37"/>
        <v>1.6270880973731783</v>
      </c>
      <c r="BG12" s="20">
        <f t="shared" si="7"/>
        <v>10.094831122001354</v>
      </c>
      <c r="BH12" s="59">
        <f t="shared" si="8"/>
        <v>303.4281644553347</v>
      </c>
      <c r="BI12" s="59">
        <f ca="1">AVERAGE(OFFSET($BH$3,0,0,'Données projet'!$E$11+1,1))-AVERAGE(OFFSET($H$3,0,0,'Données projet'!$E$11+1,1))</f>
        <v>5.8584049049231908</v>
      </c>
      <c r="BJ12" s="59">
        <f t="shared" si="38"/>
        <v>42.266833200216638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>
        <f>BY12*VLOOKUP('Données projet'!$B$12,Paramètres!$A$1:$I$89,3,0)*VLOOKUP('Données projet'!$B$12,Paramètres!$A$1:$I$89,5,0)</f>
        <v>0</v>
      </c>
      <c r="CA12" s="13" t="e">
        <f t="shared" si="39"/>
        <v>#NUM!</v>
      </c>
      <c r="CB12" s="20" t="e">
        <f t="shared" si="10"/>
        <v>#NUM!</v>
      </c>
      <c r="CC12" s="59" t="e">
        <f t="shared" si="11"/>
        <v>#NUM!</v>
      </c>
      <c r="CD12" s="59">
        <f ca="1">AVERAGE(OFFSET($CC$3,0,0,'Données projet'!$E$12+1,1))-AVERAGE(OFFSET($H$3,0,0,'Données projet'!$E$12+1,1))</f>
        <v>0</v>
      </c>
      <c r="CE12" s="59">
        <f t="shared" si="40"/>
        <v>0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>
        <f>CT12*VLOOKUP('Données projet'!$B$13,Paramètres!$A$1:$I$89,3,0)*VLOOKUP('Données projet'!$B$13,Paramètres!$A$1:$I$89,5,0)</f>
        <v>0</v>
      </c>
      <c r="CV12" s="13" t="e">
        <f t="shared" si="41"/>
        <v>#NUM!</v>
      </c>
      <c r="CW12" s="20" t="e">
        <f t="shared" si="13"/>
        <v>#NUM!</v>
      </c>
      <c r="CX12" s="59" t="e">
        <f t="shared" si="14"/>
        <v>#NUM!</v>
      </c>
      <c r="CY12" s="59">
        <f ca="1">AVERAGE(OFFSET($CX$3,0,0,'Données projet'!$E$13+1,1))-AVERAGE(OFFSET($H$3,0,0,'Données projet'!$E$13+1,1))</f>
        <v>0</v>
      </c>
      <c r="CZ12" s="59">
        <f t="shared" si="42"/>
        <v>0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>
        <f>EJ12*VLOOKUP('Données projet'!$B$15,Paramètres!$A$1:$I$89,3,0)*VLOOKUP('Données projet'!$B$15,Paramètres!$A$1:$I$89,5,0)</f>
        <v>0</v>
      </c>
      <c r="EL12" s="13" t="e">
        <f t="shared" si="45"/>
        <v>#NUM!</v>
      </c>
      <c r="EM12" s="20" t="e">
        <f t="shared" si="19"/>
        <v>#NUM!</v>
      </c>
      <c r="EN12" s="59" t="e">
        <f t="shared" si="20"/>
        <v>#NUM!</v>
      </c>
      <c r="EO12" s="59">
        <f ca="1">AVERAGE(OFFSET($EN$3,0,0,'Données projet'!$E$15+1,1))-AVERAGE(OFFSET($H$3,0,0,'Données projet'!$E$15+1,1))</f>
        <v>0</v>
      </c>
      <c r="EP12" s="59">
        <f t="shared" si="46"/>
        <v>0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>
        <f>FE12*VLOOKUP('Données projet'!$B$16,Paramètres!$A$1:$I$89,3,0)*VLOOKUP('Données projet'!$B$16,Paramètres!$A$1:$I$89,5,0)</f>
        <v>0</v>
      </c>
      <c r="FG12" s="13" t="e">
        <f t="shared" si="47"/>
        <v>#NUM!</v>
      </c>
      <c r="FH12" s="20" t="e">
        <f t="shared" si="22"/>
        <v>#NUM!</v>
      </c>
      <c r="FI12" s="59" t="e">
        <f t="shared" si="23"/>
        <v>#NUM!</v>
      </c>
      <c r="FJ12" s="59">
        <f ca="1">AVERAGE(OFFSET($FI$3,0,0,'Données projet'!$E$16+1,1))-AVERAGE(OFFSET($H$3,0,0,'Données projet'!$E$16+1,1))</f>
        <v>0</v>
      </c>
      <c r="FK12" s="59">
        <f t="shared" si="48"/>
        <v>0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>
        <f>FZ12*VLOOKUP('Données projet'!$B$17,Paramètres!$A$1:$I$89,3,0)*VLOOKUP('Données projet'!$B$17,Paramètres!$A$1:$I$89,5,0)</f>
        <v>0</v>
      </c>
      <c r="GB12" s="13" t="e">
        <f t="shared" si="49"/>
        <v>#NUM!</v>
      </c>
      <c r="GC12" s="20" t="e">
        <f t="shared" si="25"/>
        <v>#NUM!</v>
      </c>
      <c r="GD12" s="59" t="e">
        <f t="shared" si="26"/>
        <v>#NUM!</v>
      </c>
      <c r="GE12" s="59">
        <f ca="1">AVERAGE(OFFSET($GD$3,0,0,'Données projet'!$E$17+1,1))-AVERAGE(OFFSET($H$3,0,0,'Données projet'!$E$17+1,1))</f>
        <v>0</v>
      </c>
      <c r="GF12" s="59">
        <f t="shared" si="50"/>
        <v>0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5.0625</v>
      </c>
      <c r="N13" s="13">
        <f>IF('Données projet'!$A$36&gt;35,N12+M13-V12,IF(A13&lt;'Données projet'!$A$36,$K$205^A13,IF(A13='Données projet'!$A$36,'Données projet'!$B$36,N12+M13-V12)))</f>
        <v>15.58845726811991</v>
      </c>
      <c r="O13" s="13">
        <f>N13*VLOOKUP('Données projet'!$B$9,Paramètres!$A$1:$I$89,3,0)*VLOOKUP('Données projet'!$B$9,Paramètres!$A$1:$I$89,5,0)</f>
        <v>9.3218974463357078</v>
      </c>
      <c r="P13" s="13">
        <f t="shared" si="33"/>
        <v>3.312882881001078</v>
      </c>
      <c r="Q13" s="20">
        <f t="shared" si="2"/>
        <v>22.005575736778237</v>
      </c>
      <c r="R13" s="59">
        <f t="shared" si="0"/>
        <v>315.33890907011153</v>
      </c>
      <c r="S13" s="59">
        <f ca="1">AVERAGE(OFFSET($R$3,0,0,'Données projet'!$E$9+1,1))-AVERAGE(OFFSET($H$3,0,0,'Données projet'!$E$9+1,1))</f>
        <v>186.90544184210381</v>
      </c>
      <c r="T13" s="59">
        <f t="shared" si="34"/>
        <v>202.05988514450519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5.0625</v>
      </c>
      <c r="AI13" s="13">
        <f>IF('Données projet'!$A$62&gt;35,AI12+AH13-AQ12,IF(A13&lt;'Données projet'!$A$62,$AF$205^A13,IF(A13='Données projet'!$A$62,'Données projet'!$B$62,AI12+AH13-AQ12)))</f>
        <v>15.58845726811991</v>
      </c>
      <c r="AJ13" s="13">
        <f>AI13*VLOOKUP('Données projet'!$B$10,Paramètres!$A$1:$I$89,3,0)*VLOOKUP('Données projet'!$B$10,Paramètres!$A$1:$I$89,5,0)</f>
        <v>9.3218974463357078</v>
      </c>
      <c r="AK13" s="13">
        <f t="shared" si="35"/>
        <v>3.312882881001078</v>
      </c>
      <c r="AL13" s="20">
        <f t="shared" si="4"/>
        <v>22.005575736778237</v>
      </c>
      <c r="AM13" s="59">
        <f t="shared" si="5"/>
        <v>315.33890907011153</v>
      </c>
      <c r="AN13" s="59">
        <f ca="1">AVERAGE(OFFSET($AM$3,0,0,'Données projet'!$E$10+1,1))-AVERAGE(OFFSET($H$3,0,0,'Données projet'!$E$10+1,1))</f>
        <v>186.90544184210381</v>
      </c>
      <c r="AO13" s="59">
        <f t="shared" si="36"/>
        <v>202.05988514450519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6.1644140029689849</v>
      </c>
      <c r="BE13" s="13">
        <f>BD13*VLOOKUP('Données projet'!$B$11,Paramètres!$A$1:$I$89,3,0)*VLOOKUP('Données projet'!$B$11,Paramètres!$A$1:$I$89,5,0)</f>
        <v>5.0005726392084409</v>
      </c>
      <c r="BF13" s="13">
        <f t="shared" si="37"/>
        <v>1.9107589715509148</v>
      </c>
      <c r="BG13" s="20">
        <f t="shared" si="7"/>
        <v>12.037235888739211</v>
      </c>
      <c r="BH13" s="59">
        <f t="shared" si="8"/>
        <v>305.3705692220725</v>
      </c>
      <c r="BI13" s="59">
        <f ca="1">AVERAGE(OFFSET($BH$3,0,0,'Données projet'!$E$11+1,1))-AVERAGE(OFFSET($H$3,0,0,'Données projet'!$E$11+1,1))</f>
        <v>5.8584049049231908</v>
      </c>
      <c r="BJ13" s="59">
        <f t="shared" si="38"/>
        <v>42.266833200216638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>
        <f>BY13*VLOOKUP('Données projet'!$B$12,Paramètres!$A$1:$I$89,3,0)*VLOOKUP('Données projet'!$B$12,Paramètres!$A$1:$I$89,5,0)</f>
        <v>0</v>
      </c>
      <c r="CA13" s="13" t="e">
        <f t="shared" si="39"/>
        <v>#NUM!</v>
      </c>
      <c r="CB13" s="20" t="e">
        <f t="shared" si="10"/>
        <v>#NUM!</v>
      </c>
      <c r="CC13" s="59" t="e">
        <f t="shared" si="11"/>
        <v>#NUM!</v>
      </c>
      <c r="CD13" s="59">
        <f ca="1">AVERAGE(OFFSET($CC$3,0,0,'Données projet'!$E$12+1,1))-AVERAGE(OFFSET($H$3,0,0,'Données projet'!$E$12+1,1))</f>
        <v>0</v>
      </c>
      <c r="CE13" s="59">
        <f t="shared" si="40"/>
        <v>0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>
        <f>CT13*VLOOKUP('Données projet'!$B$13,Paramètres!$A$1:$I$89,3,0)*VLOOKUP('Données projet'!$B$13,Paramètres!$A$1:$I$89,5,0)</f>
        <v>0</v>
      </c>
      <c r="CV13" s="13" t="e">
        <f t="shared" si="41"/>
        <v>#NUM!</v>
      </c>
      <c r="CW13" s="20" t="e">
        <f t="shared" si="13"/>
        <v>#NUM!</v>
      </c>
      <c r="CX13" s="59" t="e">
        <f t="shared" si="14"/>
        <v>#NUM!</v>
      </c>
      <c r="CY13" s="59">
        <f ca="1">AVERAGE(OFFSET($CX$3,0,0,'Données projet'!$E$13+1,1))-AVERAGE(OFFSET($H$3,0,0,'Données projet'!$E$13+1,1))</f>
        <v>0</v>
      </c>
      <c r="CZ13" s="59">
        <f t="shared" si="42"/>
        <v>0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>
        <f>EJ13*VLOOKUP('Données projet'!$B$15,Paramètres!$A$1:$I$89,3,0)*VLOOKUP('Données projet'!$B$15,Paramètres!$A$1:$I$89,5,0)</f>
        <v>0</v>
      </c>
      <c r="EL13" s="13" t="e">
        <f t="shared" si="45"/>
        <v>#NUM!</v>
      </c>
      <c r="EM13" s="20" t="e">
        <f t="shared" si="19"/>
        <v>#NUM!</v>
      </c>
      <c r="EN13" s="59" t="e">
        <f t="shared" si="20"/>
        <v>#NUM!</v>
      </c>
      <c r="EO13" s="59">
        <f ca="1">AVERAGE(OFFSET($EN$3,0,0,'Données projet'!$E$15+1,1))-AVERAGE(OFFSET($H$3,0,0,'Données projet'!$E$15+1,1))</f>
        <v>0</v>
      </c>
      <c r="EP13" s="59">
        <f t="shared" si="46"/>
        <v>0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>
        <f>FE13*VLOOKUP('Données projet'!$B$16,Paramètres!$A$1:$I$89,3,0)*VLOOKUP('Données projet'!$B$16,Paramètres!$A$1:$I$89,5,0)</f>
        <v>0</v>
      </c>
      <c r="FG13" s="13" t="e">
        <f t="shared" si="47"/>
        <v>#NUM!</v>
      </c>
      <c r="FH13" s="20" t="e">
        <f t="shared" si="22"/>
        <v>#NUM!</v>
      </c>
      <c r="FI13" s="59" t="e">
        <f t="shared" si="23"/>
        <v>#NUM!</v>
      </c>
      <c r="FJ13" s="59">
        <f ca="1">AVERAGE(OFFSET($FI$3,0,0,'Données projet'!$E$16+1,1))-AVERAGE(OFFSET($H$3,0,0,'Données projet'!$E$16+1,1))</f>
        <v>0</v>
      </c>
      <c r="FK13" s="59">
        <f t="shared" si="48"/>
        <v>0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>
        <f>FZ13*VLOOKUP('Données projet'!$B$17,Paramètres!$A$1:$I$89,3,0)*VLOOKUP('Données projet'!$B$17,Paramètres!$A$1:$I$89,5,0)</f>
        <v>0</v>
      </c>
      <c r="GB13" s="13" t="e">
        <f t="shared" si="49"/>
        <v>#NUM!</v>
      </c>
      <c r="GC13" s="20" t="e">
        <f t="shared" si="25"/>
        <v>#NUM!</v>
      </c>
      <c r="GD13" s="59" t="e">
        <f t="shared" si="26"/>
        <v>#NUM!</v>
      </c>
      <c r="GE13" s="59">
        <f ca="1">AVERAGE(OFFSET($GD$3,0,0,'Données projet'!$E$17+1,1))-AVERAGE(OFFSET($H$3,0,0,'Données projet'!$E$17+1,1))</f>
        <v>0</v>
      </c>
      <c r="GF13" s="59">
        <f t="shared" si="50"/>
        <v>0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5.0625</v>
      </c>
      <c r="N14" s="13">
        <f>IF('Données projet'!$A$36&gt;35,N13+M14-V13,IF(A14&lt;'Données projet'!$A$36,$K$205^A14,IF(A14='Données projet'!$A$36,'Données projet'!$B$36,N13+M14-V13)))</f>
        <v>20.515563512593022</v>
      </c>
      <c r="O14" s="13">
        <f>N14*VLOOKUP('Données projet'!$B$9,Paramètres!$A$1:$I$89,3,0)*VLOOKUP('Données projet'!$B$9,Paramètres!$A$1:$I$89,5,0)</f>
        <v>12.268306980530628</v>
      </c>
      <c r="P14" s="13">
        <f t="shared" si="33"/>
        <v>4.2228160922068056</v>
      </c>
      <c r="Q14" s="20">
        <f t="shared" si="2"/>
        <v>28.722039351684362</v>
      </c>
      <c r="R14" s="59">
        <f t="shared" si="0"/>
        <v>322.05537268501769</v>
      </c>
      <c r="S14" s="59">
        <f ca="1">AVERAGE(OFFSET($R$3,0,0,'Données projet'!$E$9+1,1))-AVERAGE(OFFSET($H$3,0,0,'Données projet'!$E$9+1,1))</f>
        <v>186.90544184210381</v>
      </c>
      <c r="T14" s="59">
        <f t="shared" si="34"/>
        <v>202.05988514450519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5.0625</v>
      </c>
      <c r="AI14" s="13">
        <f>IF('Données projet'!$A$62&gt;35,AI13+AH14-AQ13,IF(A14&lt;'Données projet'!$A$62,$AF$205^A14,IF(A14='Données projet'!$A$62,'Données projet'!$B$62,AI13+AH14-AQ13)))</f>
        <v>20.515563512593022</v>
      </c>
      <c r="AJ14" s="13">
        <f>AI14*VLOOKUP('Données projet'!$B$10,Paramètres!$A$1:$I$89,3,0)*VLOOKUP('Données projet'!$B$10,Paramètres!$A$1:$I$89,5,0)</f>
        <v>12.268306980530628</v>
      </c>
      <c r="AK14" s="13">
        <f t="shared" si="35"/>
        <v>4.2228160922068056</v>
      </c>
      <c r="AL14" s="20">
        <f t="shared" si="4"/>
        <v>28.722039351684362</v>
      </c>
      <c r="AM14" s="59">
        <f t="shared" si="5"/>
        <v>322.05537268501769</v>
      </c>
      <c r="AN14" s="59">
        <f ca="1">AVERAGE(OFFSET($AM$3,0,0,'Données projet'!$E$10+1,1))-AVERAGE(OFFSET($H$3,0,0,'Données projet'!$E$10+1,1))</f>
        <v>186.90544184210381</v>
      </c>
      <c r="AO14" s="59">
        <f t="shared" si="36"/>
        <v>202.05988514450519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1.9</v>
      </c>
      <c r="BD14" s="12">
        <f>IF('Données projet'!$A$88&gt;35,BD13+BC14-BL13,IF(A14&lt;'Données projet'!$A$88,$BA$205^A14,IF(A14='Données projet'!$A$88,'Données projet'!$B$88,BD13+BC14-BL13)))</f>
        <v>7.3940260811615319</v>
      </c>
      <c r="BE14" s="13">
        <f>BD14*VLOOKUP('Données projet'!$B$11,Paramètres!$A$1:$I$89,3,0)*VLOOKUP('Données projet'!$B$11,Paramètres!$A$1:$I$89,5,0)</f>
        <v>5.9980339570382348</v>
      </c>
      <c r="BF14" s="13">
        <f t="shared" si="37"/>
        <v>2.243885781757359</v>
      </c>
      <c r="BG14" s="20">
        <f t="shared" si="7"/>
        <v>14.354676878402325</v>
      </c>
      <c r="BH14" s="59">
        <f t="shared" si="8"/>
        <v>307.68801021173562</v>
      </c>
      <c r="BI14" s="59">
        <f ca="1">AVERAGE(OFFSET($BH$3,0,0,'Données projet'!$E$11+1,1))-AVERAGE(OFFSET($H$3,0,0,'Données projet'!$E$11+1,1))</f>
        <v>5.8584049049231908</v>
      </c>
      <c r="BJ14" s="59">
        <f t="shared" si="38"/>
        <v>42.266833200216638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>
        <f>BY14*VLOOKUP('Données projet'!$B$12,Paramètres!$A$1:$I$89,3,0)*VLOOKUP('Données projet'!$B$12,Paramètres!$A$1:$I$89,5,0)</f>
        <v>0</v>
      </c>
      <c r="CA14" s="13" t="e">
        <f t="shared" si="39"/>
        <v>#NUM!</v>
      </c>
      <c r="CB14" s="20" t="e">
        <f t="shared" si="10"/>
        <v>#NUM!</v>
      </c>
      <c r="CC14" s="59" t="e">
        <f t="shared" si="11"/>
        <v>#NUM!</v>
      </c>
      <c r="CD14" s="59">
        <f ca="1">AVERAGE(OFFSET($CC$3,0,0,'Données projet'!$E$12+1,1))-AVERAGE(OFFSET($H$3,0,0,'Données projet'!$E$12+1,1))</f>
        <v>0</v>
      </c>
      <c r="CE14" s="59">
        <f t="shared" si="40"/>
        <v>0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>
        <f>CT14*VLOOKUP('Données projet'!$B$13,Paramètres!$A$1:$I$89,3,0)*VLOOKUP('Données projet'!$B$13,Paramètres!$A$1:$I$89,5,0)</f>
        <v>0</v>
      </c>
      <c r="CV14" s="13" t="e">
        <f t="shared" si="41"/>
        <v>#NUM!</v>
      </c>
      <c r="CW14" s="20" t="e">
        <f t="shared" si="13"/>
        <v>#NUM!</v>
      </c>
      <c r="CX14" s="59" t="e">
        <f t="shared" si="14"/>
        <v>#NUM!</v>
      </c>
      <c r="CY14" s="59">
        <f ca="1">AVERAGE(OFFSET($CX$3,0,0,'Données projet'!$E$13+1,1))-AVERAGE(OFFSET($H$3,0,0,'Données projet'!$E$13+1,1))</f>
        <v>0</v>
      </c>
      <c r="CZ14" s="59">
        <f t="shared" si="42"/>
        <v>0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>
        <f>EJ14*VLOOKUP('Données projet'!$B$15,Paramètres!$A$1:$I$89,3,0)*VLOOKUP('Données projet'!$B$15,Paramètres!$A$1:$I$89,5,0)</f>
        <v>0</v>
      </c>
      <c r="EL14" s="13" t="e">
        <f t="shared" si="45"/>
        <v>#NUM!</v>
      </c>
      <c r="EM14" s="20" t="e">
        <f t="shared" si="19"/>
        <v>#NUM!</v>
      </c>
      <c r="EN14" s="59" t="e">
        <f t="shared" si="20"/>
        <v>#NUM!</v>
      </c>
      <c r="EO14" s="59">
        <f ca="1">AVERAGE(OFFSET($EN$3,0,0,'Données projet'!$E$15+1,1))-AVERAGE(OFFSET($H$3,0,0,'Données projet'!$E$15+1,1))</f>
        <v>0</v>
      </c>
      <c r="EP14" s="59">
        <f t="shared" si="46"/>
        <v>0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>
        <f>FE14*VLOOKUP('Données projet'!$B$16,Paramètres!$A$1:$I$89,3,0)*VLOOKUP('Données projet'!$B$16,Paramètres!$A$1:$I$89,5,0)</f>
        <v>0</v>
      </c>
      <c r="FG14" s="13" t="e">
        <f t="shared" si="47"/>
        <v>#NUM!</v>
      </c>
      <c r="FH14" s="20" t="e">
        <f t="shared" si="22"/>
        <v>#NUM!</v>
      </c>
      <c r="FI14" s="59" t="e">
        <f t="shared" si="23"/>
        <v>#NUM!</v>
      </c>
      <c r="FJ14" s="59">
        <f ca="1">AVERAGE(OFFSET($FI$3,0,0,'Données projet'!$E$16+1,1))-AVERAGE(OFFSET($H$3,0,0,'Données projet'!$E$16+1,1))</f>
        <v>0</v>
      </c>
      <c r="FK14" s="59">
        <f t="shared" si="48"/>
        <v>0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>
        <f>FZ14*VLOOKUP('Données projet'!$B$17,Paramètres!$A$1:$I$89,3,0)*VLOOKUP('Données projet'!$B$17,Paramètres!$A$1:$I$89,5,0)</f>
        <v>0</v>
      </c>
      <c r="GB14" s="13" t="e">
        <f t="shared" si="49"/>
        <v>#NUM!</v>
      </c>
      <c r="GC14" s="20" t="e">
        <f t="shared" si="25"/>
        <v>#NUM!</v>
      </c>
      <c r="GD14" s="59" t="e">
        <f t="shared" si="26"/>
        <v>#NUM!</v>
      </c>
      <c r="GE14" s="59">
        <f ca="1">AVERAGE(OFFSET($GD$3,0,0,'Données projet'!$E$17+1,1))-AVERAGE(OFFSET($H$3,0,0,'Données projet'!$E$17+1,1))</f>
        <v>0</v>
      </c>
      <c r="GF14" s="59">
        <f t="shared" si="50"/>
        <v>0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5.0625</v>
      </c>
      <c r="N15" s="13">
        <f>IF('Données projet'!$A$36&gt;35,N14+M15-V14,IF(A15&lt;'Données projet'!$A$36,$K$205^A15,IF(A15='Données projet'!$A$36,'Données projet'!$B$36,N14+M15-V14)))</f>
        <v>27.000000000000032</v>
      </c>
      <c r="O15" s="13">
        <f>N15*VLOOKUP('Données projet'!$B$9,Paramètres!$A$1:$I$89,3,0)*VLOOKUP('Données projet'!$B$9,Paramètres!$A$1:$I$89,5,0)</f>
        <v>16.146000000000022</v>
      </c>
      <c r="P15" s="13">
        <f t="shared" si="33"/>
        <v>5.3826761733310242</v>
      </c>
      <c r="Q15" s="20">
        <f t="shared" si="2"/>
        <v>37.495777668551568</v>
      </c>
      <c r="R15" s="59">
        <f t="shared" si="0"/>
        <v>330.82911100188488</v>
      </c>
      <c r="S15" s="59">
        <f ca="1">AVERAGE(OFFSET($R$3,0,0,'Données projet'!$E$9+1,1))-AVERAGE(OFFSET($H$3,0,0,'Données projet'!$E$9+1,1))</f>
        <v>186.90544184210381</v>
      </c>
      <c r="T15" s="59">
        <f t="shared" si="34"/>
        <v>202.05988514450519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5.0625</v>
      </c>
      <c r="AI15" s="13">
        <f>IF('Données projet'!$A$62&gt;35,AI14+AH15-AQ14,IF(A15&lt;'Données projet'!$A$62,$AF$205^A15,IF(A15='Données projet'!$A$62,'Données projet'!$B$62,AI14+AH15-AQ14)))</f>
        <v>27.000000000000032</v>
      </c>
      <c r="AJ15" s="13">
        <f>AI15*VLOOKUP('Données projet'!$B$10,Paramètres!$A$1:$I$89,3,0)*VLOOKUP('Données projet'!$B$10,Paramètres!$A$1:$I$89,5,0)</f>
        <v>16.146000000000022</v>
      </c>
      <c r="AK15" s="13">
        <f t="shared" si="35"/>
        <v>5.3826761733310242</v>
      </c>
      <c r="AL15" s="20">
        <f t="shared" si="4"/>
        <v>37.495777668551568</v>
      </c>
      <c r="AM15" s="59">
        <f t="shared" si="5"/>
        <v>330.82911100188488</v>
      </c>
      <c r="AN15" s="59">
        <f ca="1">AVERAGE(OFFSET($AM$3,0,0,'Données projet'!$E$10+1,1))-AVERAGE(OFFSET($H$3,0,0,'Données projet'!$E$10+1,1))</f>
        <v>186.90544184210381</v>
      </c>
      <c r="AO15" s="59">
        <f t="shared" si="36"/>
        <v>202.05988514450519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1.9</v>
      </c>
      <c r="BD15" s="12">
        <f>IF('Données projet'!$A$88&gt;35,BD14+BC15-BL14,IF(A15&lt;'Données projet'!$A$88,$BA$205^A15,IF(A15='Données projet'!$A$88,'Données projet'!$B$88,BD14+BC15-BL14)))</f>
        <v>8.8689081658962738</v>
      </c>
      <c r="BE15" s="13">
        <f>BD15*VLOOKUP('Données projet'!$B$11,Paramètres!$A$1:$I$89,3,0)*VLOOKUP('Données projet'!$B$11,Paramètres!$A$1:$I$89,5,0)</f>
        <v>7.1944583041750576</v>
      </c>
      <c r="BF15" s="13">
        <f t="shared" si="37"/>
        <v>2.6350908076522259</v>
      </c>
      <c r="BG15" s="20">
        <f t="shared" si="7"/>
        <v>17.119798036432517</v>
      </c>
      <c r="BH15" s="59">
        <f t="shared" si="8"/>
        <v>310.45313136976586</v>
      </c>
      <c r="BI15" s="59">
        <f ca="1">AVERAGE(OFFSET($BH$3,0,0,'Données projet'!$E$11+1,1))-AVERAGE(OFFSET($H$3,0,0,'Données projet'!$E$11+1,1))</f>
        <v>5.8584049049231908</v>
      </c>
      <c r="BJ15" s="59">
        <f t="shared" si="38"/>
        <v>42.266833200216638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>
        <f>BY15*VLOOKUP('Données projet'!$B$12,Paramètres!$A$1:$I$89,3,0)*VLOOKUP('Données projet'!$B$12,Paramètres!$A$1:$I$89,5,0)</f>
        <v>0</v>
      </c>
      <c r="CA15" s="13" t="e">
        <f t="shared" si="39"/>
        <v>#NUM!</v>
      </c>
      <c r="CB15" s="20" t="e">
        <f t="shared" si="10"/>
        <v>#NUM!</v>
      </c>
      <c r="CC15" s="59" t="e">
        <f t="shared" si="11"/>
        <v>#NUM!</v>
      </c>
      <c r="CD15" s="59">
        <f ca="1">AVERAGE(OFFSET($CC$3,0,0,'Données projet'!$E$12+1,1))-AVERAGE(OFFSET($H$3,0,0,'Données projet'!$E$12+1,1))</f>
        <v>0</v>
      </c>
      <c r="CE15" s="59">
        <f t="shared" si="40"/>
        <v>0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>
        <f>CT15*VLOOKUP('Données projet'!$B$13,Paramètres!$A$1:$I$89,3,0)*VLOOKUP('Données projet'!$B$13,Paramètres!$A$1:$I$89,5,0)</f>
        <v>0</v>
      </c>
      <c r="CV15" s="13" t="e">
        <f t="shared" si="41"/>
        <v>#NUM!</v>
      </c>
      <c r="CW15" s="20" t="e">
        <f t="shared" si="13"/>
        <v>#NUM!</v>
      </c>
      <c r="CX15" s="59" t="e">
        <f t="shared" si="14"/>
        <v>#NUM!</v>
      </c>
      <c r="CY15" s="59">
        <f ca="1">AVERAGE(OFFSET($CX$3,0,0,'Données projet'!$E$13+1,1))-AVERAGE(OFFSET($H$3,0,0,'Données projet'!$E$13+1,1))</f>
        <v>0</v>
      </c>
      <c r="CZ15" s="59">
        <f t="shared" si="42"/>
        <v>0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>
        <f>EJ15*VLOOKUP('Données projet'!$B$15,Paramètres!$A$1:$I$89,3,0)*VLOOKUP('Données projet'!$B$15,Paramètres!$A$1:$I$89,5,0)</f>
        <v>0</v>
      </c>
      <c r="EL15" s="13" t="e">
        <f t="shared" si="45"/>
        <v>#NUM!</v>
      </c>
      <c r="EM15" s="20" t="e">
        <f t="shared" si="19"/>
        <v>#NUM!</v>
      </c>
      <c r="EN15" s="59" t="e">
        <f t="shared" si="20"/>
        <v>#NUM!</v>
      </c>
      <c r="EO15" s="59">
        <f ca="1">AVERAGE(OFFSET($EN$3,0,0,'Données projet'!$E$15+1,1))-AVERAGE(OFFSET($H$3,0,0,'Données projet'!$E$15+1,1))</f>
        <v>0</v>
      </c>
      <c r="EP15" s="59">
        <f t="shared" si="46"/>
        <v>0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>
        <f>FE15*VLOOKUP('Données projet'!$B$16,Paramètres!$A$1:$I$89,3,0)*VLOOKUP('Données projet'!$B$16,Paramètres!$A$1:$I$89,5,0)</f>
        <v>0</v>
      </c>
      <c r="FG15" s="13" t="e">
        <f t="shared" si="47"/>
        <v>#NUM!</v>
      </c>
      <c r="FH15" s="20" t="e">
        <f t="shared" si="22"/>
        <v>#NUM!</v>
      </c>
      <c r="FI15" s="59" t="e">
        <f t="shared" si="23"/>
        <v>#NUM!</v>
      </c>
      <c r="FJ15" s="59">
        <f ca="1">AVERAGE(OFFSET($FI$3,0,0,'Données projet'!$E$16+1,1))-AVERAGE(OFFSET($H$3,0,0,'Données projet'!$E$16+1,1))</f>
        <v>0</v>
      </c>
      <c r="FK15" s="59">
        <f t="shared" si="48"/>
        <v>0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>
        <f>FZ15*VLOOKUP('Données projet'!$B$17,Paramètres!$A$1:$I$89,3,0)*VLOOKUP('Données projet'!$B$17,Paramètres!$A$1:$I$89,5,0)</f>
        <v>0</v>
      </c>
      <c r="GB15" s="13" t="e">
        <f t="shared" si="49"/>
        <v>#NUM!</v>
      </c>
      <c r="GC15" s="20" t="e">
        <f t="shared" si="25"/>
        <v>#NUM!</v>
      </c>
      <c r="GD15" s="59" t="e">
        <f t="shared" si="26"/>
        <v>#NUM!</v>
      </c>
      <c r="GE15" s="59">
        <f ca="1">AVERAGE(OFFSET($GD$3,0,0,'Données projet'!$E$17+1,1))-AVERAGE(OFFSET($H$3,0,0,'Données projet'!$E$17+1,1))</f>
        <v>0</v>
      </c>
      <c r="GF15" s="59">
        <f t="shared" si="50"/>
        <v>0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5.0625</v>
      </c>
      <c r="N16" s="13">
        <f>IF('Données projet'!$A$36&gt;35,N15+M16-V15,IF(A16&lt;'Données projet'!$A$36,$K$205^A16,IF(A16='Données projet'!$A$36,'Données projet'!$B$36,N15+M16-V15)))</f>
        <v>35.533998349717344</v>
      </c>
      <c r="O16" s="13">
        <f>N16*VLOOKUP('Données projet'!$B$9,Paramètres!$A$1:$I$89,3,0)*VLOOKUP('Données projet'!$B$9,Paramètres!$A$1:$I$89,5,0)</f>
        <v>21.249331013130973</v>
      </c>
      <c r="P16" s="13">
        <f t="shared" si="33"/>
        <v>6.8611093058055497</v>
      </c>
      <c r="Q16" s="20">
        <f t="shared" si="2"/>
        <v>48.959016888814439</v>
      </c>
      <c r="R16" s="59">
        <f t="shared" si="0"/>
        <v>342.29235022214777</v>
      </c>
      <c r="S16" s="59">
        <f ca="1">AVERAGE(OFFSET($R$3,0,0,'Données projet'!$E$9+1,1))-AVERAGE(OFFSET($H$3,0,0,'Données projet'!$E$9+1,1))</f>
        <v>186.90544184210381</v>
      </c>
      <c r="T16" s="59">
        <f t="shared" si="34"/>
        <v>202.05988514450519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5.0625</v>
      </c>
      <c r="AI16" s="13">
        <f>IF('Données projet'!$A$62&gt;35,AI15+AH16-AQ15,IF(A16&lt;'Données projet'!$A$62,$AF$205^A16,IF(A16='Données projet'!$A$62,'Données projet'!$B$62,AI15+AH16-AQ15)))</f>
        <v>35.533998349717344</v>
      </c>
      <c r="AJ16" s="13">
        <f>AI16*VLOOKUP('Données projet'!$B$10,Paramètres!$A$1:$I$89,3,0)*VLOOKUP('Données projet'!$B$10,Paramètres!$A$1:$I$89,5,0)</f>
        <v>21.249331013130973</v>
      </c>
      <c r="AK16" s="13">
        <f t="shared" si="35"/>
        <v>6.8611093058055497</v>
      </c>
      <c r="AL16" s="20">
        <f t="shared" si="4"/>
        <v>48.959016888814439</v>
      </c>
      <c r="AM16" s="59">
        <f t="shared" si="5"/>
        <v>342.29235022214777</v>
      </c>
      <c r="AN16" s="59">
        <f ca="1">AVERAGE(OFFSET($AM$3,0,0,'Données projet'!$E$10+1,1))-AVERAGE(OFFSET($H$3,0,0,'Données projet'!$E$10+1,1))</f>
        <v>186.90544184210381</v>
      </c>
      <c r="AO16" s="59">
        <f t="shared" si="36"/>
        <v>202.05988514450519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1.9</v>
      </c>
      <c r="BD16" s="12">
        <f>IF('Données projet'!$A$88&gt;35,BD15+BC16-BL15,IF(A16&lt;'Données projet'!$A$88,$BA$205^A16,IF(A16='Données projet'!$A$88,'Données projet'!$B$88,BD15+BC16-BL15)))</f>
        <v>10.637984122818409</v>
      </c>
      <c r="BE16" s="13">
        <f>BD16*VLOOKUP('Données projet'!$B$11,Paramètres!$A$1:$I$89,3,0)*VLOOKUP('Données projet'!$B$11,Paramètres!$A$1:$I$89,5,0)</f>
        <v>8.6295327204302943</v>
      </c>
      <c r="BF16" s="13">
        <f t="shared" si="37"/>
        <v>3.0944995601046648</v>
      </c>
      <c r="BG16" s="20">
        <f t="shared" si="7"/>
        <v>20.419356221931722</v>
      </c>
      <c r="BH16" s="59">
        <f t="shared" si="8"/>
        <v>313.75268955526502</v>
      </c>
      <c r="BI16" s="59">
        <f ca="1">AVERAGE(OFFSET($BH$3,0,0,'Données projet'!$E$11+1,1))-AVERAGE(OFFSET($H$3,0,0,'Données projet'!$E$11+1,1))</f>
        <v>5.8584049049231908</v>
      </c>
      <c r="BJ16" s="59">
        <f t="shared" si="38"/>
        <v>42.266833200216638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>
        <f>BY16*VLOOKUP('Données projet'!$B$12,Paramètres!$A$1:$I$89,3,0)*VLOOKUP('Données projet'!$B$12,Paramètres!$A$1:$I$89,5,0)</f>
        <v>0</v>
      </c>
      <c r="CA16" s="13" t="e">
        <f t="shared" si="39"/>
        <v>#NUM!</v>
      </c>
      <c r="CB16" s="20" t="e">
        <f t="shared" si="10"/>
        <v>#NUM!</v>
      </c>
      <c r="CC16" s="59" t="e">
        <f t="shared" si="11"/>
        <v>#NUM!</v>
      </c>
      <c r="CD16" s="59">
        <f ca="1">AVERAGE(OFFSET($CC$3,0,0,'Données projet'!$E$12+1,1))-AVERAGE(OFFSET($H$3,0,0,'Données projet'!$E$12+1,1))</f>
        <v>0</v>
      </c>
      <c r="CE16" s="59">
        <f t="shared" si="40"/>
        <v>0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>
        <f>CT16*VLOOKUP('Données projet'!$B$13,Paramètres!$A$1:$I$89,3,0)*VLOOKUP('Données projet'!$B$13,Paramètres!$A$1:$I$89,5,0)</f>
        <v>0</v>
      </c>
      <c r="CV16" s="13" t="e">
        <f t="shared" si="41"/>
        <v>#NUM!</v>
      </c>
      <c r="CW16" s="20" t="e">
        <f t="shared" si="13"/>
        <v>#NUM!</v>
      </c>
      <c r="CX16" s="59" t="e">
        <f t="shared" si="14"/>
        <v>#NUM!</v>
      </c>
      <c r="CY16" s="59">
        <f ca="1">AVERAGE(OFFSET($CX$3,0,0,'Données projet'!$E$13+1,1))-AVERAGE(OFFSET($H$3,0,0,'Données projet'!$E$13+1,1))</f>
        <v>0</v>
      </c>
      <c r="CZ16" s="59">
        <f t="shared" si="42"/>
        <v>0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>
        <f>EJ16*VLOOKUP('Données projet'!$B$15,Paramètres!$A$1:$I$89,3,0)*VLOOKUP('Données projet'!$B$15,Paramètres!$A$1:$I$89,5,0)</f>
        <v>0</v>
      </c>
      <c r="EL16" s="13" t="e">
        <f t="shared" si="45"/>
        <v>#NUM!</v>
      </c>
      <c r="EM16" s="20" t="e">
        <f t="shared" si="19"/>
        <v>#NUM!</v>
      </c>
      <c r="EN16" s="59" t="e">
        <f t="shared" si="20"/>
        <v>#NUM!</v>
      </c>
      <c r="EO16" s="59">
        <f ca="1">AVERAGE(OFFSET($EN$3,0,0,'Données projet'!$E$15+1,1))-AVERAGE(OFFSET($H$3,0,0,'Données projet'!$E$15+1,1))</f>
        <v>0</v>
      </c>
      <c r="EP16" s="59">
        <f t="shared" si="46"/>
        <v>0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>
        <f>FE16*VLOOKUP('Données projet'!$B$16,Paramètres!$A$1:$I$89,3,0)*VLOOKUP('Données projet'!$B$16,Paramètres!$A$1:$I$89,5,0)</f>
        <v>0</v>
      </c>
      <c r="FG16" s="13" t="e">
        <f t="shared" si="47"/>
        <v>#NUM!</v>
      </c>
      <c r="FH16" s="20" t="e">
        <f t="shared" si="22"/>
        <v>#NUM!</v>
      </c>
      <c r="FI16" s="59" t="e">
        <f t="shared" si="23"/>
        <v>#NUM!</v>
      </c>
      <c r="FJ16" s="59">
        <f ca="1">AVERAGE(OFFSET($FI$3,0,0,'Données projet'!$E$16+1,1))-AVERAGE(OFFSET($H$3,0,0,'Données projet'!$E$16+1,1))</f>
        <v>0</v>
      </c>
      <c r="FK16" s="59">
        <f t="shared" si="48"/>
        <v>0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>
        <f>FZ16*VLOOKUP('Données projet'!$B$17,Paramètres!$A$1:$I$89,3,0)*VLOOKUP('Données projet'!$B$17,Paramètres!$A$1:$I$89,5,0)</f>
        <v>0</v>
      </c>
      <c r="GB16" s="13" t="e">
        <f t="shared" si="49"/>
        <v>#NUM!</v>
      </c>
      <c r="GC16" s="20" t="e">
        <f t="shared" si="25"/>
        <v>#NUM!</v>
      </c>
      <c r="GD16" s="59" t="e">
        <f t="shared" si="26"/>
        <v>#NUM!</v>
      </c>
      <c r="GE16" s="59">
        <f ca="1">AVERAGE(OFFSET($GD$3,0,0,'Données projet'!$E$17+1,1))-AVERAGE(OFFSET($H$3,0,0,'Données projet'!$E$17+1,1))</f>
        <v>0</v>
      </c>
      <c r="GF16" s="59">
        <f t="shared" si="50"/>
        <v>0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5.0625</v>
      </c>
      <c r="N17" s="13">
        <f>IF('Données projet'!$A$36&gt;35,N16+M17-V16,IF(A17&lt;'Données projet'!$A$36,$K$205^A17,IF(A17='Données projet'!$A$36,'Données projet'!$B$36,N16+M17-V16)))</f>
        <v>46.765371804359759</v>
      </c>
      <c r="O17" s="13">
        <f>N17*VLOOKUP('Données projet'!$B$9,Paramètres!$A$1:$I$89,3,0)*VLOOKUP('Données projet'!$B$9,Paramètres!$A$1:$I$89,5,0)</f>
        <v>27.965692339007138</v>
      </c>
      <c r="P17" s="13">
        <f t="shared" si="33"/>
        <v>8.7456163793482684</v>
      </c>
      <c r="Q17" s="20">
        <f t="shared" si="2"/>
        <v>63.938862684468994</v>
      </c>
      <c r="R17" s="59">
        <f t="shared" si="0"/>
        <v>357.27219601780229</v>
      </c>
      <c r="S17" s="59">
        <f ca="1">AVERAGE(OFFSET($R$3,0,0,'Données projet'!$E$9+1,1))-AVERAGE(OFFSET($H$3,0,0,'Données projet'!$E$9+1,1))</f>
        <v>186.90544184210381</v>
      </c>
      <c r="T17" s="59">
        <f t="shared" si="34"/>
        <v>202.05988514450519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5.0625</v>
      </c>
      <c r="AI17" s="13">
        <f>IF('Données projet'!$A$62&gt;35,AI16+AH17-AQ16,IF(A17&lt;'Données projet'!$A$62,$AF$205^A17,IF(A17='Données projet'!$A$62,'Données projet'!$B$62,AI16+AH17-AQ16)))</f>
        <v>46.765371804359759</v>
      </c>
      <c r="AJ17" s="13">
        <f>AI17*VLOOKUP('Données projet'!$B$10,Paramètres!$A$1:$I$89,3,0)*VLOOKUP('Données projet'!$B$10,Paramètres!$A$1:$I$89,5,0)</f>
        <v>27.965692339007138</v>
      </c>
      <c r="AK17" s="13">
        <f t="shared" si="35"/>
        <v>8.7456163793482684</v>
      </c>
      <c r="AL17" s="20">
        <f t="shared" si="4"/>
        <v>63.938862684468994</v>
      </c>
      <c r="AM17" s="59">
        <f t="shared" si="5"/>
        <v>357.27219601780229</v>
      </c>
      <c r="AN17" s="59">
        <f ca="1">AVERAGE(OFFSET($AM$3,0,0,'Données projet'!$E$10+1,1))-AVERAGE(OFFSET($H$3,0,0,'Données projet'!$E$10+1,1))</f>
        <v>186.90544184210381</v>
      </c>
      <c r="AO17" s="59">
        <f t="shared" si="36"/>
        <v>202.05988514450519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1.9</v>
      </c>
      <c r="BD17" s="12">
        <f>IF('Données projet'!$A$88&gt;35,BD16+BC17-BL16,IF(A17&lt;'Données projet'!$A$88,$BA$205^A17,IF(A17='Données projet'!$A$88,'Données projet'!$B$88,BD16+BC17-BL16)))</f>
        <v>12.759936632617073</v>
      </c>
      <c r="BE17" s="13">
        <f>BD17*VLOOKUP('Données projet'!$B$11,Paramètres!$A$1:$I$89,3,0)*VLOOKUP('Données projet'!$B$11,Paramètres!$A$1:$I$89,5,0)</f>
        <v>10.35086059637897</v>
      </c>
      <c r="BF17" s="13">
        <f t="shared" si="37"/>
        <v>3.6340028585275896</v>
      </c>
      <c r="BG17" s="20">
        <f t="shared" si="7"/>
        <v>24.35697051729559</v>
      </c>
      <c r="BH17" s="59">
        <f t="shared" si="8"/>
        <v>317.69030385062888</v>
      </c>
      <c r="BI17" s="59">
        <f ca="1">AVERAGE(OFFSET($BH$3,0,0,'Données projet'!$E$11+1,1))-AVERAGE(OFFSET($H$3,0,0,'Données projet'!$E$11+1,1))</f>
        <v>5.8584049049231908</v>
      </c>
      <c r="BJ17" s="59">
        <f t="shared" si="38"/>
        <v>42.266833200216638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>
        <f>BY17*VLOOKUP('Données projet'!$B$12,Paramètres!$A$1:$I$89,3,0)*VLOOKUP('Données projet'!$B$12,Paramètres!$A$1:$I$89,5,0)</f>
        <v>0</v>
      </c>
      <c r="CA17" s="13" t="e">
        <f t="shared" si="39"/>
        <v>#NUM!</v>
      </c>
      <c r="CB17" s="20" t="e">
        <f t="shared" si="10"/>
        <v>#NUM!</v>
      </c>
      <c r="CC17" s="59" t="e">
        <f t="shared" si="11"/>
        <v>#NUM!</v>
      </c>
      <c r="CD17" s="59">
        <f ca="1">AVERAGE(OFFSET($CC$3,0,0,'Données projet'!$E$12+1,1))-AVERAGE(OFFSET($H$3,0,0,'Données projet'!$E$12+1,1))</f>
        <v>0</v>
      </c>
      <c r="CE17" s="59">
        <f t="shared" si="40"/>
        <v>0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>
        <f>CT17*VLOOKUP('Données projet'!$B$13,Paramètres!$A$1:$I$89,3,0)*VLOOKUP('Données projet'!$B$13,Paramètres!$A$1:$I$89,5,0)</f>
        <v>0</v>
      </c>
      <c r="CV17" s="13" t="e">
        <f t="shared" si="41"/>
        <v>#NUM!</v>
      </c>
      <c r="CW17" s="20" t="e">
        <f t="shared" si="13"/>
        <v>#NUM!</v>
      </c>
      <c r="CX17" s="59" t="e">
        <f t="shared" si="14"/>
        <v>#NUM!</v>
      </c>
      <c r="CY17" s="59">
        <f ca="1">AVERAGE(OFFSET($CX$3,0,0,'Données projet'!$E$13+1,1))-AVERAGE(OFFSET($H$3,0,0,'Données projet'!$E$13+1,1))</f>
        <v>0</v>
      </c>
      <c r="CZ17" s="59">
        <f t="shared" si="42"/>
        <v>0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>
        <f>EJ17*VLOOKUP('Données projet'!$B$15,Paramètres!$A$1:$I$89,3,0)*VLOOKUP('Données projet'!$B$15,Paramètres!$A$1:$I$89,5,0)</f>
        <v>0</v>
      </c>
      <c r="EL17" s="13" t="e">
        <f t="shared" si="45"/>
        <v>#NUM!</v>
      </c>
      <c r="EM17" s="20" t="e">
        <f t="shared" si="19"/>
        <v>#NUM!</v>
      </c>
      <c r="EN17" s="59" t="e">
        <f t="shared" si="20"/>
        <v>#NUM!</v>
      </c>
      <c r="EO17" s="59">
        <f ca="1">AVERAGE(OFFSET($EN$3,0,0,'Données projet'!$E$15+1,1))-AVERAGE(OFFSET($H$3,0,0,'Données projet'!$E$15+1,1))</f>
        <v>0</v>
      </c>
      <c r="EP17" s="59">
        <f t="shared" si="46"/>
        <v>0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>
        <f>FE17*VLOOKUP('Données projet'!$B$16,Paramètres!$A$1:$I$89,3,0)*VLOOKUP('Données projet'!$B$16,Paramètres!$A$1:$I$89,5,0)</f>
        <v>0</v>
      </c>
      <c r="FG17" s="13" t="e">
        <f t="shared" si="47"/>
        <v>#NUM!</v>
      </c>
      <c r="FH17" s="20" t="e">
        <f t="shared" si="22"/>
        <v>#NUM!</v>
      </c>
      <c r="FI17" s="59" t="e">
        <f t="shared" si="23"/>
        <v>#NUM!</v>
      </c>
      <c r="FJ17" s="59">
        <f ca="1">AVERAGE(OFFSET($FI$3,0,0,'Données projet'!$E$16+1,1))-AVERAGE(OFFSET($H$3,0,0,'Données projet'!$E$16+1,1))</f>
        <v>0</v>
      </c>
      <c r="FK17" s="59">
        <f t="shared" si="48"/>
        <v>0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>
        <f>FZ17*VLOOKUP('Données projet'!$B$17,Paramètres!$A$1:$I$89,3,0)*VLOOKUP('Données projet'!$B$17,Paramètres!$A$1:$I$89,5,0)</f>
        <v>0</v>
      </c>
      <c r="GB17" s="13" t="e">
        <f t="shared" si="49"/>
        <v>#NUM!</v>
      </c>
      <c r="GC17" s="20" t="e">
        <f t="shared" si="25"/>
        <v>#NUM!</v>
      </c>
      <c r="GD17" s="59" t="e">
        <f t="shared" si="26"/>
        <v>#NUM!</v>
      </c>
      <c r="GE17" s="59">
        <f ca="1">AVERAGE(OFFSET($GD$3,0,0,'Données projet'!$E$17+1,1))-AVERAGE(OFFSET($H$3,0,0,'Données projet'!$E$17+1,1))</f>
        <v>0</v>
      </c>
      <c r="GF17" s="59">
        <f t="shared" si="50"/>
        <v>0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5.0625</v>
      </c>
      <c r="N18" s="13">
        <f>IF('Données projet'!$A$36&gt;35,N17+M18-V17,IF(A18&lt;'Données projet'!$A$36,$K$205^A18,IF(A18='Données projet'!$A$36,'Données projet'!$B$36,N17+M18-V17)))</f>
        <v>61.546690537779092</v>
      </c>
      <c r="O18" s="13">
        <f>N18*VLOOKUP('Données projet'!$B$9,Paramètres!$A$1:$I$89,3,0)*VLOOKUP('Données projet'!$B$9,Paramètres!$A$1:$I$89,5,0)</f>
        <v>36.804920941591895</v>
      </c>
      <c r="P18" s="13">
        <f t="shared" si="33"/>
        <v>11.147731721750315</v>
      </c>
      <c r="Q18" s="20">
        <f t="shared" si="2"/>
        <v>83.517536721987668</v>
      </c>
      <c r="R18" s="59">
        <f t="shared" si="0"/>
        <v>376.85087005532097</v>
      </c>
      <c r="S18" s="59">
        <f ca="1">AVERAGE(OFFSET($R$3,0,0,'Données projet'!$E$9+1,1))-AVERAGE(OFFSET($H$3,0,0,'Données projet'!$E$9+1,1))</f>
        <v>186.90544184210381</v>
      </c>
      <c r="T18" s="59">
        <f t="shared" si="34"/>
        <v>202.05988514450519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5.0625</v>
      </c>
      <c r="AI18" s="13">
        <f>IF('Données projet'!$A$62&gt;35,AI17+AH18-AQ17,IF(A18&lt;'Données projet'!$A$62,$AF$205^A18,IF(A18='Données projet'!$A$62,'Données projet'!$B$62,AI17+AH18-AQ17)))</f>
        <v>61.546690537779092</v>
      </c>
      <c r="AJ18" s="13">
        <f>AI18*VLOOKUP('Données projet'!$B$10,Paramètres!$A$1:$I$89,3,0)*VLOOKUP('Données projet'!$B$10,Paramètres!$A$1:$I$89,5,0)</f>
        <v>36.804920941591895</v>
      </c>
      <c r="AK18" s="13">
        <f t="shared" si="35"/>
        <v>11.147731721750315</v>
      </c>
      <c r="AL18" s="20">
        <f t="shared" si="4"/>
        <v>83.517536721987668</v>
      </c>
      <c r="AM18" s="59">
        <f t="shared" si="5"/>
        <v>376.85087005532097</v>
      </c>
      <c r="AN18" s="59">
        <f ca="1">AVERAGE(OFFSET($AM$3,0,0,'Données projet'!$E$10+1,1))-AVERAGE(OFFSET($H$3,0,0,'Données projet'!$E$10+1,1))</f>
        <v>186.90544184210381</v>
      </c>
      <c r="AO18" s="59">
        <f t="shared" si="36"/>
        <v>202.05988514450519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1.9</v>
      </c>
      <c r="BD18" s="12">
        <f>IF('Données projet'!$A$88&gt;35,BD17+BC18-BL17,IF(A18&lt;'Données projet'!$A$88,$BA$205^A18,IF(A18='Données projet'!$A$88,'Données projet'!$B$88,BD17+BC18-BL17)))</f>
        <v>15.30515377618997</v>
      </c>
      <c r="BE18" s="13">
        <f>BD18*VLOOKUP('Données projet'!$B$11,Paramètres!$A$1:$I$89,3,0)*VLOOKUP('Données projet'!$B$11,Paramètres!$A$1:$I$89,5,0)</f>
        <v>12.415540743245305</v>
      </c>
      <c r="BF18" s="13">
        <f t="shared" si="37"/>
        <v>4.2675645994727587</v>
      </c>
      <c r="BG18" s="20">
        <f t="shared" si="7"/>
        <v>29.056408471900628</v>
      </c>
      <c r="BH18" s="59">
        <f t="shared" si="8"/>
        <v>322.38974180523394</v>
      </c>
      <c r="BI18" s="59">
        <f ca="1">AVERAGE(OFFSET($BH$3,0,0,'Données projet'!$E$11+1,1))-AVERAGE(OFFSET($H$3,0,0,'Données projet'!$E$11+1,1))</f>
        <v>5.8584049049231908</v>
      </c>
      <c r="BJ18" s="59">
        <f t="shared" si="38"/>
        <v>42.266833200216638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>
        <f>BY18*VLOOKUP('Données projet'!$B$12,Paramètres!$A$1:$I$89,3,0)*VLOOKUP('Données projet'!$B$12,Paramètres!$A$1:$I$89,5,0)</f>
        <v>0</v>
      </c>
      <c r="CA18" s="13" t="e">
        <f t="shared" si="39"/>
        <v>#NUM!</v>
      </c>
      <c r="CB18" s="20" t="e">
        <f t="shared" si="10"/>
        <v>#NUM!</v>
      </c>
      <c r="CC18" s="59" t="e">
        <f t="shared" si="11"/>
        <v>#NUM!</v>
      </c>
      <c r="CD18" s="59">
        <f ca="1">AVERAGE(OFFSET($CC$3,0,0,'Données projet'!$E$12+1,1))-AVERAGE(OFFSET($H$3,0,0,'Données projet'!$E$12+1,1))</f>
        <v>0</v>
      </c>
      <c r="CE18" s="59">
        <f t="shared" si="40"/>
        <v>0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>
        <f>CT18*VLOOKUP('Données projet'!$B$13,Paramètres!$A$1:$I$89,3,0)*VLOOKUP('Données projet'!$B$13,Paramètres!$A$1:$I$89,5,0)</f>
        <v>0</v>
      </c>
      <c r="CV18" s="13" t="e">
        <f t="shared" si="41"/>
        <v>#NUM!</v>
      </c>
      <c r="CW18" s="20" t="e">
        <f t="shared" si="13"/>
        <v>#NUM!</v>
      </c>
      <c r="CX18" s="59" t="e">
        <f t="shared" si="14"/>
        <v>#NUM!</v>
      </c>
      <c r="CY18" s="59">
        <f ca="1">AVERAGE(OFFSET($CX$3,0,0,'Données projet'!$E$13+1,1))-AVERAGE(OFFSET($H$3,0,0,'Données projet'!$E$13+1,1))</f>
        <v>0</v>
      </c>
      <c r="CZ18" s="59">
        <f t="shared" si="42"/>
        <v>0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>
        <f>EJ18*VLOOKUP('Données projet'!$B$15,Paramètres!$A$1:$I$89,3,0)*VLOOKUP('Données projet'!$B$15,Paramètres!$A$1:$I$89,5,0)</f>
        <v>0</v>
      </c>
      <c r="EL18" s="13" t="e">
        <f t="shared" si="45"/>
        <v>#NUM!</v>
      </c>
      <c r="EM18" s="20" t="e">
        <f t="shared" si="19"/>
        <v>#NUM!</v>
      </c>
      <c r="EN18" s="59" t="e">
        <f t="shared" si="20"/>
        <v>#NUM!</v>
      </c>
      <c r="EO18" s="59">
        <f ca="1">AVERAGE(OFFSET($EN$3,0,0,'Données projet'!$E$15+1,1))-AVERAGE(OFFSET($H$3,0,0,'Données projet'!$E$15+1,1))</f>
        <v>0</v>
      </c>
      <c r="EP18" s="59">
        <f t="shared" si="46"/>
        <v>0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>
        <f>FE18*VLOOKUP('Données projet'!$B$16,Paramètres!$A$1:$I$89,3,0)*VLOOKUP('Données projet'!$B$16,Paramètres!$A$1:$I$89,5,0)</f>
        <v>0</v>
      </c>
      <c r="FG18" s="13" t="e">
        <f t="shared" si="47"/>
        <v>#NUM!</v>
      </c>
      <c r="FH18" s="20" t="e">
        <f t="shared" si="22"/>
        <v>#NUM!</v>
      </c>
      <c r="FI18" s="59" t="e">
        <f t="shared" si="23"/>
        <v>#NUM!</v>
      </c>
      <c r="FJ18" s="59">
        <f ca="1">AVERAGE(OFFSET($FI$3,0,0,'Données projet'!$E$16+1,1))-AVERAGE(OFFSET($H$3,0,0,'Données projet'!$E$16+1,1))</f>
        <v>0</v>
      </c>
      <c r="FK18" s="59">
        <f t="shared" si="48"/>
        <v>0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>
        <f>FZ18*VLOOKUP('Données projet'!$B$17,Paramètres!$A$1:$I$89,3,0)*VLOOKUP('Données projet'!$B$17,Paramètres!$A$1:$I$89,5,0)</f>
        <v>0</v>
      </c>
      <c r="GB18" s="13" t="e">
        <f t="shared" si="49"/>
        <v>#NUM!</v>
      </c>
      <c r="GC18" s="20" t="e">
        <f t="shared" si="25"/>
        <v>#NUM!</v>
      </c>
      <c r="GD18" s="59" t="e">
        <f t="shared" si="26"/>
        <v>#NUM!</v>
      </c>
      <c r="GE18" s="59">
        <f ca="1">AVERAGE(OFFSET($GD$3,0,0,'Données projet'!$E$17+1,1))-AVERAGE(OFFSET($H$3,0,0,'Données projet'!$E$17+1,1))</f>
        <v>0</v>
      </c>
      <c r="GF18" s="59">
        <f t="shared" si="50"/>
        <v>0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81</v>
      </c>
      <c r="L19" s="12">
        <f>VLOOKUP(A19,'Données projet'!$A$35:$I$55,9,0)</f>
        <v>5.0625</v>
      </c>
      <c r="M19" s="12">
        <f t="array" ref="M19">INDEX(L:L,MIN(IF(ISNUMBER(L19:L215),ROW(L19:L215),"")))</f>
        <v>5.0625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projet'!$B$9,Paramètres!$A$1:$I$89,3,0)*VLOOKUP('Données projet'!$B$9,Paramètres!$A$1:$I$89,5,0)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402.44461222644179</v>
      </c>
      <c r="S19" s="59">
        <f ca="1">AVERAGE(OFFSET($R$3,0,0,'Données projet'!$E$9+1,1))-AVERAGE(OFFSET($H$3,0,0,'Données projet'!$E$9+1,1))</f>
        <v>186.90544184210381</v>
      </c>
      <c r="T19" s="59">
        <f t="shared" si="34"/>
        <v>202.05988514450519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2.6667970095349296</v>
      </c>
      <c r="AB19" s="21">
        <f>EXP(-LN(2)/2)*AB18+(1-EXP(-LN(2)/2))/(LN(2)/2)*V19*Y19*VLOOKUP('Données projet'!$B$9,Paramètres!$A$1:$I$89,3,0)*0.475*44/12</f>
        <v>5.0780618544061999</v>
      </c>
      <c r="AC19" s="22">
        <f t="shared" si="3"/>
        <v>7.7448588639411291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81</v>
      </c>
      <c r="AG19" s="12">
        <f>VLOOKUP(A19,'Données projet'!$A$61:$I$81,9,0)</f>
        <v>5.0625</v>
      </c>
      <c r="AH19" s="12">
        <f t="array" ref="AH19">INDEX(AG:AG,MIN(IF(ISNUMBER(AG19:AG215),ROW(AG19:AG215),"")))</f>
        <v>5.0625</v>
      </c>
      <c r="AI19" s="13">
        <f>IF('Données projet'!$A$62&gt;35,AI18+AH19-AQ18,IF(A19&lt;'Données projet'!$A$62,$AF$205^A19,IF(A19='Données projet'!$A$62,'Données projet'!$B$62,AI18+AH19-AQ18)))</f>
        <v>81</v>
      </c>
      <c r="AJ19" s="13">
        <f>AI19*VLOOKUP('Données projet'!$B$10,Paramètres!$A$1:$I$89,3,0)*VLOOKUP('Données projet'!$B$10,Paramètres!$A$1:$I$89,5,0)</f>
        <v>48.438000000000009</v>
      </c>
      <c r="AK19" s="13">
        <f t="shared" si="35"/>
        <v>14.209624244846971</v>
      </c>
      <c r="AL19" s="20">
        <f t="shared" si="4"/>
        <v>109.11127889310849</v>
      </c>
      <c r="AM19" s="59">
        <f t="shared" si="5"/>
        <v>402.44461222644179</v>
      </c>
      <c r="AN19" s="59">
        <f ca="1">AVERAGE(OFFSET($AM$3,0,0,'Données projet'!$E$10+1,1))-AVERAGE(OFFSET($H$3,0,0,'Données projet'!$E$10+1,1))</f>
        <v>186.90544184210381</v>
      </c>
      <c r="AO19" s="59">
        <f t="shared" si="36"/>
        <v>202.05988514450519</v>
      </c>
      <c r="AP19" s="15">
        <f>IF(ISNA(VLOOKUP(A19,'Données projet'!$A$61:$I$81,3,0)),0,VLOOKUP(A19,'Données projet'!$A$61:$I$81,3,0))</f>
        <v>1</v>
      </c>
      <c r="AQ19" s="15">
        <f>IF(ISNA(VLOOKUP(A19,'Données projet'!$A$61:$I$81,4,0)),0,VLOOKUP(A19,'Données projet'!$A$61:$I$81,4,0))</f>
        <v>15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0.22500000000000001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2.6667970095349296</v>
      </c>
      <c r="AW19" s="21">
        <f>EXP(-LN(2)/2)*AW18+(1-EXP(-LN(2)/2))/(LN(2)/2)*AQ19*AT19*VLOOKUP('Données projet'!$B$10,Paramètres!$A$1:$I$89,3,0)*0.475*44/12</f>
        <v>5.0780618544061999</v>
      </c>
      <c r="AX19" s="21">
        <f t="shared" si="6"/>
        <v>7.7448588639411291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1.9</v>
      </c>
      <c r="BD19" s="12">
        <f>IF('Données projet'!$A$88&gt;35,BD18+BC19-BL18,IF(A19&lt;'Données projet'!$A$88,$BA$205^A19,IF(A19='Données projet'!$A$88,'Données projet'!$B$88,BD18+BC19-BL18)))</f>
        <v>18.358063904019382</v>
      </c>
      <c r="BE19" s="13">
        <f>BD19*VLOOKUP('Données projet'!$B$11,Paramètres!$A$1:$I$89,3,0)*VLOOKUP('Données projet'!$B$11,Paramètres!$A$1:$I$89,5,0)</f>
        <v>14.892061438940525</v>
      </c>
      <c r="BF19" s="13">
        <f t="shared" si="37"/>
        <v>5.0115831824227559</v>
      </c>
      <c r="BG19" s="20">
        <f t="shared" si="7"/>
        <v>34.665514382207711</v>
      </c>
      <c r="BH19" s="59">
        <f t="shared" si="8"/>
        <v>327.99884771554105</v>
      </c>
      <c r="BI19" s="59">
        <f ca="1">AVERAGE(OFFSET($BH$3,0,0,'Données projet'!$E$11+1,1))-AVERAGE(OFFSET($H$3,0,0,'Données projet'!$E$11+1,1))</f>
        <v>5.8584049049231908</v>
      </c>
      <c r="BJ19" s="59">
        <f t="shared" si="38"/>
        <v>42.266833200216638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0</v>
      </c>
      <c r="CE19" s="59">
        <f t="shared" si="40"/>
        <v>0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>
        <f>CT19*VLOOKUP('Données projet'!$B$13,Paramètres!$A$1:$I$89,3,0)*VLOOKUP('Données projet'!$B$13,Paramètres!$A$1:$I$89,5,0)</f>
        <v>0</v>
      </c>
      <c r="CV19" s="13" t="e">
        <f t="shared" si="41"/>
        <v>#NUM!</v>
      </c>
      <c r="CW19" s="20" t="e">
        <f t="shared" si="13"/>
        <v>#NUM!</v>
      </c>
      <c r="CX19" s="59" t="e">
        <f t="shared" si="14"/>
        <v>#NUM!</v>
      </c>
      <c r="CY19" s="59">
        <f ca="1">AVERAGE(OFFSET($CX$3,0,0,'Données projet'!$E$13+1,1))-AVERAGE(OFFSET($H$3,0,0,'Données projet'!$E$13+1,1))</f>
        <v>0</v>
      </c>
      <c r="CZ19" s="59">
        <f t="shared" si="42"/>
        <v>0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>
        <f>EJ19*VLOOKUP('Données projet'!$B$15,Paramètres!$A$1:$I$89,3,0)*VLOOKUP('Données projet'!$B$15,Paramètres!$A$1:$I$89,5,0)</f>
        <v>0</v>
      </c>
      <c r="EL19" s="13" t="e">
        <f t="shared" si="45"/>
        <v>#NUM!</v>
      </c>
      <c r="EM19" s="20" t="e">
        <f t="shared" si="19"/>
        <v>#NUM!</v>
      </c>
      <c r="EN19" s="59" t="e">
        <f t="shared" si="20"/>
        <v>#NUM!</v>
      </c>
      <c r="EO19" s="59">
        <f ca="1">AVERAGE(OFFSET($EN$3,0,0,'Données projet'!$E$15+1,1))-AVERAGE(OFFSET($H$3,0,0,'Données projet'!$E$15+1,1))</f>
        <v>0</v>
      </c>
      <c r="EP19" s="59">
        <f t="shared" si="46"/>
        <v>0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>
        <f>FE19*VLOOKUP('Données projet'!$B$16,Paramètres!$A$1:$I$89,3,0)*VLOOKUP('Données projet'!$B$16,Paramètres!$A$1:$I$89,5,0)</f>
        <v>0</v>
      </c>
      <c r="FG19" s="13" t="e">
        <f t="shared" si="47"/>
        <v>#NUM!</v>
      </c>
      <c r="FH19" s="20" t="e">
        <f t="shared" si="22"/>
        <v>#NUM!</v>
      </c>
      <c r="FI19" s="59" t="e">
        <f t="shared" si="23"/>
        <v>#NUM!</v>
      </c>
      <c r="FJ19" s="59">
        <f ca="1">AVERAGE(OFFSET($FI$3,0,0,'Données projet'!$E$16+1,1))-AVERAGE(OFFSET($H$3,0,0,'Données projet'!$E$16+1,1))</f>
        <v>0</v>
      </c>
      <c r="FK19" s="59">
        <f t="shared" si="48"/>
        <v>0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>
        <f>FZ19*VLOOKUP('Données projet'!$B$17,Paramètres!$A$1:$I$89,3,0)*VLOOKUP('Données projet'!$B$17,Paramètres!$A$1:$I$89,5,0)</f>
        <v>0</v>
      </c>
      <c r="GB19" s="13" t="e">
        <f t="shared" si="49"/>
        <v>#NUM!</v>
      </c>
      <c r="GC19" s="20" t="e">
        <f t="shared" si="25"/>
        <v>#NUM!</v>
      </c>
      <c r="GD19" s="59" t="e">
        <f t="shared" si="26"/>
        <v>#NUM!</v>
      </c>
      <c r="GE19" s="59">
        <f ca="1">AVERAGE(OFFSET($GD$3,0,0,'Données projet'!$E$17+1,1))-AVERAGE(OFFSET($H$3,0,0,'Données projet'!$E$17+1,1))</f>
        <v>0</v>
      </c>
      <c r="GF19" s="59">
        <f t="shared" si="50"/>
        <v>0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projet'!$B$9,Paramètres!$A$1:$I$89,3,0)*VLOOKUP('Données projet'!$B$9,Paramètres!$A$1:$I$89,5,0)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400.14890860244628</v>
      </c>
      <c r="S20" s="59">
        <f ca="1">AVERAGE(OFFSET($R$3,0,0,'Données projet'!$E$9+1,1))-AVERAGE(OFFSET($H$3,0,0,'Données projet'!$E$9+1,1))</f>
        <v>186.90544184210381</v>
      </c>
      <c r="T20" s="59">
        <f t="shared" si="34"/>
        <v>202.05988514450519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2.5938733050684371</v>
      </c>
      <c r="AB20" s="21">
        <f>EXP(-LN(2)/2)*AB19+(1-EXP(-LN(2)/2))/(LN(2)/2)*V20*Y20*VLOOKUP('Données projet'!$B$9,Paramètres!$A$1:$I$89,3,0)*0.475*44/12</f>
        <v>3.5907319725353588</v>
      </c>
      <c r="AC20" s="22">
        <f t="shared" si="3"/>
        <v>6.1846052776037954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13.25</v>
      </c>
      <c r="AI20" s="13">
        <f>IF('Données projet'!$A$62&gt;35,AI19+AH20-AQ19,IF(A20&lt;'Données projet'!$A$62,$AF$205^A20,IF(A20='Données projet'!$A$62,'Données projet'!$B$62,AI19+AH20-AQ19)))</f>
        <v>79.25</v>
      </c>
      <c r="AJ20" s="13">
        <f>AI20*VLOOKUP('Données projet'!$B$10,Paramètres!$A$1:$I$89,3,0)*VLOOKUP('Données projet'!$B$10,Paramètres!$A$1:$I$89,5,0)</f>
        <v>47.391500000000001</v>
      </c>
      <c r="AK20" s="13">
        <f t="shared" si="35"/>
        <v>13.938016900926096</v>
      </c>
      <c r="AL20" s="20">
        <f t="shared" si="4"/>
        <v>106.81557526911295</v>
      </c>
      <c r="AM20" s="59">
        <f t="shared" si="5"/>
        <v>400.14890860244628</v>
      </c>
      <c r="AN20" s="59">
        <f ca="1">AVERAGE(OFFSET($AM$3,0,0,'Données projet'!$E$10+1,1))-AVERAGE(OFFSET($H$3,0,0,'Données projet'!$E$10+1,1))</f>
        <v>186.90544184210381</v>
      </c>
      <c r="AO20" s="59">
        <f t="shared" si="36"/>
        <v>202.05988514450519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2.5938733050684371</v>
      </c>
      <c r="AW20" s="21">
        <f>EXP(-LN(2)/2)*AW19+(1-EXP(-LN(2)/2))/(LN(2)/2)*AQ20*AT20*VLOOKUP('Données projet'!$B$10,Paramètres!$A$1:$I$89,3,0)*0.475*44/12</f>
        <v>3.5907319725353588</v>
      </c>
      <c r="AX20" s="21">
        <f t="shared" si="6"/>
        <v>6.1846052776037954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1.9</v>
      </c>
      <c r="BD20" s="12">
        <f>IF('Données projet'!$A$88&gt;35,BD19+BC20-BL19,IF(A20&lt;'Données projet'!$A$88,$BA$205^A20,IF(A20='Données projet'!$A$88,'Données projet'!$B$88,BD19+BC20-BL19)))</f>
        <v>22.019936240585487</v>
      </c>
      <c r="BE20" s="13">
        <f>BD20*VLOOKUP('Données projet'!$B$11,Paramètres!$A$1:$I$89,3,0)*VLOOKUP('Données projet'!$B$11,Paramètres!$A$1:$I$89,5,0)</f>
        <v>17.862572278362947</v>
      </c>
      <c r="BF20" s="13">
        <f t="shared" si="37"/>
        <v>5.8853159475185368</v>
      </c>
      <c r="BG20" s="20">
        <f t="shared" si="7"/>
        <v>41.360905326743577</v>
      </c>
      <c r="BH20" s="59">
        <f t="shared" si="8"/>
        <v>334.69423866007691</v>
      </c>
      <c r="BI20" s="59">
        <f ca="1">AVERAGE(OFFSET($BH$3,0,0,'Données projet'!$E$11+1,1))-AVERAGE(OFFSET($H$3,0,0,'Données projet'!$E$11+1,1))</f>
        <v>5.8584049049231908</v>
      </c>
      <c r="BJ20" s="59">
        <f t="shared" si="38"/>
        <v>42.266833200216638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0</v>
      </c>
      <c r="CE20" s="59">
        <f t="shared" si="40"/>
        <v>0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0</v>
      </c>
      <c r="CZ20" s="59">
        <f t="shared" si="42"/>
        <v>0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>
        <f>EJ20*VLOOKUP('Données projet'!$B$15,Paramètres!$A$1:$I$89,3,0)*VLOOKUP('Données projet'!$B$15,Paramètres!$A$1:$I$89,5,0)</f>
        <v>0</v>
      </c>
      <c r="EL20" s="13" t="e">
        <f t="shared" si="45"/>
        <v>#NUM!</v>
      </c>
      <c r="EM20" s="20" t="e">
        <f t="shared" si="19"/>
        <v>#NUM!</v>
      </c>
      <c r="EN20" s="59" t="e">
        <f t="shared" si="20"/>
        <v>#NUM!</v>
      </c>
      <c r="EO20" s="59">
        <f ca="1">AVERAGE(OFFSET($EN$3,0,0,'Données projet'!$E$15+1,1))-AVERAGE(OFFSET($H$3,0,0,'Données projet'!$E$15+1,1))</f>
        <v>0</v>
      </c>
      <c r="EP20" s="59">
        <f t="shared" si="46"/>
        <v>0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>
        <f>FE20*VLOOKUP('Données projet'!$B$16,Paramètres!$A$1:$I$89,3,0)*VLOOKUP('Données projet'!$B$16,Paramètres!$A$1:$I$89,5,0)</f>
        <v>0</v>
      </c>
      <c r="FG20" s="13" t="e">
        <f t="shared" si="47"/>
        <v>#NUM!</v>
      </c>
      <c r="FH20" s="20" t="e">
        <f t="shared" si="22"/>
        <v>#NUM!</v>
      </c>
      <c r="FI20" s="59" t="e">
        <f t="shared" si="23"/>
        <v>#NUM!</v>
      </c>
      <c r="FJ20" s="59">
        <f ca="1">AVERAGE(OFFSET($FI$3,0,0,'Données projet'!$E$16+1,1))-AVERAGE(OFFSET($H$3,0,0,'Données projet'!$E$16+1,1))</f>
        <v>0</v>
      </c>
      <c r="FK20" s="59">
        <f t="shared" si="48"/>
        <v>0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>
        <f>FZ20*VLOOKUP('Données projet'!$B$17,Paramètres!$A$1:$I$89,3,0)*VLOOKUP('Données projet'!$B$17,Paramètres!$A$1:$I$89,5,0)</f>
        <v>0</v>
      </c>
      <c r="GB20" s="13" t="e">
        <f t="shared" si="49"/>
        <v>#NUM!</v>
      </c>
      <c r="GC20" s="20" t="e">
        <f t="shared" si="25"/>
        <v>#NUM!</v>
      </c>
      <c r="GD20" s="59" t="e">
        <f t="shared" si="26"/>
        <v>#NUM!</v>
      </c>
      <c r="GE20" s="59">
        <f ca="1">AVERAGE(OFFSET($GD$3,0,0,'Données projet'!$E$17+1,1))-AVERAGE(OFFSET($H$3,0,0,'Données projet'!$E$17+1,1))</f>
        <v>0</v>
      </c>
      <c r="GF20" s="59">
        <f t="shared" si="50"/>
        <v>0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projet'!$B$9,Paramètres!$A$1:$I$89,3,0)*VLOOKUP('Données projet'!$B$9,Paramètres!$A$1:$I$89,5,0)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417.50233699127017</v>
      </c>
      <c r="S21" s="59">
        <f ca="1">AVERAGE(OFFSET($R$3,0,0,'Données projet'!$E$9+1,1))-AVERAGE(OFFSET($H$3,0,0,'Données projet'!$E$9+1,1))</f>
        <v>186.90544184210381</v>
      </c>
      <c r="T21" s="59">
        <f t="shared" si="34"/>
        <v>202.05988514450519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2.5229437031354718</v>
      </c>
      <c r="AB21" s="21">
        <f>EXP(-LN(2)/2)*AB20+(1-EXP(-LN(2)/2))/(LN(2)/2)*V21*Y21*VLOOKUP('Données projet'!$B$9,Paramètres!$A$1:$I$89,3,0)*0.475*44/12</f>
        <v>2.5390309272031004</v>
      </c>
      <c r="AC21" s="22">
        <f t="shared" si="3"/>
        <v>5.0619746303385718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13.25</v>
      </c>
      <c r="AI21" s="13">
        <f>IF('Données projet'!$A$62&gt;35,AI20+AH21-AQ20,IF(A21&lt;'Données projet'!$A$62,$AF$205^A21,IF(A21='Données projet'!$A$62,'Données projet'!$B$62,AI20+AH21-AQ20)))</f>
        <v>92.5</v>
      </c>
      <c r="AJ21" s="13">
        <f>AI21*VLOOKUP('Données projet'!$B$10,Paramètres!$A$1:$I$89,3,0)*VLOOKUP('Données projet'!$B$10,Paramètres!$A$1:$I$89,5,0)</f>
        <v>55.315000000000005</v>
      </c>
      <c r="AK21" s="13">
        <f t="shared" si="35"/>
        <v>15.978207841877614</v>
      </c>
      <c r="AL21" s="20">
        <f t="shared" si="4"/>
        <v>124.16900365793684</v>
      </c>
      <c r="AM21" s="59">
        <f t="shared" si="5"/>
        <v>417.50233699127017</v>
      </c>
      <c r="AN21" s="59">
        <f ca="1">AVERAGE(OFFSET($AM$3,0,0,'Données projet'!$E$10+1,1))-AVERAGE(OFFSET($H$3,0,0,'Données projet'!$E$10+1,1))</f>
        <v>186.90544184210381</v>
      </c>
      <c r="AO21" s="59">
        <f t="shared" si="36"/>
        <v>202.05988514450519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2.5229437031354718</v>
      </c>
      <c r="AW21" s="21">
        <f>EXP(-LN(2)/2)*AW20+(1-EXP(-LN(2)/2))/(LN(2)/2)*AQ21*AT21*VLOOKUP('Données projet'!$B$10,Paramètres!$A$1:$I$89,3,0)*0.475*44/12</f>
        <v>2.5390309272031004</v>
      </c>
      <c r="AX21" s="21">
        <f t="shared" si="6"/>
        <v>5.0619746303385718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1.9</v>
      </c>
      <c r="BD21" s="12">
        <f>IF('Données projet'!$A$88&gt;35,BD20+BC21-BL20,IF(A21&lt;'Données projet'!$A$88,$BA$205^A21,IF(A21='Données projet'!$A$88,'Données projet'!$B$88,BD20+BC21-BL20)))</f>
        <v>26.412240123714202</v>
      </c>
      <c r="BE21" s="13">
        <f>BD21*VLOOKUP('Données projet'!$B$11,Paramètres!$A$1:$I$89,3,0)*VLOOKUP('Données projet'!$B$11,Paramètres!$A$1:$I$89,5,0)</f>
        <v>21.425609188356962</v>
      </c>
      <c r="BF21" s="13">
        <f t="shared" si="37"/>
        <v>6.9113776108913045</v>
      </c>
      <c r="BG21" s="20">
        <f t="shared" si="7"/>
        <v>49.353585342024054</v>
      </c>
      <c r="BH21" s="59">
        <f t="shared" si="8"/>
        <v>342.68691867535739</v>
      </c>
      <c r="BI21" s="59">
        <f ca="1">AVERAGE(OFFSET($BH$3,0,0,'Données projet'!$E$11+1,1))-AVERAGE(OFFSET($H$3,0,0,'Données projet'!$E$11+1,1))</f>
        <v>5.8584049049231908</v>
      </c>
      <c r="BJ21" s="59">
        <f t="shared" si="38"/>
        <v>42.266833200216638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0</v>
      </c>
      <c r="CE21" s="59">
        <f t="shared" si="40"/>
        <v>0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0</v>
      </c>
      <c r="CZ21" s="59">
        <f t="shared" si="42"/>
        <v>0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>
        <f>EJ21*VLOOKUP('Données projet'!$B$15,Paramètres!$A$1:$I$89,3,0)*VLOOKUP('Données projet'!$B$15,Paramètres!$A$1:$I$89,5,0)</f>
        <v>0</v>
      </c>
      <c r="EL21" s="13" t="e">
        <f t="shared" si="45"/>
        <v>#NUM!</v>
      </c>
      <c r="EM21" s="20" t="e">
        <f t="shared" si="19"/>
        <v>#NUM!</v>
      </c>
      <c r="EN21" s="59" t="e">
        <f t="shared" si="20"/>
        <v>#NUM!</v>
      </c>
      <c r="EO21" s="59">
        <f ca="1">AVERAGE(OFFSET($EN$3,0,0,'Données projet'!$E$15+1,1))-AVERAGE(OFFSET($H$3,0,0,'Données projet'!$E$15+1,1))</f>
        <v>0</v>
      </c>
      <c r="EP21" s="59">
        <f t="shared" si="46"/>
        <v>0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>
        <f>FE21*VLOOKUP('Données projet'!$B$16,Paramètres!$A$1:$I$89,3,0)*VLOOKUP('Données projet'!$B$16,Paramètres!$A$1:$I$89,5,0)</f>
        <v>0</v>
      </c>
      <c r="FG21" s="13" t="e">
        <f t="shared" si="47"/>
        <v>#NUM!</v>
      </c>
      <c r="FH21" s="20" t="e">
        <f t="shared" si="22"/>
        <v>#NUM!</v>
      </c>
      <c r="FI21" s="59" t="e">
        <f t="shared" si="23"/>
        <v>#NUM!</v>
      </c>
      <c r="FJ21" s="59">
        <f ca="1">AVERAGE(OFFSET($FI$3,0,0,'Données projet'!$E$16+1,1))-AVERAGE(OFFSET($H$3,0,0,'Données projet'!$E$16+1,1))</f>
        <v>0</v>
      </c>
      <c r="FK21" s="59">
        <f t="shared" si="48"/>
        <v>0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>
        <f>FZ21*VLOOKUP('Données projet'!$B$17,Paramètres!$A$1:$I$89,3,0)*VLOOKUP('Données projet'!$B$17,Paramètres!$A$1:$I$89,5,0)</f>
        <v>0</v>
      </c>
      <c r="GB21" s="13" t="e">
        <f t="shared" si="49"/>
        <v>#NUM!</v>
      </c>
      <c r="GC21" s="20" t="e">
        <f t="shared" si="25"/>
        <v>#NUM!</v>
      </c>
      <c r="GD21" s="59" t="e">
        <f t="shared" si="26"/>
        <v>#NUM!</v>
      </c>
      <c r="GE21" s="59">
        <f ca="1">AVERAGE(OFFSET($GD$3,0,0,'Données projet'!$E$17+1,1))-AVERAGE(OFFSET($H$3,0,0,'Données projet'!$E$17+1,1))</f>
        <v>0</v>
      </c>
      <c r="GF21" s="59">
        <f t="shared" si="50"/>
        <v>0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projet'!$B$9,Paramètres!$A$1:$I$89,3,0)*VLOOKUP('Données projet'!$B$9,Paramètres!$A$1:$I$89,5,0)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434.7967973495206</v>
      </c>
      <c r="S22" s="59">
        <f ca="1">AVERAGE(OFFSET($R$3,0,0,'Données projet'!$E$9+1,1))-AVERAGE(OFFSET($H$3,0,0,'Données projet'!$E$9+1,1))</f>
        <v>186.90544184210381</v>
      </c>
      <c r="T22" s="59">
        <f t="shared" si="34"/>
        <v>202.05988514450519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2.4539536748973894</v>
      </c>
      <c r="AB22" s="21">
        <f>EXP(-LN(2)/2)*AB21+(1-EXP(-LN(2)/2))/(LN(2)/2)*V22*Y22*VLOOKUP('Données projet'!$B$9,Paramètres!$A$1:$I$89,3,0)*0.475*44/12</f>
        <v>1.7953659862676796</v>
      </c>
      <c r="AC22" s="22">
        <f t="shared" si="3"/>
        <v>4.2493196611650692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13.25</v>
      </c>
      <c r="AI22" s="13">
        <f>IF('Données projet'!$A$62&gt;35,AI21+AH22-AQ21,IF(A22&lt;'Données projet'!$A$62,$AF$205^A22,IF(A22='Données projet'!$A$62,'Données projet'!$B$62,AI21+AH22-AQ21)))</f>
        <v>105.75</v>
      </c>
      <c r="AJ22" s="13">
        <f>AI22*VLOOKUP('Données projet'!$B$10,Paramètres!$A$1:$I$89,3,0)*VLOOKUP('Données projet'!$B$10,Paramètres!$A$1:$I$89,5,0)</f>
        <v>63.238500000000009</v>
      </c>
      <c r="AK22" s="13">
        <f t="shared" si="35"/>
        <v>17.984541540394584</v>
      </c>
      <c r="AL22" s="20">
        <f t="shared" si="4"/>
        <v>141.46346401618726</v>
      </c>
      <c r="AM22" s="59">
        <f t="shared" si="5"/>
        <v>434.7967973495206</v>
      </c>
      <c r="AN22" s="59">
        <f ca="1">AVERAGE(OFFSET($AM$3,0,0,'Données projet'!$E$10+1,1))-AVERAGE(OFFSET($H$3,0,0,'Données projet'!$E$10+1,1))</f>
        <v>186.90544184210381</v>
      </c>
      <c r="AO22" s="59">
        <f t="shared" si="36"/>
        <v>202.05988514450519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2.4539536748973894</v>
      </c>
      <c r="AW22" s="21">
        <f>EXP(-LN(2)/2)*AW21+(1-EXP(-LN(2)/2))/(LN(2)/2)*AQ22*AT22*VLOOKUP('Données projet'!$B$10,Paramètres!$A$1:$I$89,3,0)*0.475*44/12</f>
        <v>1.7953659862676796</v>
      </c>
      <c r="AX22" s="21">
        <f t="shared" si="6"/>
        <v>4.2493196611650692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1.9</v>
      </c>
      <c r="BD22" s="12">
        <f>IF('Données projet'!$A$88&gt;35,BD21+BC22-BL21,IF(A22&lt;'Données projet'!$A$88,$BA$205^A22,IF(A22='Données projet'!$A$88,'Données projet'!$B$88,BD21+BC22-BL21)))</f>
        <v>31.680674309445219</v>
      </c>
      <c r="BE22" s="13">
        <f>BD22*VLOOKUP('Données projet'!$B$11,Paramètres!$A$1:$I$89,3,0)*VLOOKUP('Données projet'!$B$11,Paramètres!$A$1:$I$89,5,0)</f>
        <v>25.699362999821965</v>
      </c>
      <c r="BF22" s="13">
        <f t="shared" si="37"/>
        <v>8.1163255985381628</v>
      </c>
      <c r="BG22" s="20">
        <f t="shared" si="7"/>
        <v>58.895657642143874</v>
      </c>
      <c r="BH22" s="59">
        <f t="shared" si="8"/>
        <v>352.22899097547719</v>
      </c>
      <c r="BI22" s="59">
        <f ca="1">AVERAGE(OFFSET($BH$3,0,0,'Données projet'!$E$11+1,1))-AVERAGE(OFFSET($H$3,0,0,'Données projet'!$E$11+1,1))</f>
        <v>5.8584049049231908</v>
      </c>
      <c r="BJ22" s="59">
        <f t="shared" si="38"/>
        <v>42.266833200216638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0</v>
      </c>
      <c r="CE22" s="59">
        <f t="shared" si="40"/>
        <v>0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0</v>
      </c>
      <c r="CZ22" s="59">
        <f t="shared" si="42"/>
        <v>0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>
        <f>EJ22*VLOOKUP('Données projet'!$B$15,Paramètres!$A$1:$I$89,3,0)*VLOOKUP('Données projet'!$B$15,Paramètres!$A$1:$I$89,5,0)</f>
        <v>0</v>
      </c>
      <c r="EL22" s="13" t="e">
        <f t="shared" si="45"/>
        <v>#NUM!</v>
      </c>
      <c r="EM22" s="20" t="e">
        <f t="shared" si="19"/>
        <v>#NUM!</v>
      </c>
      <c r="EN22" s="59" t="e">
        <f t="shared" si="20"/>
        <v>#NUM!</v>
      </c>
      <c r="EO22" s="59">
        <f ca="1">AVERAGE(OFFSET($EN$3,0,0,'Données projet'!$E$15+1,1))-AVERAGE(OFFSET($H$3,0,0,'Données projet'!$E$15+1,1))</f>
        <v>0</v>
      </c>
      <c r="EP22" s="59">
        <f t="shared" si="46"/>
        <v>0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>
        <f>FE22*VLOOKUP('Données projet'!$B$16,Paramètres!$A$1:$I$89,3,0)*VLOOKUP('Données projet'!$B$16,Paramètres!$A$1:$I$89,5,0)</f>
        <v>0</v>
      </c>
      <c r="FG22" s="13" t="e">
        <f t="shared" si="47"/>
        <v>#NUM!</v>
      </c>
      <c r="FH22" s="20" t="e">
        <f t="shared" si="22"/>
        <v>#NUM!</v>
      </c>
      <c r="FI22" s="59" t="e">
        <f t="shared" si="23"/>
        <v>#NUM!</v>
      </c>
      <c r="FJ22" s="59">
        <f ca="1">AVERAGE(OFFSET($FI$3,0,0,'Données projet'!$E$16+1,1))-AVERAGE(OFFSET($H$3,0,0,'Données projet'!$E$16+1,1))</f>
        <v>0</v>
      </c>
      <c r="FK22" s="59">
        <f t="shared" si="48"/>
        <v>0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>
        <f>FZ22*VLOOKUP('Données projet'!$B$17,Paramètres!$A$1:$I$89,3,0)*VLOOKUP('Données projet'!$B$17,Paramètres!$A$1:$I$89,5,0)</f>
        <v>0</v>
      </c>
      <c r="GB22" s="13" t="e">
        <f t="shared" si="49"/>
        <v>#NUM!</v>
      </c>
      <c r="GC22" s="20" t="e">
        <f t="shared" si="25"/>
        <v>#NUM!</v>
      </c>
      <c r="GD22" s="59" t="e">
        <f t="shared" si="26"/>
        <v>#NUM!</v>
      </c>
      <c r="GE22" s="59">
        <f ca="1">AVERAGE(OFFSET($GD$3,0,0,'Données projet'!$E$17+1,1))-AVERAGE(OFFSET($H$3,0,0,'Données projet'!$E$17+1,1))</f>
        <v>0</v>
      </c>
      <c r="GF22" s="59">
        <f t="shared" si="50"/>
        <v>0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projet'!$B$9,Paramètres!$A$1:$I$89,3,0)*VLOOKUP('Données projet'!$B$9,Paramètres!$A$1:$I$89,5,0)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452.04052435940298</v>
      </c>
      <c r="S23" s="59">
        <f ca="1">AVERAGE(OFFSET($R$3,0,0,'Données projet'!$E$9+1,1))-AVERAGE(OFFSET($H$3,0,0,'Données projet'!$E$9+1,1))</f>
        <v>186.90544184210381</v>
      </c>
      <c r="T23" s="59">
        <f t="shared" si="34"/>
        <v>202.05988514450519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1.5707053778186335</v>
      </c>
      <c r="AA23" s="21">
        <f>EXP(-LN(2)/25)*AA22+(1-EXP(-LN(2)/25))/(LN(2)/25)*Calculateur!V23*Calculateur!X23*VLOOKUP('Données projet'!$B$9,Paramètres!$A$1:$I$89,3,0)*0.475*44/12</f>
        <v>5.5158920071304891</v>
      </c>
      <c r="AB23" s="21">
        <f>EXP(-LN(2)/2)*AB22+(1-EXP(-LN(2)/2))/(LN(2)/2)*V23*Y23*VLOOKUP('Données projet'!$B$9,Paramètres!$A$1:$I$89,3,0)*0.475*44/12</f>
        <v>7.2277747061048245</v>
      </c>
      <c r="AC23" s="22">
        <f t="shared" si="3"/>
        <v>14.314372091053947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119</v>
      </c>
      <c r="AG23" s="12">
        <f>VLOOKUP(A23,'Données projet'!$A$61:$I$81,9,0)</f>
        <v>13.25</v>
      </c>
      <c r="AH23" s="12">
        <f t="array" ref="AH23">INDEX(AG:AG,MIN(IF(ISNUMBER(AG23:AG219),ROW(AG23:AG219),"")))</f>
        <v>13.25</v>
      </c>
      <c r="AI23" s="13">
        <f>IF('Données projet'!$A$62&gt;35,AI22+AH23-AQ22,IF(A23&lt;'Données projet'!$A$62,$AF$205^A23,IF(A23='Données projet'!$A$62,'Données projet'!$B$62,AI22+AH23-AQ22)))</f>
        <v>119</v>
      </c>
      <c r="AJ23" s="13">
        <f>AI23*VLOOKUP('Données projet'!$B$10,Paramètres!$A$1:$I$89,3,0)*VLOOKUP('Données projet'!$B$10,Paramètres!$A$1:$I$89,5,0)</f>
        <v>71.162000000000006</v>
      </c>
      <c r="AK23" s="13">
        <f t="shared" si="35"/>
        <v>19.961746043676346</v>
      </c>
      <c r="AL23" s="20">
        <f t="shared" si="4"/>
        <v>158.70719102606964</v>
      </c>
      <c r="AM23" s="59">
        <f t="shared" si="5"/>
        <v>452.04052435940298</v>
      </c>
      <c r="AN23" s="59">
        <f ca="1">AVERAGE(OFFSET($AM$3,0,0,'Données projet'!$E$10+1,1))-AVERAGE(OFFSET($H$3,0,0,'Données projet'!$E$10+1,1))</f>
        <v>186.90544184210381</v>
      </c>
      <c r="AO23" s="59">
        <f t="shared" si="36"/>
        <v>202.05988514450519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0.18000000000000002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1.5707053778186335</v>
      </c>
      <c r="AV23" s="21">
        <f>EXP(-LN(2)/25)*AV22+(1-EXP(-LN(2)/25))/(LN(2)/25)*Calculateur!AQ23*Calculateur!AS23*VLOOKUP('Données projet'!$B$10,Paramètres!$A$1:$I$89,3,0)*0.475*44/12</f>
        <v>5.5158920071304891</v>
      </c>
      <c r="AW23" s="21">
        <f>EXP(-LN(2)/2)*AW22+(1-EXP(-LN(2)/2))/(LN(2)/2)*AQ23*AT23*VLOOKUP('Données projet'!$B$10,Paramètres!$A$1:$I$89,3,0)*0.475*44/12</f>
        <v>7.2277747061048245</v>
      </c>
      <c r="AX23" s="21">
        <f t="shared" si="6"/>
        <v>14.314372091053947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38</v>
      </c>
      <c r="BB23" s="12">
        <f>VLOOKUP(A23,'Données projet'!$A$87:$I$107,9,0)</f>
        <v>1.9</v>
      </c>
      <c r="BC23" s="12">
        <f t="array" ref="BC23">INDEX(BB:BB,MIN(IF(ISNUMBER(BB23:BB219),ROW(BB23:BB219),"")))</f>
        <v>1.9</v>
      </c>
      <c r="BD23" s="12">
        <f>IF('Données projet'!$A$88&gt;35,BD22+BC23-BL22,IF(A23&lt;'Données projet'!$A$88,$BA$205^A23,IF(A23='Données projet'!$A$88,'Données projet'!$B$88,BD22+BC23-BL22)))</f>
        <v>38</v>
      </c>
      <c r="BE23" s="13">
        <f>BD23*VLOOKUP('Données projet'!$B$11,Paramètres!$A$1:$I$89,3,0)*VLOOKUP('Données projet'!$B$11,Paramètres!$A$1:$I$89,5,0)</f>
        <v>30.825600000000005</v>
      </c>
      <c r="BF23" s="13">
        <f t="shared" si="37"/>
        <v>9.5313474288652582</v>
      </c>
      <c r="BG23" s="20">
        <f t="shared" si="7"/>
        <v>70.288350105273665</v>
      </c>
      <c r="BH23" s="59">
        <f t="shared" si="8"/>
        <v>363.62168343860696</v>
      </c>
      <c r="BI23" s="59">
        <f ca="1">AVERAGE(OFFSET($BH$3,0,0,'Données projet'!$E$11+1,1))-AVERAGE(OFFSET($H$3,0,0,'Données projet'!$E$11+1,1))</f>
        <v>5.8584049049231908</v>
      </c>
      <c r="BJ23" s="59">
        <f t="shared" si="38"/>
        <v>42.266833200216638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0</v>
      </c>
      <c r="CE23" s="59">
        <f t="shared" si="40"/>
        <v>0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0</v>
      </c>
      <c r="CZ23" s="59">
        <f t="shared" si="42"/>
        <v>0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>
        <f>EJ23*VLOOKUP('Données projet'!$B$15,Paramètres!$A$1:$I$89,3,0)*VLOOKUP('Données projet'!$B$15,Paramètres!$A$1:$I$89,5,0)</f>
        <v>0</v>
      </c>
      <c r="EL23" s="13" t="e">
        <f t="shared" si="45"/>
        <v>#NUM!</v>
      </c>
      <c r="EM23" s="20" t="e">
        <f t="shared" si="19"/>
        <v>#NUM!</v>
      </c>
      <c r="EN23" s="59" t="e">
        <f t="shared" si="20"/>
        <v>#NUM!</v>
      </c>
      <c r="EO23" s="59">
        <f ca="1">AVERAGE(OFFSET($EN$3,0,0,'Données projet'!$E$15+1,1))-AVERAGE(OFFSET($H$3,0,0,'Données projet'!$E$15+1,1))</f>
        <v>0</v>
      </c>
      <c r="EP23" s="59">
        <f t="shared" si="46"/>
        <v>0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>
        <f>FE23*VLOOKUP('Données projet'!$B$16,Paramètres!$A$1:$I$89,3,0)*VLOOKUP('Données projet'!$B$16,Paramètres!$A$1:$I$89,5,0)</f>
        <v>0</v>
      </c>
      <c r="FG23" s="13" t="e">
        <f t="shared" si="47"/>
        <v>#NUM!</v>
      </c>
      <c r="FH23" s="20" t="e">
        <f t="shared" si="22"/>
        <v>#NUM!</v>
      </c>
      <c r="FI23" s="59" t="e">
        <f t="shared" si="23"/>
        <v>#NUM!</v>
      </c>
      <c r="FJ23" s="59">
        <f ca="1">AVERAGE(OFFSET($FI$3,0,0,'Données projet'!$E$16+1,1))-AVERAGE(OFFSET($H$3,0,0,'Données projet'!$E$16+1,1))</f>
        <v>0</v>
      </c>
      <c r="FK23" s="59">
        <f t="shared" si="48"/>
        <v>0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>
        <f>FZ23*VLOOKUP('Données projet'!$B$17,Paramètres!$A$1:$I$89,3,0)*VLOOKUP('Données projet'!$B$17,Paramètres!$A$1:$I$89,5,0)</f>
        <v>0</v>
      </c>
      <c r="GB23" s="13" t="e">
        <f t="shared" si="49"/>
        <v>#NUM!</v>
      </c>
      <c r="GC23" s="20" t="e">
        <f t="shared" si="25"/>
        <v>#NUM!</v>
      </c>
      <c r="GD23" s="59" t="e">
        <f t="shared" si="26"/>
        <v>#NUM!</v>
      </c>
      <c r="GE23" s="59">
        <f ca="1">AVERAGE(OFFSET($GD$3,0,0,'Données projet'!$E$17+1,1))-AVERAGE(OFFSET($H$3,0,0,'Données projet'!$E$17+1,1))</f>
        <v>0</v>
      </c>
      <c r="GF23" s="59">
        <f t="shared" si="50"/>
        <v>0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projet'!$B$9,Paramètres!$A$1:$I$89,3,0)*VLOOKUP('Données projet'!$B$9,Paramètres!$A$1:$I$89,5,0)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442.93653064205341</v>
      </c>
      <c r="S24" s="59">
        <f ca="1">AVERAGE(OFFSET($R$3,0,0,'Données projet'!$E$9+1,1))-AVERAGE(OFFSET($H$3,0,0,'Données projet'!$E$9+1,1))</f>
        <v>186.90544184210381</v>
      </c>
      <c r="T24" s="59">
        <f t="shared" si="34"/>
        <v>202.05988514450519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1.5399048033952925</v>
      </c>
      <c r="AA24" s="21">
        <f>EXP(-LN(2)/25)*AA23+(1-EXP(-LN(2)/25))/(LN(2)/25)*Calculateur!V24*Calculateur!X24*VLOOKUP('Données projet'!$B$9,Paramètres!$A$1:$I$89,3,0)*0.475*44/12</f>
        <v>5.3650596501273515</v>
      </c>
      <c r="AB24" s="21">
        <f>EXP(-LN(2)/2)*AB23+(1-EXP(-LN(2)/2))/(LN(2)/2)*V24*Y24*VLOOKUP('Données projet'!$B$9,Paramètres!$A$1:$I$89,3,0)*0.475*44/12</f>
        <v>5.1108085075753271</v>
      </c>
      <c r="AC24" s="22">
        <f t="shared" si="3"/>
        <v>12.015772961097971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</v>
      </c>
      <c r="AI24" s="13">
        <f>IF('Données projet'!$A$62&gt;35,AI23+AH24-AQ23,IF(A24&lt;'Données projet'!$A$62,$AF$205^A24,IF(A24='Données projet'!$A$62,'Données projet'!$B$62,AI23+AH24-AQ23)))</f>
        <v>112</v>
      </c>
      <c r="AJ24" s="13">
        <f>AI24*VLOOKUP('Données projet'!$B$10,Paramètres!$A$1:$I$89,3,0)*VLOOKUP('Données projet'!$B$10,Paramètres!$A$1:$I$89,5,0)</f>
        <v>66.976000000000013</v>
      </c>
      <c r="AK24" s="13">
        <f t="shared" si="35"/>
        <v>18.920572617446965</v>
      </c>
      <c r="AL24" s="20">
        <f t="shared" si="4"/>
        <v>149.60319730872013</v>
      </c>
      <c r="AM24" s="59">
        <f t="shared" si="5"/>
        <v>442.93653064205341</v>
      </c>
      <c r="AN24" s="59">
        <f ca="1">AVERAGE(OFFSET($AM$3,0,0,'Données projet'!$E$10+1,1))-AVERAGE(OFFSET($H$3,0,0,'Données projet'!$E$10+1,1))</f>
        <v>186.90544184210381</v>
      </c>
      <c r="AO24" s="59">
        <f t="shared" si="36"/>
        <v>202.05988514450519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1.5399048033952925</v>
      </c>
      <c r="AV24" s="21">
        <f>EXP(-LN(2)/25)*AV23+(1-EXP(-LN(2)/25))/(LN(2)/25)*Calculateur!AQ24*Calculateur!AS24*VLOOKUP('Données projet'!$B$10,Paramètres!$A$1:$I$89,3,0)*0.475*44/12</f>
        <v>5.3650596501273515</v>
      </c>
      <c r="AW24" s="21">
        <f>EXP(-LN(2)/2)*AW23+(1-EXP(-LN(2)/2))/(LN(2)/2)*AQ24*AT24*VLOOKUP('Données projet'!$B$10,Paramètres!$A$1:$I$89,3,0)*0.475*44/12</f>
        <v>5.1108085075753271</v>
      </c>
      <c r="AX24" s="21">
        <f t="shared" si="6"/>
        <v>12.015772961097971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</v>
      </c>
      <c r="BD24" s="12">
        <f>IF('Données projet'!$A$88&gt;35,BD23+BC24-BL23,IF(A24&lt;'Données projet'!$A$88,$BA$205^A24,IF(A24='Données projet'!$A$88,'Données projet'!$B$88,BD23+BC24-BL23)))</f>
        <v>41.8</v>
      </c>
      <c r="BE24" s="13">
        <f>BD24*VLOOKUP('Données projet'!$B$11,Paramètres!$A$1:$I$89,3,0)*VLOOKUP('Données projet'!$B$11,Paramètres!$A$1:$I$89,5,0)</f>
        <v>33.908160000000002</v>
      </c>
      <c r="BF24" s="13">
        <f t="shared" si="37"/>
        <v>10.368809057652532</v>
      </c>
      <c r="BG24" s="20">
        <f t="shared" si="7"/>
        <v>77.115721108744836</v>
      </c>
      <c r="BH24" s="59">
        <f t="shared" si="8"/>
        <v>370.44905444207814</v>
      </c>
      <c r="BI24" s="59">
        <f ca="1">AVERAGE(OFFSET($BH$3,0,0,'Données projet'!$E$11+1,1))-AVERAGE(OFFSET($H$3,0,0,'Données projet'!$E$11+1,1))</f>
        <v>5.8584049049231908</v>
      </c>
      <c r="BJ24" s="59">
        <f t="shared" si="38"/>
        <v>42.266833200216638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0</v>
      </c>
      <c r="CE24" s="59">
        <f t="shared" si="40"/>
        <v>0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0</v>
      </c>
      <c r="CZ24" s="59">
        <f t="shared" si="42"/>
        <v>0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>
        <f>EJ24*VLOOKUP('Données projet'!$B$15,Paramètres!$A$1:$I$89,3,0)*VLOOKUP('Données projet'!$B$15,Paramètres!$A$1:$I$89,5,0)</f>
        <v>0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0</v>
      </c>
      <c r="EP24" s="59">
        <f t="shared" si="46"/>
        <v>0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>
        <f>FE24*VLOOKUP('Données projet'!$B$16,Paramètres!$A$1:$I$89,3,0)*VLOOKUP('Données projet'!$B$16,Paramètres!$A$1:$I$89,5,0)</f>
        <v>0</v>
      </c>
      <c r="FG24" s="13" t="e">
        <f t="shared" si="47"/>
        <v>#NUM!</v>
      </c>
      <c r="FH24" s="20" t="e">
        <f t="shared" si="22"/>
        <v>#NUM!</v>
      </c>
      <c r="FI24" s="59" t="e">
        <f t="shared" si="23"/>
        <v>#NUM!</v>
      </c>
      <c r="FJ24" s="59">
        <f ca="1">AVERAGE(OFFSET($FI$3,0,0,'Données projet'!$E$16+1,1))-AVERAGE(OFFSET($H$3,0,0,'Données projet'!$E$16+1,1))</f>
        <v>0</v>
      </c>
      <c r="FK24" s="59">
        <f t="shared" si="48"/>
        <v>0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>
        <f>FZ24*VLOOKUP('Données projet'!$B$17,Paramètres!$A$1:$I$89,3,0)*VLOOKUP('Données projet'!$B$17,Paramètres!$A$1:$I$89,5,0)</f>
        <v>0</v>
      </c>
      <c r="GB24" s="13" t="e">
        <f t="shared" si="49"/>
        <v>#NUM!</v>
      </c>
      <c r="GC24" s="20" t="e">
        <f t="shared" si="25"/>
        <v>#NUM!</v>
      </c>
      <c r="GD24" s="59" t="e">
        <f t="shared" si="26"/>
        <v>#NUM!</v>
      </c>
      <c r="GE24" s="59">
        <f ca="1">AVERAGE(OFFSET($GD$3,0,0,'Données projet'!$E$17+1,1))-AVERAGE(OFFSET($H$3,0,0,'Données projet'!$E$17+1,1))</f>
        <v>0</v>
      </c>
      <c r="GF24" s="59">
        <f t="shared" si="50"/>
        <v>0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projet'!$B$9,Paramètres!$A$1:$I$89,3,0)*VLOOKUP('Données projet'!$B$9,Paramètres!$A$1:$I$89,5,0)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462.42997349168672</v>
      </c>
      <c r="S25" s="59">
        <f ca="1">AVERAGE(OFFSET($R$3,0,0,'Données projet'!$E$9+1,1))-AVERAGE(OFFSET($H$3,0,0,'Données projet'!$E$9+1,1))</f>
        <v>186.90544184210381</v>
      </c>
      <c r="T25" s="59">
        <f t="shared" si="34"/>
        <v>202.05988514450519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1.5097082094498977</v>
      </c>
      <c r="AA25" s="21">
        <f>EXP(-LN(2)/25)*AA24+(1-EXP(-LN(2)/25))/(LN(2)/25)*Calculateur!V25*Calculateur!X25*VLOOKUP('Données projet'!$B$9,Paramètres!$A$1:$I$89,3,0)*0.475*44/12</f>
        <v>5.218351811858394</v>
      </c>
      <c r="AB25" s="21">
        <f>EXP(-LN(2)/2)*AB24+(1-EXP(-LN(2)/2))/(LN(2)/2)*V25*Y25*VLOOKUP('Données projet'!$B$9,Paramètres!$A$1:$I$89,3,0)*0.475*44/12</f>
        <v>3.6138873530524127</v>
      </c>
      <c r="AC25" s="22">
        <f t="shared" si="3"/>
        <v>10.341947374360704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</v>
      </c>
      <c r="AI25" s="13">
        <f>IF('Données projet'!$A$62&gt;35,AI24+AH25-AQ24,IF(A25&lt;'Données projet'!$A$62,$AF$205^A25,IF(A25='Données projet'!$A$62,'Données projet'!$B$62,AI24+AH25-AQ24)))</f>
        <v>127</v>
      </c>
      <c r="AJ25" s="13">
        <f>AI25*VLOOKUP('Données projet'!$B$10,Paramètres!$A$1:$I$89,3,0)*VLOOKUP('Données projet'!$B$10,Paramètres!$A$1:$I$89,5,0)</f>
        <v>75.945999999999998</v>
      </c>
      <c r="AK25" s="13">
        <f t="shared" si="35"/>
        <v>21.142979995226831</v>
      </c>
      <c r="AL25" s="20">
        <f t="shared" si="4"/>
        <v>169.09664015835338</v>
      </c>
      <c r="AM25" s="59">
        <f t="shared" si="5"/>
        <v>462.42997349168672</v>
      </c>
      <c r="AN25" s="59">
        <f ca="1">AVERAGE(OFFSET($AM$3,0,0,'Données projet'!$E$10+1,1))-AVERAGE(OFFSET($H$3,0,0,'Données projet'!$E$10+1,1))</f>
        <v>186.90544184210381</v>
      </c>
      <c r="AO25" s="59">
        <f t="shared" si="36"/>
        <v>202.05988514450519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1.5097082094498977</v>
      </c>
      <c r="AV25" s="21">
        <f>EXP(-LN(2)/25)*AV24+(1-EXP(-LN(2)/25))/(LN(2)/25)*Calculateur!AQ25*Calculateur!AS25*VLOOKUP('Données projet'!$B$10,Paramètres!$A$1:$I$89,3,0)*0.475*44/12</f>
        <v>5.218351811858394</v>
      </c>
      <c r="AW25" s="21">
        <f>EXP(-LN(2)/2)*AW24+(1-EXP(-LN(2)/2))/(LN(2)/2)*AQ25*AT25*VLOOKUP('Données projet'!$B$10,Paramètres!$A$1:$I$89,3,0)*0.475*44/12</f>
        <v>3.6138873530524127</v>
      </c>
      <c r="AX25" s="21">
        <f t="shared" si="6"/>
        <v>10.341947374360704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</v>
      </c>
      <c r="BD25" s="12">
        <f>IF('Données projet'!$A$88&gt;35,BD24+BC25-BL24,IF(A25&lt;'Données projet'!$A$88,$BA$205^A25,IF(A25='Données projet'!$A$88,'Données projet'!$B$88,BD24+BC25-BL24)))</f>
        <v>45.599999999999994</v>
      </c>
      <c r="BE25" s="13">
        <f>BD25*VLOOKUP('Données projet'!$B$11,Paramètres!$A$1:$I$89,3,0)*VLOOKUP('Données projet'!$B$11,Paramètres!$A$1:$I$89,5,0)</f>
        <v>36.990719999999996</v>
      </c>
      <c r="BF25" s="13">
        <f t="shared" si="37"/>
        <v>11.197442716918179</v>
      </c>
      <c r="BG25" s="20">
        <f t="shared" si="7"/>
        <v>83.927716731965816</v>
      </c>
      <c r="BH25" s="59">
        <f t="shared" si="8"/>
        <v>377.26105006529912</v>
      </c>
      <c r="BI25" s="59">
        <f ca="1">AVERAGE(OFFSET($BH$3,0,0,'Données projet'!$E$11+1,1))-AVERAGE(OFFSET($H$3,0,0,'Données projet'!$E$11+1,1))</f>
        <v>5.8584049049231908</v>
      </c>
      <c r="BJ25" s="59">
        <f t="shared" si="38"/>
        <v>42.266833200216638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0</v>
      </c>
      <c r="CE25" s="59">
        <f t="shared" si="40"/>
        <v>0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0</v>
      </c>
      <c r="CZ25" s="59">
        <f t="shared" si="42"/>
        <v>0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>
        <f>EJ25*VLOOKUP('Données projet'!$B$15,Paramètres!$A$1:$I$89,3,0)*VLOOKUP('Données projet'!$B$15,Paramètres!$A$1:$I$89,5,0)</f>
        <v>0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0</v>
      </c>
      <c r="EP25" s="59">
        <f t="shared" si="46"/>
        <v>0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>
        <f>FE25*VLOOKUP('Données projet'!$B$16,Paramètres!$A$1:$I$89,3,0)*VLOOKUP('Données projet'!$B$16,Paramètres!$A$1:$I$89,5,0)</f>
        <v>0</v>
      </c>
      <c r="FG25" s="13" t="e">
        <f t="shared" si="47"/>
        <v>#NUM!</v>
      </c>
      <c r="FH25" s="20" t="e">
        <f t="shared" si="22"/>
        <v>#NUM!</v>
      </c>
      <c r="FI25" s="59" t="e">
        <f t="shared" si="23"/>
        <v>#NUM!</v>
      </c>
      <c r="FJ25" s="59">
        <f ca="1">AVERAGE(OFFSET($FI$3,0,0,'Données projet'!$E$16+1,1))-AVERAGE(OFFSET($H$3,0,0,'Données projet'!$E$16+1,1))</f>
        <v>0</v>
      </c>
      <c r="FK25" s="59">
        <f t="shared" si="48"/>
        <v>0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>
        <f>FZ25*VLOOKUP('Données projet'!$B$17,Paramètres!$A$1:$I$89,3,0)*VLOOKUP('Données projet'!$B$17,Paramètres!$A$1:$I$89,5,0)</f>
        <v>0</v>
      </c>
      <c r="GB25" s="13" t="e">
        <f t="shared" si="49"/>
        <v>#NUM!</v>
      </c>
      <c r="GC25" s="20" t="e">
        <f t="shared" si="25"/>
        <v>#NUM!</v>
      </c>
      <c r="GD25" s="59" t="e">
        <f t="shared" si="26"/>
        <v>#NUM!</v>
      </c>
      <c r="GE25" s="59">
        <f ca="1">AVERAGE(OFFSET($GD$3,0,0,'Données projet'!$E$17+1,1))-AVERAGE(OFFSET($H$3,0,0,'Données projet'!$E$17+1,1))</f>
        <v>0</v>
      </c>
      <c r="GF25" s="59">
        <f t="shared" si="50"/>
        <v>0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projet'!$B$9,Paramètres!$A$1:$I$89,3,0)*VLOOKUP('Données projet'!$B$9,Paramètres!$A$1:$I$89,5,0)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481.87043616533327</v>
      </c>
      <c r="S26" s="59">
        <f ca="1">AVERAGE(OFFSET($R$3,0,0,'Données projet'!$E$9+1,1))-AVERAGE(OFFSET($H$3,0,0,'Données projet'!$E$9+1,1))</f>
        <v>186.90544184210381</v>
      </c>
      <c r="T26" s="59">
        <f t="shared" si="34"/>
        <v>202.05988514450519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1.4801037522936684</v>
      </c>
      <c r="AA26" s="21">
        <f>EXP(-LN(2)/25)*AA25+(1-EXP(-LN(2)/25))/(LN(2)/25)*Calculateur!V26*Calculateur!X26*VLOOKUP('Données projet'!$B$9,Paramètres!$A$1:$I$89,3,0)*0.475*44/12</f>
        <v>5.075655707141931</v>
      </c>
      <c r="AB26" s="21">
        <f>EXP(-LN(2)/2)*AB25+(1-EXP(-LN(2)/2))/(LN(2)/2)*V26*Y26*VLOOKUP('Données projet'!$B$9,Paramètres!$A$1:$I$89,3,0)*0.475*44/12</f>
        <v>2.555404253787664</v>
      </c>
      <c r="AC26" s="22">
        <f t="shared" si="3"/>
        <v>9.111163713223263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</v>
      </c>
      <c r="AI26" s="13">
        <f>IF('Données projet'!$A$62&gt;35,AI25+AH26-AQ25,IF(A26&lt;'Données projet'!$A$62,$AF$205^A26,IF(A26='Données projet'!$A$62,'Données projet'!$B$62,AI25+AH26-AQ25)))</f>
        <v>142</v>
      </c>
      <c r="AJ26" s="13">
        <f>AI26*VLOOKUP('Données projet'!$B$10,Paramètres!$A$1:$I$89,3,0)*VLOOKUP('Données projet'!$B$10,Paramètres!$A$1:$I$89,5,0)</f>
        <v>84.916000000000011</v>
      </c>
      <c r="AK26" s="13">
        <f t="shared" si="35"/>
        <v>23.33496813320572</v>
      </c>
      <c r="AL26" s="20">
        <f t="shared" si="4"/>
        <v>188.53710283199996</v>
      </c>
      <c r="AM26" s="59">
        <f t="shared" si="5"/>
        <v>481.87043616533327</v>
      </c>
      <c r="AN26" s="59">
        <f ca="1">AVERAGE(OFFSET($AM$3,0,0,'Données projet'!$E$10+1,1))-AVERAGE(OFFSET($H$3,0,0,'Données projet'!$E$10+1,1))</f>
        <v>186.90544184210381</v>
      </c>
      <c r="AO26" s="59">
        <f t="shared" si="36"/>
        <v>202.05988514450519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1.4801037522936684</v>
      </c>
      <c r="AV26" s="21">
        <f>EXP(-LN(2)/25)*AV25+(1-EXP(-LN(2)/25))/(LN(2)/25)*Calculateur!AQ26*Calculateur!AS26*VLOOKUP('Données projet'!$B$10,Paramètres!$A$1:$I$89,3,0)*0.475*44/12</f>
        <v>5.075655707141931</v>
      </c>
      <c r="AW26" s="21">
        <f>EXP(-LN(2)/2)*AW25+(1-EXP(-LN(2)/2))/(LN(2)/2)*AQ26*AT26*VLOOKUP('Données projet'!$B$10,Paramètres!$A$1:$I$89,3,0)*0.475*44/12</f>
        <v>2.555404253787664</v>
      </c>
      <c r="AX26" s="21">
        <f t="shared" si="6"/>
        <v>9.111163713223263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</v>
      </c>
      <c r="BD26" s="12">
        <f>IF('Données projet'!$A$88&gt;35,BD25+BC26-BL25,IF(A26&lt;'Données projet'!$A$88,$BA$205^A26,IF(A26='Données projet'!$A$88,'Données projet'!$B$88,BD25+BC26-BL25)))</f>
        <v>49.399999999999991</v>
      </c>
      <c r="BE26" s="13">
        <f>BD26*VLOOKUP('Données projet'!$B$11,Paramètres!$A$1:$I$89,3,0)*VLOOKUP('Données projet'!$B$11,Paramètres!$A$1:$I$89,5,0)</f>
        <v>40.073279999999997</v>
      </c>
      <c r="BF26" s="13">
        <f t="shared" si="37"/>
        <v>12.018067709266933</v>
      </c>
      <c r="BG26" s="20">
        <f t="shared" si="7"/>
        <v>90.725763926973229</v>
      </c>
      <c r="BH26" s="59">
        <f t="shared" si="8"/>
        <v>384.05909726030654</v>
      </c>
      <c r="BI26" s="59">
        <f ca="1">AVERAGE(OFFSET($BH$3,0,0,'Données projet'!$E$11+1,1))-AVERAGE(OFFSET($H$3,0,0,'Données projet'!$E$11+1,1))</f>
        <v>5.8584049049231908</v>
      </c>
      <c r="BJ26" s="59">
        <f t="shared" si="38"/>
        <v>42.266833200216638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0</v>
      </c>
      <c r="CE26" s="59">
        <f t="shared" si="40"/>
        <v>0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0</v>
      </c>
      <c r="CZ26" s="59">
        <f t="shared" si="42"/>
        <v>0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>
        <f>EJ26*VLOOKUP('Données projet'!$B$15,Paramètres!$A$1:$I$89,3,0)*VLOOKUP('Données projet'!$B$15,Paramètres!$A$1:$I$89,5,0)</f>
        <v>0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0</v>
      </c>
      <c r="EP26" s="59">
        <f t="shared" si="46"/>
        <v>0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>
        <f>FE26*VLOOKUP('Données projet'!$B$16,Paramètres!$A$1:$I$89,3,0)*VLOOKUP('Données projet'!$B$16,Paramètres!$A$1:$I$89,5,0)</f>
        <v>0</v>
      </c>
      <c r="FG26" s="13" t="e">
        <f t="shared" si="47"/>
        <v>#NUM!</v>
      </c>
      <c r="FH26" s="20" t="e">
        <f t="shared" si="22"/>
        <v>#NUM!</v>
      </c>
      <c r="FI26" s="59" t="e">
        <f t="shared" si="23"/>
        <v>#NUM!</v>
      </c>
      <c r="FJ26" s="59">
        <f ca="1">AVERAGE(OFFSET($FI$3,0,0,'Données projet'!$E$16+1,1))-AVERAGE(OFFSET($H$3,0,0,'Données projet'!$E$16+1,1))</f>
        <v>0</v>
      </c>
      <c r="FK26" s="59">
        <f t="shared" si="48"/>
        <v>0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>
        <f>FZ26*VLOOKUP('Données projet'!$B$17,Paramètres!$A$1:$I$89,3,0)*VLOOKUP('Données projet'!$B$17,Paramètres!$A$1:$I$89,5,0)</f>
        <v>0</v>
      </c>
      <c r="GB26" s="13" t="e">
        <f t="shared" si="49"/>
        <v>#NUM!</v>
      </c>
      <c r="GC26" s="20" t="e">
        <f t="shared" si="25"/>
        <v>#NUM!</v>
      </c>
      <c r="GD26" s="59" t="e">
        <f t="shared" si="26"/>
        <v>#NUM!</v>
      </c>
      <c r="GE26" s="59">
        <f ca="1">AVERAGE(OFFSET($GD$3,0,0,'Données projet'!$E$17+1,1))-AVERAGE(OFFSET($H$3,0,0,'Données projet'!$E$17+1,1))</f>
        <v>0</v>
      </c>
      <c r="GF26" s="59">
        <f t="shared" si="50"/>
        <v>0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projet'!$B$9,Paramètres!$A$1:$I$89,3,0)*VLOOKUP('Données projet'!$B$9,Paramètres!$A$1:$I$89,5,0)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501.26415283783774</v>
      </c>
      <c r="S27" s="59">
        <f ca="1">AVERAGE(OFFSET($R$3,0,0,'Données projet'!$E$9+1,1))-AVERAGE(OFFSET($H$3,0,0,'Données projet'!$E$9+1,1))</f>
        <v>186.90544184210381</v>
      </c>
      <c r="T27" s="59">
        <f t="shared" si="34"/>
        <v>202.05988514450519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0.1575</v>
      </c>
      <c r="Y27" s="16">
        <f>IF(ISNA(VLOOKUP(A27,'Données projet'!$A$35:$I$55,7,0)),0%,VLOOKUP(A27,'Données projet'!$A$35:$I$55,7,0))</f>
        <v>0.35</v>
      </c>
      <c r="Z27" s="21">
        <f>EXP(-LN(2)/35)*Z26+(1-EXP(-LN(2)/35))/(LN(2)/35)*V27*W27*VLOOKUP('Données projet'!$B$9,Paramètres!$A$1:$I$89,3,0)*0.475*44/12</f>
        <v>4.7709798236019942</v>
      </c>
      <c r="AA27" s="21">
        <f>EXP(-LN(2)/25)*AA26+(1-EXP(-LN(2)/25))/(LN(2)/25)*Calculateur!V27*Calculateur!X27*VLOOKUP('Données projet'!$B$9,Paramètres!$A$1:$I$89,3,0)*0.475*44/12</f>
        <v>8.7948279753735328</v>
      </c>
      <c r="AB27" s="21">
        <f>EXP(-LN(2)/2)*AB26+(1-EXP(-LN(2)/2))/(LN(2)/2)*V27*Y27*VLOOKUP('Données projet'!$B$9,Paramètres!$A$1:$I$89,3,0)*0.475*44/12</f>
        <v>9.1532064925671754</v>
      </c>
      <c r="AC27" s="22">
        <f t="shared" si="3"/>
        <v>22.719014291542702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157</v>
      </c>
      <c r="AG27" s="12">
        <f>VLOOKUP(A27,'Données projet'!$A$61:$I$81,9,0)</f>
        <v>15</v>
      </c>
      <c r="AH27" s="12">
        <f t="array" ref="AH27">INDEX(AG:AG,MIN(IF(ISNUMBER(AG27:AG223),ROW(AG27:AG223),"")))</f>
        <v>15</v>
      </c>
      <c r="AI27" s="13">
        <f>IF('Données projet'!$A$62&gt;35,AI26+AH27-AQ26,IF(A27&lt;'Données projet'!$A$62,$AF$205^A27,IF(A27='Données projet'!$A$62,'Données projet'!$B$62,AI26+AH27-AQ26)))</f>
        <v>157</v>
      </c>
      <c r="AJ27" s="13">
        <f>AI27*VLOOKUP('Données projet'!$B$10,Paramètres!$A$1:$I$89,3,0)*VLOOKUP('Données projet'!$B$10,Paramètres!$A$1:$I$89,5,0)</f>
        <v>93.885999999999996</v>
      </c>
      <c r="AK27" s="13">
        <f t="shared" si="35"/>
        <v>25.500116461916402</v>
      </c>
      <c r="AL27" s="20">
        <f t="shared" si="4"/>
        <v>207.9308195045044</v>
      </c>
      <c r="AM27" s="59">
        <f t="shared" si="5"/>
        <v>501.26415283783774</v>
      </c>
      <c r="AN27" s="59">
        <f ca="1">AVERAGE(OFFSET($AM$3,0,0,'Données projet'!$E$10+1,1))-AVERAGE(OFFSET($H$3,0,0,'Données projet'!$E$10+1,1))</f>
        <v>186.90544184210381</v>
      </c>
      <c r="AO27" s="59">
        <f t="shared" si="36"/>
        <v>202.05988514450519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31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0.1575</v>
      </c>
      <c r="AT27" s="16">
        <f>IF(ISNA(VLOOKUP(A27,'Données projet'!$A$61:$I$81,7,0)),0%,VLOOKUP(A27,'Données projet'!$A$61:$I$81,7,0))</f>
        <v>0.35</v>
      </c>
      <c r="AU27" s="21">
        <f>EXP(-LN(2)/35)*AU26+(1-EXP(-LN(2)/35))/(LN(2)/35)*AQ27*AR27*VLOOKUP('Données projet'!$B$10,Paramètres!$A$1:$I$89,3,0)*0.475*44/12</f>
        <v>4.7709798236019942</v>
      </c>
      <c r="AV27" s="21">
        <f>EXP(-LN(2)/25)*AV26+(1-EXP(-LN(2)/25))/(LN(2)/25)*Calculateur!AQ27*Calculateur!AS27*VLOOKUP('Données projet'!$B$10,Paramètres!$A$1:$I$89,3,0)*0.475*44/12</f>
        <v>8.7948279753735328</v>
      </c>
      <c r="AW27" s="21">
        <f>EXP(-LN(2)/2)*AW26+(1-EXP(-LN(2)/2))/(LN(2)/2)*AQ27*AT27*VLOOKUP('Données projet'!$B$10,Paramètres!$A$1:$I$89,3,0)*0.475*44/12</f>
        <v>9.1532064925671754</v>
      </c>
      <c r="AX27" s="21">
        <f t="shared" si="6"/>
        <v>22.719014291542702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</v>
      </c>
      <c r="BD27" s="12">
        <f>IF('Données projet'!$A$88&gt;35,BD26+BC27-BL26,IF(A27&lt;'Données projet'!$A$88,$BA$205^A27,IF(A27='Données projet'!$A$88,'Données projet'!$B$88,BD26+BC27-BL26)))</f>
        <v>53.199999999999989</v>
      </c>
      <c r="BE27" s="13">
        <f>BD27*VLOOKUP('Données projet'!$B$11,Paramètres!$A$1:$I$89,3,0)*VLOOKUP('Données projet'!$B$11,Paramètres!$A$1:$I$89,5,0)</f>
        <v>43.155839999999991</v>
      </c>
      <c r="BF27" s="13">
        <f t="shared" si="37"/>
        <v>12.831370130493596</v>
      </c>
      <c r="BG27" s="20">
        <f t="shared" si="7"/>
        <v>97.511057643942991</v>
      </c>
      <c r="BH27" s="59">
        <f t="shared" si="8"/>
        <v>390.8443909772763</v>
      </c>
      <c r="BI27" s="59">
        <f ca="1">AVERAGE(OFFSET($BH$3,0,0,'Données projet'!$E$11+1,1))-AVERAGE(OFFSET($H$3,0,0,'Données projet'!$E$11+1,1))</f>
        <v>5.8584049049231908</v>
      </c>
      <c r="BJ27" s="59">
        <f t="shared" si="38"/>
        <v>42.266833200216638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0</v>
      </c>
      <c r="CE27" s="59">
        <f t="shared" si="40"/>
        <v>0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0</v>
      </c>
      <c r="CZ27" s="59">
        <f t="shared" si="42"/>
        <v>0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>
        <f>EJ27*VLOOKUP('Données projet'!$B$15,Paramètres!$A$1:$I$89,3,0)*VLOOKUP('Données projet'!$B$15,Paramètres!$A$1:$I$89,5,0)</f>
        <v>0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0</v>
      </c>
      <c r="EP27" s="59">
        <f t="shared" si="46"/>
        <v>0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>
        <f>FE27*VLOOKUP('Données projet'!$B$16,Paramètres!$A$1:$I$89,3,0)*VLOOKUP('Données projet'!$B$16,Paramètres!$A$1:$I$89,5,0)</f>
        <v>0</v>
      </c>
      <c r="FG27" s="13" t="e">
        <f t="shared" si="47"/>
        <v>#NUM!</v>
      </c>
      <c r="FH27" s="20" t="e">
        <f t="shared" si="22"/>
        <v>#NUM!</v>
      </c>
      <c r="FI27" s="59" t="e">
        <f t="shared" si="23"/>
        <v>#NUM!</v>
      </c>
      <c r="FJ27" s="59">
        <f ca="1">AVERAGE(OFFSET($FI$3,0,0,'Données projet'!$E$16+1,1))-AVERAGE(OFFSET($H$3,0,0,'Données projet'!$E$16+1,1))</f>
        <v>0</v>
      </c>
      <c r="FK27" s="59">
        <f t="shared" si="48"/>
        <v>0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>
        <f>FZ27*VLOOKUP('Données projet'!$B$17,Paramètres!$A$1:$I$89,3,0)*VLOOKUP('Données projet'!$B$17,Paramètres!$A$1:$I$89,5,0)</f>
        <v>0</v>
      </c>
      <c r="GB27" s="13" t="e">
        <f t="shared" si="49"/>
        <v>#NUM!</v>
      </c>
      <c r="GC27" s="20" t="e">
        <f t="shared" si="25"/>
        <v>#NUM!</v>
      </c>
      <c r="GD27" s="59" t="e">
        <f t="shared" si="26"/>
        <v>#NUM!</v>
      </c>
      <c r="GE27" s="59">
        <f ca="1">AVERAGE(OFFSET($GD$3,0,0,'Données projet'!$E$17+1,1))-AVERAGE(OFFSET($H$3,0,0,'Données projet'!$E$17+1,1))</f>
        <v>0</v>
      </c>
      <c r="GF27" s="59">
        <f t="shared" si="50"/>
        <v>0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481.87043616533327</v>
      </c>
      <c r="S28" s="59">
        <f ca="1">AVERAGE(OFFSET($R$3,0,0,'Données projet'!$E$9+1,1))-AVERAGE(OFFSET($H$3,0,0,'Données projet'!$E$9+1,1))</f>
        <v>186.90544184210381</v>
      </c>
      <c r="T28" s="59">
        <f t="shared" si="34"/>
        <v>202.05988514450519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4.6774238192715121</v>
      </c>
      <c r="AA28" s="21">
        <f>EXP(-LN(2)/25)*AA27+(1-EXP(-LN(2)/25))/(LN(2)/25)*Calculateur!V28*Calculateur!X28*VLOOKUP('Données projet'!$B$9,Paramètres!$A$1:$I$89,3,0)*0.475*44/12</f>
        <v>8.5543329418870417</v>
      </c>
      <c r="AB28" s="21">
        <f>EXP(-LN(2)/2)*AB27+(1-EXP(-LN(2)/2))/(LN(2)/2)*V28*Y28*VLOOKUP('Données projet'!$B$9,Paramètres!$A$1:$I$89,3,0)*0.475*44/12</f>
        <v>6.4722943804949846</v>
      </c>
      <c r="AC28" s="22">
        <f t="shared" si="3"/>
        <v>19.704051141653537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</v>
      </c>
      <c r="AI28" s="13">
        <f>IF('Données projet'!$A$62&gt;35,AI27+AH28-AQ27,IF(A28&lt;'Données projet'!$A$62,$AF$205^A28,IF(A28='Données projet'!$A$62,'Données projet'!$B$62,AI27+AH28-AQ27)))</f>
        <v>142</v>
      </c>
      <c r="AJ28" s="13">
        <f>AI28*VLOOKUP('Données projet'!$B$10,Paramètres!$A$1:$I$89,3,0)*VLOOKUP('Données projet'!$B$10,Paramètres!$A$1:$I$89,5,0)</f>
        <v>84.916000000000011</v>
      </c>
      <c r="AK28" s="13">
        <f t="shared" si="35"/>
        <v>23.33496813320572</v>
      </c>
      <c r="AL28" s="20">
        <f t="shared" si="4"/>
        <v>188.53710283199996</v>
      </c>
      <c r="AM28" s="59">
        <f t="shared" si="5"/>
        <v>481.87043616533327</v>
      </c>
      <c r="AN28" s="59">
        <f ca="1">AVERAGE(OFFSET($AM$3,0,0,'Données projet'!$E$10+1,1))-AVERAGE(OFFSET($H$3,0,0,'Données projet'!$E$10+1,1))</f>
        <v>186.90544184210381</v>
      </c>
      <c r="AO28" s="59">
        <f t="shared" si="36"/>
        <v>202.05988514450519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4.6774238192715121</v>
      </c>
      <c r="AV28" s="21">
        <f>EXP(-LN(2)/25)*AV27+(1-EXP(-LN(2)/25))/(LN(2)/25)*Calculateur!AQ28*Calculateur!AS28*VLOOKUP('Données projet'!$B$10,Paramètres!$A$1:$I$89,3,0)*0.475*44/12</f>
        <v>8.5543329418870417</v>
      </c>
      <c r="AW28" s="21">
        <f>EXP(-LN(2)/2)*AW27+(1-EXP(-LN(2)/2))/(LN(2)/2)*AQ28*AT28*VLOOKUP('Données projet'!$B$10,Paramètres!$A$1:$I$89,3,0)*0.475*44/12</f>
        <v>6.4722943804949846</v>
      </c>
      <c r="AX28" s="21">
        <f t="shared" si="6"/>
        <v>19.704051141653537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57</v>
      </c>
      <c r="BB28" s="12">
        <f>VLOOKUP(A28,'Données projet'!$A$87:$I$107,9,0)</f>
        <v>3.8</v>
      </c>
      <c r="BC28" s="12">
        <f t="array" ref="BC28">INDEX(BB:BB,MIN(IF(ISNUMBER(BB28:BB224),ROW(BB28:BB224),"")))</f>
        <v>3.8</v>
      </c>
      <c r="BD28" s="12">
        <f>IF('Données projet'!$A$88&gt;35,BD27+BC28-BL27,IF(A28&lt;'Données projet'!$A$88,$BA$205^A28,IF(A28='Données projet'!$A$88,'Données projet'!$B$88,BD27+BC28-BL27)))</f>
        <v>56.999999999999986</v>
      </c>
      <c r="BE28" s="13">
        <f>BD28*VLOOKUP('Données projet'!$B$11,Paramètres!$A$1:$I$89,3,0)*VLOOKUP('Données projet'!$B$11,Paramètres!$A$1:$I$89,5,0)</f>
        <v>46.238399999999992</v>
      </c>
      <c r="BF28" s="13">
        <f t="shared" si="37"/>
        <v>13.637932508790355</v>
      </c>
      <c r="BG28" s="20">
        <f t="shared" si="7"/>
        <v>104.28461245280984</v>
      </c>
      <c r="BH28" s="59">
        <f t="shared" si="8"/>
        <v>397.61794578614314</v>
      </c>
      <c r="BI28" s="59">
        <f ca="1">AVERAGE(OFFSET($BH$3,0,0,'Données projet'!$E$11+1,1))-AVERAGE(OFFSET($H$3,0,0,'Données projet'!$E$11+1,1))</f>
        <v>5.8584049049231908</v>
      </c>
      <c r="BJ28" s="59">
        <f t="shared" si="38"/>
        <v>42.266833200216638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11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1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8.4192793644068011</v>
      </c>
      <c r="BS28" s="22">
        <f t="shared" si="9"/>
        <v>8.4192793644068011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0</v>
      </c>
      <c r="CE28" s="59">
        <f t="shared" si="40"/>
        <v>0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0</v>
      </c>
      <c r="CZ28" s="59">
        <f t="shared" si="42"/>
        <v>0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>
        <f>EJ28*VLOOKUP('Données projet'!$B$15,Paramètres!$A$1:$I$89,3,0)*VLOOKUP('Données projet'!$B$15,Paramètres!$A$1:$I$89,5,0)</f>
        <v>0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0</v>
      </c>
      <c r="EP28" s="59">
        <f t="shared" si="46"/>
        <v>0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>
        <f>FE28*VLOOKUP('Données projet'!$B$16,Paramètres!$A$1:$I$89,3,0)*VLOOKUP('Données projet'!$B$16,Paramètres!$A$1:$I$89,5,0)</f>
        <v>0</v>
      </c>
      <c r="FG28" s="13" t="e">
        <f t="shared" si="47"/>
        <v>#NUM!</v>
      </c>
      <c r="FH28" s="20" t="e">
        <f t="shared" si="22"/>
        <v>#NUM!</v>
      </c>
      <c r="FI28" s="59" t="e">
        <f t="shared" si="23"/>
        <v>#NUM!</v>
      </c>
      <c r="FJ28" s="59">
        <f ca="1">AVERAGE(OFFSET($FI$3,0,0,'Données projet'!$E$16+1,1))-AVERAGE(OFFSET($H$3,0,0,'Données projet'!$E$16+1,1))</f>
        <v>0</v>
      </c>
      <c r="FK28" s="59">
        <f t="shared" si="48"/>
        <v>0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>
        <f>FZ28*VLOOKUP('Données projet'!$B$17,Paramètres!$A$1:$I$89,3,0)*VLOOKUP('Données projet'!$B$17,Paramètres!$A$1:$I$89,5,0)</f>
        <v>0</v>
      </c>
      <c r="GB28" s="13" t="e">
        <f t="shared" si="49"/>
        <v>#NUM!</v>
      </c>
      <c r="GC28" s="20" t="e">
        <f t="shared" si="25"/>
        <v>#NUM!</v>
      </c>
      <c r="GD28" s="59" t="e">
        <f t="shared" si="26"/>
        <v>#NUM!</v>
      </c>
      <c r="GE28" s="59">
        <f ca="1">AVERAGE(OFFSET($GD$3,0,0,'Données projet'!$E$17+1,1))-AVERAGE(OFFSET($H$3,0,0,'Données projet'!$E$17+1,1))</f>
        <v>0</v>
      </c>
      <c r="GF28" s="59">
        <f t="shared" si="50"/>
        <v>0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projet'!$B$9,Paramètres!$A$1:$I$89,3,0)*VLOOKUP('Données projet'!$B$9,Paramètres!$A$1:$I$89,5,0)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502.55553288771637</v>
      </c>
      <c r="S29" s="59">
        <f ca="1">AVERAGE(OFFSET($R$3,0,0,'Données projet'!$E$9+1,1))-AVERAGE(OFFSET($H$3,0,0,'Données projet'!$E$9+1,1))</f>
        <v>186.90544184210381</v>
      </c>
      <c r="T29" s="59">
        <f t="shared" si="34"/>
        <v>202.05988514450519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4.585702391122422</v>
      </c>
      <c r="AA29" s="21">
        <f>EXP(-LN(2)/25)*AA28+(1-EXP(-LN(2)/25))/(LN(2)/25)*Calculateur!V29*Calculateur!X29*VLOOKUP('Données projet'!$B$9,Paramètres!$A$1:$I$89,3,0)*0.475*44/12</f>
        <v>8.3204142577383227</v>
      </c>
      <c r="AB29" s="21">
        <f>EXP(-LN(2)/2)*AB28+(1-EXP(-LN(2)/2))/(LN(2)/2)*V29*Y29*VLOOKUP('Données projet'!$B$9,Paramètres!$A$1:$I$89,3,0)*0.475*44/12</f>
        <v>4.5766032462835886</v>
      </c>
      <c r="AC29" s="22">
        <f t="shared" si="3"/>
        <v>17.482719895144335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</v>
      </c>
      <c r="AI29" s="13">
        <f>IF('Données projet'!$A$62&gt;35,AI28+AH29-AQ28,IF(A29&lt;'Données projet'!$A$62,$AF$205^A29,IF(A29='Données projet'!$A$62,'Données projet'!$B$62,AI28+AH29-AQ28)))</f>
        <v>158</v>
      </c>
      <c r="AJ29" s="13">
        <f>AI29*VLOOKUP('Données projet'!$B$10,Paramètres!$A$1:$I$89,3,0)*VLOOKUP('Données projet'!$B$10,Paramètres!$A$1:$I$89,5,0)</f>
        <v>94.484000000000009</v>
      </c>
      <c r="AK29" s="13">
        <f t="shared" si="35"/>
        <v>25.643578691511802</v>
      </c>
      <c r="AL29" s="20">
        <f t="shared" si="4"/>
        <v>209.22219955438308</v>
      </c>
      <c r="AM29" s="59">
        <f t="shared" si="5"/>
        <v>502.55553288771637</v>
      </c>
      <c r="AN29" s="59">
        <f ca="1">AVERAGE(OFFSET($AM$3,0,0,'Données projet'!$E$10+1,1))-AVERAGE(OFFSET($H$3,0,0,'Données projet'!$E$10+1,1))</f>
        <v>186.90544184210381</v>
      </c>
      <c r="AO29" s="59">
        <f t="shared" si="36"/>
        <v>202.05988514450519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4.585702391122422</v>
      </c>
      <c r="AV29" s="21">
        <f>EXP(-LN(2)/25)*AV28+(1-EXP(-LN(2)/25))/(LN(2)/25)*Calculateur!AQ29*Calculateur!AS29*VLOOKUP('Données projet'!$B$10,Paramètres!$A$1:$I$89,3,0)*0.475*44/12</f>
        <v>8.3204142577383227</v>
      </c>
      <c r="AW29" s="21">
        <f>EXP(-LN(2)/2)*AW28+(1-EXP(-LN(2)/2))/(LN(2)/2)*AQ29*AT29*VLOOKUP('Données projet'!$B$10,Paramètres!$A$1:$I$89,3,0)*0.475*44/12</f>
        <v>4.5766032462835886</v>
      </c>
      <c r="AX29" s="21">
        <f t="shared" si="6"/>
        <v>17.482719895144335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</v>
      </c>
      <c r="BD29" s="12">
        <f>IF('Données projet'!$A$88&gt;35,BD28+BC29-BL28,IF(A29&lt;'Données projet'!$A$88,$BA$205^A29,IF(A29='Données projet'!$A$88,'Données projet'!$B$88,BD28+BC29-BL28)))</f>
        <v>49.599999999999987</v>
      </c>
      <c r="BE29" s="13">
        <f>BD29*VLOOKUP('Données projet'!$B$11,Paramètres!$A$1:$I$89,3,0)*VLOOKUP('Données projet'!$B$11,Paramètres!$A$1:$I$89,5,0)</f>
        <v>40.235519999999994</v>
      </c>
      <c r="BF29" s="13">
        <f t="shared" si="37"/>
        <v>12.061050163607481</v>
      </c>
      <c r="BG29" s="20">
        <f t="shared" si="7"/>
        <v>91.083193034949701</v>
      </c>
      <c r="BH29" s="59">
        <f t="shared" si="8"/>
        <v>384.41652636828303</v>
      </c>
      <c r="BI29" s="59">
        <f ca="1">AVERAGE(OFFSET($BH$3,0,0,'Données projet'!$E$11+1,1))-AVERAGE(OFFSET($H$3,0,0,'Données projet'!$E$11+1,1))</f>
        <v>5.8584049049231908</v>
      </c>
      <c r="BJ29" s="59">
        <f t="shared" si="38"/>
        <v>42.266833200216638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5.9533295312760153</v>
      </c>
      <c r="BS29" s="22">
        <f t="shared" si="9"/>
        <v>5.9533295312760153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0</v>
      </c>
      <c r="CE29" s="59">
        <f t="shared" si="40"/>
        <v>0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0</v>
      </c>
      <c r="CZ29" s="59">
        <f t="shared" si="42"/>
        <v>0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>
        <f>EJ29*VLOOKUP('Données projet'!$B$15,Paramètres!$A$1:$I$89,3,0)*VLOOKUP('Données projet'!$B$15,Paramètres!$A$1:$I$89,5,0)</f>
        <v>0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0</v>
      </c>
      <c r="EP29" s="59">
        <f t="shared" si="46"/>
        <v>0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>
        <f>FE29*VLOOKUP('Données projet'!$B$16,Paramètres!$A$1:$I$89,3,0)*VLOOKUP('Données projet'!$B$16,Paramètres!$A$1:$I$89,5,0)</f>
        <v>0</v>
      </c>
      <c r="FG29" s="13" t="e">
        <f t="shared" si="47"/>
        <v>#NUM!</v>
      </c>
      <c r="FH29" s="20" t="e">
        <f t="shared" si="22"/>
        <v>#NUM!</v>
      </c>
      <c r="FI29" s="59" t="e">
        <f t="shared" si="23"/>
        <v>#NUM!</v>
      </c>
      <c r="FJ29" s="59">
        <f ca="1">AVERAGE(OFFSET($FI$3,0,0,'Données projet'!$E$16+1,1))-AVERAGE(OFFSET($H$3,0,0,'Données projet'!$E$16+1,1))</f>
        <v>0</v>
      </c>
      <c r="FK29" s="59">
        <f t="shared" si="48"/>
        <v>0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>
        <f>FZ29*VLOOKUP('Données projet'!$B$17,Paramètres!$A$1:$I$89,3,0)*VLOOKUP('Données projet'!$B$17,Paramètres!$A$1:$I$89,5,0)</f>
        <v>0</v>
      </c>
      <c r="GB29" s="13" t="e">
        <f t="shared" si="49"/>
        <v>#NUM!</v>
      </c>
      <c r="GC29" s="20" t="e">
        <f t="shared" si="25"/>
        <v>#NUM!</v>
      </c>
      <c r="GD29" s="59" t="e">
        <f t="shared" si="26"/>
        <v>#NUM!</v>
      </c>
      <c r="GE29" s="59">
        <f ca="1">AVERAGE(OFFSET($GD$3,0,0,'Données projet'!$E$17+1,1))-AVERAGE(OFFSET($H$3,0,0,'Données projet'!$E$17+1,1))</f>
        <v>0</v>
      </c>
      <c r="GF29" s="59">
        <f t="shared" si="50"/>
        <v>0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projet'!$B$9,Paramètres!$A$1:$I$89,3,0)*VLOOKUP('Données projet'!$B$9,Paramètres!$A$1:$I$89,5,0)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523.19342786880793</v>
      </c>
      <c r="S30" s="59">
        <f ca="1">AVERAGE(OFFSET($R$3,0,0,'Données projet'!$E$9+1,1))-AVERAGE(OFFSET($H$3,0,0,'Données projet'!$E$9+1,1))</f>
        <v>186.90544184210381</v>
      </c>
      <c r="T30" s="59">
        <f t="shared" si="34"/>
        <v>202.05988514450519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4.4957795642347884</v>
      </c>
      <c r="AA30" s="21">
        <f>EXP(-LN(2)/25)*AA29+(1-EXP(-LN(2)/25))/(LN(2)/25)*Calculateur!V30*Calculateur!X30*VLOOKUP('Données projet'!$B$9,Paramètres!$A$1:$I$89,3,0)*0.475*44/12</f>
        <v>8.0928920923088992</v>
      </c>
      <c r="AB30" s="21">
        <f>EXP(-LN(2)/2)*AB29+(1-EXP(-LN(2)/2))/(LN(2)/2)*V30*Y30*VLOOKUP('Données projet'!$B$9,Paramètres!$A$1:$I$89,3,0)*0.475*44/12</f>
        <v>3.2361471902474928</v>
      </c>
      <c r="AC30" s="22">
        <f t="shared" si="3"/>
        <v>15.824818846791182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</v>
      </c>
      <c r="AI30" s="13">
        <f>IF('Données projet'!$A$62&gt;35,AI29+AH30-AQ29,IF(A30&lt;'Données projet'!$A$62,$AF$205^A30,IF(A30='Données projet'!$A$62,'Données projet'!$B$62,AI29+AH30-AQ29)))</f>
        <v>174</v>
      </c>
      <c r="AJ30" s="13">
        <f>AI30*VLOOKUP('Données projet'!$B$10,Paramètres!$A$1:$I$89,3,0)*VLOOKUP('Données projet'!$B$10,Paramètres!$A$1:$I$89,5,0)</f>
        <v>104.05200000000001</v>
      </c>
      <c r="AK30" s="13">
        <f t="shared" si="35"/>
        <v>27.925087771564417</v>
      </c>
      <c r="AL30" s="20">
        <f t="shared" si="4"/>
        <v>229.86009453547467</v>
      </c>
      <c r="AM30" s="59">
        <f t="shared" si="5"/>
        <v>523.19342786880793</v>
      </c>
      <c r="AN30" s="59">
        <f ca="1">AVERAGE(OFFSET($AM$3,0,0,'Données projet'!$E$10+1,1))-AVERAGE(OFFSET($H$3,0,0,'Données projet'!$E$10+1,1))</f>
        <v>186.90544184210381</v>
      </c>
      <c r="AO30" s="59">
        <f t="shared" si="36"/>
        <v>202.05988514450519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4.4957795642347884</v>
      </c>
      <c r="AV30" s="21">
        <f>EXP(-LN(2)/25)*AV29+(1-EXP(-LN(2)/25))/(LN(2)/25)*Calculateur!AQ30*Calculateur!AS30*VLOOKUP('Données projet'!$B$10,Paramètres!$A$1:$I$89,3,0)*0.475*44/12</f>
        <v>8.0928920923088992</v>
      </c>
      <c r="AW30" s="21">
        <f>EXP(-LN(2)/2)*AW29+(1-EXP(-LN(2)/2))/(LN(2)/2)*AQ30*AT30*VLOOKUP('Données projet'!$B$10,Paramètres!$A$1:$I$89,3,0)*0.475*44/12</f>
        <v>3.2361471902474928</v>
      </c>
      <c r="AX30" s="21">
        <f t="shared" si="6"/>
        <v>15.824818846791182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</v>
      </c>
      <c r="BD30" s="12">
        <f>IF('Données projet'!$A$88&gt;35,BD29+BC30-BL29,IF(A30&lt;'Données projet'!$A$88,$BA$205^A30,IF(A30='Données projet'!$A$88,'Données projet'!$B$88,BD29+BC30-BL29)))</f>
        <v>53.199999999999989</v>
      </c>
      <c r="BE30" s="13">
        <f>BD30*VLOOKUP('Données projet'!$B$11,Paramètres!$A$1:$I$89,3,0)*VLOOKUP('Données projet'!$B$11,Paramètres!$A$1:$I$89,5,0)</f>
        <v>43.155839999999991</v>
      </c>
      <c r="BF30" s="13">
        <f t="shared" si="37"/>
        <v>12.831370130493596</v>
      </c>
      <c r="BG30" s="20">
        <f t="shared" si="7"/>
        <v>97.511057643942991</v>
      </c>
      <c r="BH30" s="59">
        <f t="shared" si="8"/>
        <v>390.8443909772763</v>
      </c>
      <c r="BI30" s="59">
        <f ca="1">AVERAGE(OFFSET($BH$3,0,0,'Données projet'!$E$11+1,1))-AVERAGE(OFFSET($H$3,0,0,'Données projet'!$E$11+1,1))</f>
        <v>5.8584049049231908</v>
      </c>
      <c r="BJ30" s="59">
        <f t="shared" si="38"/>
        <v>42.266833200216638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4.2096396822034015</v>
      </c>
      <c r="BS30" s="22">
        <f t="shared" si="9"/>
        <v>4.2096396822034015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0</v>
      </c>
      <c r="CE30" s="59">
        <f t="shared" si="40"/>
        <v>0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0</v>
      </c>
      <c r="CZ30" s="59">
        <f t="shared" si="42"/>
        <v>0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>
        <f>EJ30*VLOOKUP('Données projet'!$B$15,Paramètres!$A$1:$I$89,3,0)*VLOOKUP('Données projet'!$B$15,Paramètres!$A$1:$I$89,5,0)</f>
        <v>0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0</v>
      </c>
      <c r="EP30" s="59">
        <f t="shared" si="46"/>
        <v>0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>
        <f>FE30*VLOOKUP('Données projet'!$B$16,Paramètres!$A$1:$I$89,3,0)*VLOOKUP('Données projet'!$B$16,Paramètres!$A$1:$I$89,5,0)</f>
        <v>0</v>
      </c>
      <c r="FG30" s="13" t="e">
        <f t="shared" si="47"/>
        <v>#NUM!</v>
      </c>
      <c r="FH30" s="20" t="e">
        <f t="shared" si="22"/>
        <v>#NUM!</v>
      </c>
      <c r="FI30" s="59" t="e">
        <f t="shared" si="23"/>
        <v>#NUM!</v>
      </c>
      <c r="FJ30" s="59">
        <f ca="1">AVERAGE(OFFSET($FI$3,0,0,'Données projet'!$E$16+1,1))-AVERAGE(OFFSET($H$3,0,0,'Données projet'!$E$16+1,1))</f>
        <v>0</v>
      </c>
      <c r="FK30" s="59">
        <f t="shared" si="48"/>
        <v>0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>
        <f>FZ30*VLOOKUP('Données projet'!$B$17,Paramètres!$A$1:$I$89,3,0)*VLOOKUP('Données projet'!$B$17,Paramètres!$A$1:$I$89,5,0)</f>
        <v>0</v>
      </c>
      <c r="GB30" s="13" t="e">
        <f t="shared" si="49"/>
        <v>#NUM!</v>
      </c>
      <c r="GC30" s="20" t="e">
        <f t="shared" si="25"/>
        <v>#NUM!</v>
      </c>
      <c r="GD30" s="59" t="e">
        <f t="shared" si="26"/>
        <v>#NUM!</v>
      </c>
      <c r="GE30" s="59">
        <f ca="1">AVERAGE(OFFSET($GD$3,0,0,'Données projet'!$E$17+1,1))-AVERAGE(OFFSET($H$3,0,0,'Données projet'!$E$17+1,1))</f>
        <v>0</v>
      </c>
      <c r="GF30" s="59">
        <f t="shared" si="50"/>
        <v>0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projet'!$B$9,Paramètres!$A$1:$I$89,3,0)*VLOOKUP('Données projet'!$B$9,Paramètres!$A$1:$I$89,5,0)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543.78895515812701</v>
      </c>
      <c r="S31" s="59">
        <f ca="1">AVERAGE(OFFSET($R$3,0,0,'Données projet'!$E$9+1,1))-AVERAGE(OFFSET($H$3,0,0,'Données projet'!$E$9+1,1))</f>
        <v>186.90544184210381</v>
      </c>
      <c r="T31" s="59">
        <f t="shared" si="34"/>
        <v>202.05988514450519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0.18000000000000002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0.3</v>
      </c>
      <c r="Z31" s="21">
        <f>EXP(-LN(2)/35)*Z30+(1-EXP(-LN(2)/35))/(LN(2)/35)*V31*W31*VLOOKUP('Données projet'!$B$9,Paramètres!$A$1:$I$89,3,0)*0.475*44/12</f>
        <v>9.4053189985578385</v>
      </c>
      <c r="AA31" s="21">
        <f>EXP(-LN(2)/25)*AA30+(1-EXP(-LN(2)/25))/(LN(2)/25)*Calculateur!V31*Calculateur!X31*VLOOKUP('Données projet'!$B$9,Paramètres!$A$1:$I$89,3,0)*0.475*44/12</f>
        <v>11.605107345806916</v>
      </c>
      <c r="AB31" s="21">
        <f>EXP(-LN(2)/2)*AB30+(1-EXP(-LN(2)/2))/(LN(2)/2)*V31*Y31*VLOOKUP('Données projet'!$B$9,Paramètres!$A$1:$I$89,3,0)*0.475*44/12</f>
        <v>9.3975882193104745</v>
      </c>
      <c r="AC31" s="22">
        <f t="shared" si="3"/>
        <v>30.408014563675227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190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190</v>
      </c>
      <c r="AJ31" s="13">
        <f>AI31*VLOOKUP('Données projet'!$B$10,Paramètres!$A$1:$I$89,3,0)*VLOOKUP('Données projet'!$B$10,Paramètres!$A$1:$I$89,5,0)</f>
        <v>113.62</v>
      </c>
      <c r="AK31" s="13">
        <f t="shared" si="35"/>
        <v>30.182270904187739</v>
      </c>
      <c r="AL31" s="20">
        <f t="shared" si="4"/>
        <v>250.45562182479364</v>
      </c>
      <c r="AM31" s="59">
        <f t="shared" si="5"/>
        <v>543.78895515812701</v>
      </c>
      <c r="AN31" s="59">
        <f ca="1">AVERAGE(OFFSET($AM$3,0,0,'Données projet'!$E$10+1,1))-AVERAGE(OFFSET($H$3,0,0,'Données projet'!$E$10+1,1))</f>
        <v>186.90544184210381</v>
      </c>
      <c r="AO31" s="59">
        <f t="shared" si="36"/>
        <v>202.05988514450519</v>
      </c>
      <c r="AP31" s="15">
        <f>IF(ISNA(VLOOKUP(A31,'Données projet'!$A$61:$I$81,3,0)),0,VLOOKUP(A31,'Données projet'!$A$61:$I$81,3,0))</f>
        <v>4</v>
      </c>
      <c r="AQ31" s="15">
        <f>IF(ISNA(VLOOKUP(A31,'Données projet'!$A$61:$I$81,4,0)),0,VLOOKUP(A31,'Données projet'!$A$61:$I$81,4,0))</f>
        <v>35</v>
      </c>
      <c r="AR31" s="16">
        <f>IF(ISNA(VLOOKUP(A31,'Données projet'!$A$61:$I$81,5,0)),0%,VLOOKUP(A31,'Données projet'!$A$61:$I$81,5,0)*VLOOKUP('Données projet'!$B$10,Paramètres!$A$1:$I$89,7,0))</f>
        <v>0.18000000000000002</v>
      </c>
      <c r="AS31" s="16">
        <f>IF(ISNA(VLOOKUP(A31,'Données projet'!$A$61:$I$81,6,0)),0%,VLOOKUP(A31,'Données projet'!$A$61:$I$81,6,0)*VLOOKUP('Données projet'!$B$10,Paramètres!$A$1:$I$89,7,0))</f>
        <v>0.13500000000000001</v>
      </c>
      <c r="AT31" s="16">
        <f>IF(ISNA(VLOOKUP(A31,'Données projet'!$A$61:$I$81,7,0)),0%,VLOOKUP(A31,'Données projet'!$A$61:$I$81,7,0))</f>
        <v>0.3</v>
      </c>
      <c r="AU31" s="21">
        <f>EXP(-LN(2)/35)*AU30+(1-EXP(-LN(2)/35))/(LN(2)/35)*AQ31*AR31*VLOOKUP('Données projet'!$B$10,Paramètres!$A$1:$I$89,3,0)*0.475*44/12</f>
        <v>9.4053189985578385</v>
      </c>
      <c r="AV31" s="21">
        <f>EXP(-LN(2)/25)*AV30+(1-EXP(-LN(2)/25))/(LN(2)/25)*Calculateur!AQ31*Calculateur!AS31*VLOOKUP('Données projet'!$B$10,Paramètres!$A$1:$I$89,3,0)*0.475*44/12</f>
        <v>11.605107345806916</v>
      </c>
      <c r="AW31" s="21">
        <f>EXP(-LN(2)/2)*AW30+(1-EXP(-LN(2)/2))/(LN(2)/2)*AQ31*AT31*VLOOKUP('Données projet'!$B$10,Paramètres!$A$1:$I$89,3,0)*0.475*44/12</f>
        <v>9.3975882193104745</v>
      </c>
      <c r="AX31" s="21">
        <f t="shared" si="6"/>
        <v>30.408014563675227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</v>
      </c>
      <c r="BD31" s="12">
        <f>IF('Données projet'!$A$88&gt;35,BD30+BC31-BL30,IF(A31&lt;'Données projet'!$A$88,$BA$205^A31,IF(A31='Données projet'!$A$88,'Données projet'!$B$88,BD30+BC31-BL30)))</f>
        <v>56.79999999999999</v>
      </c>
      <c r="BE31" s="13">
        <f>BD31*VLOOKUP('Données projet'!$B$11,Paramètres!$A$1:$I$89,3,0)*VLOOKUP('Données projet'!$B$11,Paramètres!$A$1:$I$89,5,0)</f>
        <v>46.076159999999994</v>
      </c>
      <c r="BF31" s="13">
        <f t="shared" si="37"/>
        <v>13.595641486972051</v>
      </c>
      <c r="BG31" s="20">
        <f t="shared" si="7"/>
        <v>103.92838758980963</v>
      </c>
      <c r="BH31" s="59">
        <f t="shared" si="8"/>
        <v>397.26172092314295</v>
      </c>
      <c r="BI31" s="59">
        <f ca="1">AVERAGE(OFFSET($BH$3,0,0,'Données projet'!$E$11+1,1))-AVERAGE(OFFSET($H$3,0,0,'Données projet'!$E$11+1,1))</f>
        <v>5.8584049049231908</v>
      </c>
      <c r="BJ31" s="59">
        <f t="shared" si="38"/>
        <v>42.266833200216638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2.9766647656380081</v>
      </c>
      <c r="BS31" s="22">
        <f t="shared" si="9"/>
        <v>2.9766647656380081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0</v>
      </c>
      <c r="CE31" s="59">
        <f t="shared" si="40"/>
        <v>0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0</v>
      </c>
      <c r="CZ31" s="59">
        <f t="shared" si="42"/>
        <v>0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>
        <f>EJ31*VLOOKUP('Données projet'!$B$15,Paramètres!$A$1:$I$89,3,0)*VLOOKUP('Données projet'!$B$15,Paramètres!$A$1:$I$89,5,0)</f>
        <v>0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0</v>
      </c>
      <c r="EP31" s="59">
        <f t="shared" si="46"/>
        <v>0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>
        <f>FE31*VLOOKUP('Données projet'!$B$16,Paramètres!$A$1:$I$89,3,0)*VLOOKUP('Données projet'!$B$16,Paramètres!$A$1:$I$89,5,0)</f>
        <v>0</v>
      </c>
      <c r="FG31" s="13" t="e">
        <f t="shared" si="47"/>
        <v>#NUM!</v>
      </c>
      <c r="FH31" s="20" t="e">
        <f t="shared" si="22"/>
        <v>#NUM!</v>
      </c>
      <c r="FI31" s="59" t="e">
        <f t="shared" si="23"/>
        <v>#NUM!</v>
      </c>
      <c r="FJ31" s="59">
        <f ca="1">AVERAGE(OFFSET($FI$3,0,0,'Données projet'!$E$16+1,1))-AVERAGE(OFFSET($H$3,0,0,'Données projet'!$E$16+1,1))</f>
        <v>0</v>
      </c>
      <c r="FK31" s="59">
        <f t="shared" si="48"/>
        <v>0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>
        <f>FZ31*VLOOKUP('Données projet'!$B$17,Paramètres!$A$1:$I$89,3,0)*VLOOKUP('Données projet'!$B$17,Paramètres!$A$1:$I$89,5,0)</f>
        <v>0</v>
      </c>
      <c r="GB31" s="13" t="e">
        <f t="shared" si="49"/>
        <v>#NUM!</v>
      </c>
      <c r="GC31" s="20" t="e">
        <f t="shared" si="25"/>
        <v>#NUM!</v>
      </c>
      <c r="GD31" s="59" t="e">
        <f t="shared" si="26"/>
        <v>#NUM!</v>
      </c>
      <c r="GE31" s="59">
        <f ca="1">AVERAGE(OFFSET($GD$3,0,0,'Données projet'!$E$17+1,1))-AVERAGE(OFFSET($H$3,0,0,'Données projet'!$E$17+1,1))</f>
        <v>0</v>
      </c>
      <c r="GF31" s="59">
        <f t="shared" si="50"/>
        <v>0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projet'!$B$9,Paramètres!$A$1:$I$89,3,0)*VLOOKUP('Données projet'!$B$9,Paramètres!$A$1:$I$89,5,0)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517.82323449436331</v>
      </c>
      <c r="S32" s="59">
        <f ca="1">AVERAGE(OFFSET($R$3,0,0,'Données projet'!$E$9+1,1))-AVERAGE(OFFSET($H$3,0,0,'Données projet'!$E$9+1,1))</f>
        <v>186.90544184210381</v>
      </c>
      <c r="T32" s="59">
        <f t="shared" si="34"/>
        <v>202.05988514450519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9.220886429674259</v>
      </c>
      <c r="AA32" s="21">
        <f>EXP(-LN(2)/25)*AA31+(1-EXP(-LN(2)/25))/(LN(2)/25)*Calculateur!V32*Calculateur!X32*VLOOKUP('Données projet'!$B$9,Paramètres!$A$1:$I$89,3,0)*0.475*44/12</f>
        <v>11.287765075149753</v>
      </c>
      <c r="AB32" s="21">
        <f>EXP(-LN(2)/2)*AB31+(1-EXP(-LN(2)/2))/(LN(2)/2)*V32*Y32*VLOOKUP('Données projet'!$B$9,Paramètres!$A$1:$I$89,3,0)*0.475*44/12</f>
        <v>6.6450983566732491</v>
      </c>
      <c r="AC32" s="22">
        <f t="shared" si="3"/>
        <v>27.153749861497261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14.833333333333334</v>
      </c>
      <c r="AI32" s="13">
        <f>IF('Données projet'!$A$62&gt;35,AI31+AH32-AQ31,IF(A32&lt;'Données projet'!$A$62,$AF$205^A32,IF(A32='Données projet'!$A$62,'Données projet'!$B$62,AI31+AH32-AQ31)))</f>
        <v>169.83333333333334</v>
      </c>
      <c r="AJ32" s="13">
        <f>AI32*VLOOKUP('Données projet'!$B$10,Paramètres!$A$1:$I$89,3,0)*VLOOKUP('Données projet'!$B$10,Paramètres!$A$1:$I$89,5,0)</f>
        <v>101.56033333333333</v>
      </c>
      <c r="AK32" s="13">
        <f t="shared" si="35"/>
        <v>27.333389821325063</v>
      </c>
      <c r="AL32" s="20">
        <f t="shared" si="4"/>
        <v>224.48990116103005</v>
      </c>
      <c r="AM32" s="59">
        <f t="shared" si="5"/>
        <v>517.82323449436331</v>
      </c>
      <c r="AN32" s="59">
        <f ca="1">AVERAGE(OFFSET($AM$3,0,0,'Données projet'!$E$10+1,1))-AVERAGE(OFFSET($H$3,0,0,'Données projet'!$E$10+1,1))</f>
        <v>186.90544184210381</v>
      </c>
      <c r="AO32" s="59">
        <f t="shared" si="36"/>
        <v>202.05988514450519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9.220886429674259</v>
      </c>
      <c r="AV32" s="21">
        <f>EXP(-LN(2)/25)*AV31+(1-EXP(-LN(2)/25))/(LN(2)/25)*Calculateur!AQ32*Calculateur!AS32*VLOOKUP('Données projet'!$B$10,Paramètres!$A$1:$I$89,3,0)*0.475*44/12</f>
        <v>11.287765075149753</v>
      </c>
      <c r="AW32" s="21">
        <f>EXP(-LN(2)/2)*AW31+(1-EXP(-LN(2)/2))/(LN(2)/2)*AQ32*AT32*VLOOKUP('Données projet'!$B$10,Paramètres!$A$1:$I$89,3,0)*0.475*44/12</f>
        <v>6.6450983566732491</v>
      </c>
      <c r="AX32" s="21">
        <f t="shared" si="6"/>
        <v>27.153749861497261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</v>
      </c>
      <c r="BD32" s="12">
        <f>IF('Données projet'!$A$88&gt;35,BD31+BC32-BL31,IF(A32&lt;'Données projet'!$A$88,$BA$205^A32,IF(A32='Données projet'!$A$88,'Données projet'!$B$88,BD31+BC32-BL31)))</f>
        <v>60.399999999999991</v>
      </c>
      <c r="BE32" s="13">
        <f>BD32*VLOOKUP('Données projet'!$B$11,Paramètres!$A$1:$I$89,3,0)*VLOOKUP('Données projet'!$B$11,Paramètres!$A$1:$I$89,5,0)</f>
        <v>48.996479999999998</v>
      </c>
      <c r="BF32" s="13">
        <f t="shared" si="37"/>
        <v>14.354291233899691</v>
      </c>
      <c r="BG32" s="20">
        <f t="shared" si="7"/>
        <v>110.33592656570862</v>
      </c>
      <c r="BH32" s="59">
        <f t="shared" si="8"/>
        <v>403.66925989904195</v>
      </c>
      <c r="BI32" s="59">
        <f ca="1">AVERAGE(OFFSET($BH$3,0,0,'Données projet'!$E$11+1,1))-AVERAGE(OFFSET($H$3,0,0,'Données projet'!$E$11+1,1))</f>
        <v>5.8584049049231908</v>
      </c>
      <c r="BJ32" s="59">
        <f t="shared" si="38"/>
        <v>42.266833200216638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2.1048198411017007</v>
      </c>
      <c r="BS32" s="22">
        <f t="shared" si="9"/>
        <v>2.1048198411017007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0</v>
      </c>
      <c r="CE32" s="59">
        <f t="shared" si="40"/>
        <v>0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0</v>
      </c>
      <c r="CZ32" s="59">
        <f t="shared" si="42"/>
        <v>0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>
        <f>EJ32*VLOOKUP('Données projet'!$B$15,Paramètres!$A$1:$I$89,3,0)*VLOOKUP('Données projet'!$B$15,Paramètres!$A$1:$I$89,5,0)</f>
        <v>0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0</v>
      </c>
      <c r="EP32" s="59">
        <f t="shared" si="46"/>
        <v>0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>
        <f>FE32*VLOOKUP('Données projet'!$B$16,Paramètres!$A$1:$I$89,3,0)*VLOOKUP('Données projet'!$B$16,Paramètres!$A$1:$I$89,5,0)</f>
        <v>0</v>
      </c>
      <c r="FG32" s="13" t="e">
        <f t="shared" si="47"/>
        <v>#NUM!</v>
      </c>
      <c r="FH32" s="20" t="e">
        <f t="shared" si="22"/>
        <v>#NUM!</v>
      </c>
      <c r="FI32" s="59" t="e">
        <f t="shared" si="23"/>
        <v>#NUM!</v>
      </c>
      <c r="FJ32" s="59">
        <f ca="1">AVERAGE(OFFSET($FI$3,0,0,'Données projet'!$E$16+1,1))-AVERAGE(OFFSET($H$3,0,0,'Données projet'!$E$16+1,1))</f>
        <v>0</v>
      </c>
      <c r="FK32" s="59">
        <f t="shared" si="48"/>
        <v>0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>
        <f>FZ32*VLOOKUP('Données projet'!$B$17,Paramètres!$A$1:$I$89,3,0)*VLOOKUP('Données projet'!$B$17,Paramètres!$A$1:$I$89,5,0)</f>
        <v>0</v>
      </c>
      <c r="GB32" s="13" t="e">
        <f t="shared" si="49"/>
        <v>#NUM!</v>
      </c>
      <c r="GC32" s="20" t="e">
        <f t="shared" si="25"/>
        <v>#NUM!</v>
      </c>
      <c r="GD32" s="59" t="e">
        <f t="shared" si="26"/>
        <v>#NUM!</v>
      </c>
      <c r="GE32" s="59">
        <f ca="1">AVERAGE(OFFSET($GD$3,0,0,'Données projet'!$E$17+1,1))-AVERAGE(OFFSET($H$3,0,0,'Données projet'!$E$17+1,1))</f>
        <v>0</v>
      </c>
      <c r="GF32" s="59">
        <f t="shared" si="50"/>
        <v>0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projet'!$B$9,Paramètres!$A$1:$I$89,3,0)*VLOOKUP('Données projet'!$B$9,Paramètres!$A$1:$I$89,5,0)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186.90544184210381</v>
      </c>
      <c r="T33" s="59">
        <f t="shared" si="34"/>
        <v>202.05988514450519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9.0400704709737258</v>
      </c>
      <c r="AA33" s="21">
        <f>EXP(-LN(2)/25)*AA32+(1-EXP(-LN(2)/25))/(LN(2)/25)*Calculateur!V33*Calculateur!X33*VLOOKUP('Données projet'!$B$9,Paramètres!$A$1:$I$89,3,0)*0.475*44/12</f>
        <v>10.979100545572017</v>
      </c>
      <c r="AB33" s="21">
        <f>EXP(-LN(2)/2)*AB32+(1-EXP(-LN(2)/2))/(LN(2)/2)*V33*Y33*VLOOKUP('Données projet'!$B$9,Paramètres!$A$1:$I$89,3,0)*0.475*44/12</f>
        <v>4.6987941096552381</v>
      </c>
      <c r="AC33" s="22">
        <f t="shared" si="3"/>
        <v>24.71796512620098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14.833333333333334</v>
      </c>
      <c r="AI33" s="13">
        <f>IF('Données projet'!$A$62&gt;35,AI32+AH33-AQ32,IF(A33&lt;'Données projet'!$A$62,$AF$205^A33,IF(A33='Données projet'!$A$62,'Données projet'!$B$62,AI32+AH33-AQ32)))</f>
        <v>184.66666666666669</v>
      </c>
      <c r="AJ33" s="13">
        <f>AI33*VLOOKUP('Données projet'!$B$10,Paramètres!$A$1:$I$89,3,0)*VLOOKUP('Données projet'!$B$10,Paramètres!$A$1:$I$89,5,0)</f>
        <v>110.43066666666668</v>
      </c>
      <c r="AK33" s="13">
        <f t="shared" si="35"/>
        <v>29.43242991113809</v>
      </c>
      <c r="AL33" s="20">
        <f t="shared" si="4"/>
        <v>243.5948932063433</v>
      </c>
      <c r="AM33" s="59">
        <f t="shared" si="5"/>
        <v>536.92822653967664</v>
      </c>
      <c r="AN33" s="59">
        <f ca="1">AVERAGE(OFFSET($AM$3,0,0,'Données projet'!$E$10+1,1))-AVERAGE(OFFSET($H$3,0,0,'Données projet'!$E$10+1,1))</f>
        <v>186.90544184210381</v>
      </c>
      <c r="AO33" s="59">
        <f t="shared" si="36"/>
        <v>202.05988514450519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9.0400704709737258</v>
      </c>
      <c r="AV33" s="21">
        <f>EXP(-LN(2)/25)*AV32+(1-EXP(-LN(2)/25))/(LN(2)/25)*Calculateur!AQ33*Calculateur!AS33*VLOOKUP('Données projet'!$B$10,Paramètres!$A$1:$I$89,3,0)*0.475*44/12</f>
        <v>10.979100545572017</v>
      </c>
      <c r="AW33" s="21">
        <f>EXP(-LN(2)/2)*AW32+(1-EXP(-LN(2)/2))/(LN(2)/2)*AQ33*AT33*VLOOKUP('Données projet'!$B$10,Paramètres!$A$1:$I$89,3,0)*0.475*44/12</f>
        <v>4.6987941096552381</v>
      </c>
      <c r="AX33" s="21">
        <f t="shared" si="6"/>
        <v>24.71796512620098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64</v>
      </c>
      <c r="BB33" s="12">
        <f>VLOOKUP(A33,'Données projet'!$A$87:$I$107,9,0)</f>
        <v>3.6</v>
      </c>
      <c r="BC33" s="12">
        <f t="array" ref="BC33">INDEX(BB:BB,MIN(IF(ISNUMBER(BB33:BB229),ROW(BB33:BB229),"")))</f>
        <v>3.6</v>
      </c>
      <c r="BD33" s="12">
        <f>IF('Données projet'!$A$88&gt;35,BD32+BC33-BL32,IF(A33&lt;'Données projet'!$A$88,$BA$205^A33,IF(A33='Données projet'!$A$88,'Données projet'!$B$88,BD32+BC33-BL32)))</f>
        <v>63.999999999999993</v>
      </c>
      <c r="BE33" s="13">
        <f>BD33*VLOOKUP('Données projet'!$B$11,Paramètres!$A$1:$I$89,3,0)*VLOOKUP('Données projet'!$B$11,Paramètres!$A$1:$I$89,5,0)</f>
        <v>51.916799999999995</v>
      </c>
      <c r="BF33" s="13">
        <f t="shared" si="37"/>
        <v>15.107692595703275</v>
      </c>
      <c r="BG33" s="20">
        <f t="shared" si="7"/>
        <v>116.73432460418319</v>
      </c>
      <c r="BH33" s="59">
        <f t="shared" si="8"/>
        <v>410.06765793751651</v>
      </c>
      <c r="BI33" s="59">
        <f ca="1">AVERAGE(OFFSET($BH$3,0,0,'Données projet'!$E$11+1,1))-AVERAGE(OFFSET($H$3,0,0,'Données projet'!$E$11+1,1))</f>
        <v>5.8584049049231908</v>
      </c>
      <c r="BJ33" s="59">
        <f t="shared" si="38"/>
        <v>42.266833200216638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6.8460556147142402</v>
      </c>
      <c r="BS33" s="22">
        <f t="shared" si="9"/>
        <v>6.8460556147142402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0</v>
      </c>
      <c r="CE33" s="59">
        <f t="shared" si="40"/>
        <v>0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0</v>
      </c>
      <c r="CZ33" s="59">
        <f t="shared" si="42"/>
        <v>0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>
        <f>EJ33*VLOOKUP('Données projet'!$B$15,Paramètres!$A$1:$I$89,3,0)*VLOOKUP('Données projet'!$B$15,Paramètres!$A$1:$I$89,5,0)</f>
        <v>0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0</v>
      </c>
      <c r="EP33" s="59">
        <f t="shared" si="46"/>
        <v>0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>
        <f>FE33*VLOOKUP('Données projet'!$B$16,Paramètres!$A$1:$I$89,3,0)*VLOOKUP('Données projet'!$B$16,Paramètres!$A$1:$I$89,5,0)</f>
        <v>0</v>
      </c>
      <c r="FG33" s="13" t="e">
        <f t="shared" si="47"/>
        <v>#NUM!</v>
      </c>
      <c r="FH33" s="20" t="e">
        <f t="shared" si="22"/>
        <v>#NUM!</v>
      </c>
      <c r="FI33" s="59" t="e">
        <f t="shared" si="23"/>
        <v>#NUM!</v>
      </c>
      <c r="FJ33" s="59">
        <f ca="1">AVERAGE(OFFSET($FI$3,0,0,'Données projet'!$E$16+1,1))-AVERAGE(OFFSET($H$3,0,0,'Données projet'!$E$16+1,1))</f>
        <v>0</v>
      </c>
      <c r="FK33" s="59">
        <f t="shared" si="48"/>
        <v>0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>
        <f>FZ33*VLOOKUP('Données projet'!$B$17,Paramètres!$A$1:$I$89,3,0)*VLOOKUP('Données projet'!$B$17,Paramètres!$A$1:$I$89,5,0)</f>
        <v>0</v>
      </c>
      <c r="GB33" s="13" t="e">
        <f t="shared" si="49"/>
        <v>#NUM!</v>
      </c>
      <c r="GC33" s="20" t="e">
        <f t="shared" si="25"/>
        <v>#NUM!</v>
      </c>
      <c r="GD33" s="59" t="e">
        <f t="shared" si="26"/>
        <v>#NUM!</v>
      </c>
      <c r="GE33" s="59">
        <f ca="1">AVERAGE(OFFSET($GD$3,0,0,'Données projet'!$E$17+1,1))-AVERAGE(OFFSET($H$3,0,0,'Données projet'!$E$17+1,1))</f>
        <v>0</v>
      </c>
      <c r="GF33" s="59">
        <f t="shared" si="50"/>
        <v>0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projet'!$B$9,Paramètres!$A$1:$I$89,3,0)*VLOOKUP('Données projet'!$B$9,Paramètres!$A$1:$I$89,5,0)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186.90544184210381</v>
      </c>
      <c r="T34" s="59">
        <f t="shared" si="34"/>
        <v>202.05988514450519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8.8628002029364659</v>
      </c>
      <c r="AA34" s="21">
        <f>EXP(-LN(2)/25)*AA33+(1-EXP(-LN(2)/25))/(LN(2)/25)*Calculateur!V34*Calculateur!X34*VLOOKUP('Données projet'!$B$9,Paramètres!$A$1:$I$89,3,0)*0.475*44/12</f>
        <v>10.678876463787546</v>
      </c>
      <c r="AB34" s="21">
        <f>EXP(-LN(2)/2)*AB33+(1-EXP(-LN(2)/2))/(LN(2)/2)*V34*Y34*VLOOKUP('Données projet'!$B$9,Paramètres!$A$1:$I$89,3,0)*0.475*44/12</f>
        <v>3.322549178336625</v>
      </c>
      <c r="AC34" s="22">
        <f t="shared" si="3"/>
        <v>22.864225845060638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14.833333333333334</v>
      </c>
      <c r="AI34" s="13">
        <f>IF('Données projet'!$A$62&gt;35,AI33+AH34-AQ33,IF(A34&lt;'Données projet'!$A$62,$AF$205^A34,IF(A34='Données projet'!$A$62,'Données projet'!$B$62,AI33+AH34-AQ33)))</f>
        <v>199.50000000000003</v>
      </c>
      <c r="AJ34" s="13">
        <f>AI34*VLOOKUP('Données projet'!$B$10,Paramètres!$A$1:$I$89,3,0)*VLOOKUP('Données projet'!$B$10,Paramètres!$A$1:$I$89,5,0)</f>
        <v>119.30100000000002</v>
      </c>
      <c r="AK34" s="13">
        <f t="shared" si="35"/>
        <v>31.51191363312137</v>
      </c>
      <c r="AL34" s="20">
        <f t="shared" si="4"/>
        <v>262.66582457768635</v>
      </c>
      <c r="AM34" s="59">
        <f t="shared" si="5"/>
        <v>555.99915791101967</v>
      </c>
      <c r="AN34" s="59">
        <f ca="1">AVERAGE(OFFSET($AM$3,0,0,'Données projet'!$E$10+1,1))-AVERAGE(OFFSET($H$3,0,0,'Données projet'!$E$10+1,1))</f>
        <v>186.90544184210381</v>
      </c>
      <c r="AO34" s="59">
        <f t="shared" si="36"/>
        <v>202.05988514450519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8.8628002029364659</v>
      </c>
      <c r="AV34" s="21">
        <f>EXP(-LN(2)/25)*AV33+(1-EXP(-LN(2)/25))/(LN(2)/25)*Calculateur!AQ34*Calculateur!AS34*VLOOKUP('Données projet'!$B$10,Paramètres!$A$1:$I$89,3,0)*0.475*44/12</f>
        <v>10.678876463787546</v>
      </c>
      <c r="AW34" s="21">
        <f>EXP(-LN(2)/2)*AW33+(1-EXP(-LN(2)/2))/(LN(2)/2)*AQ34*AT34*VLOOKUP('Données projet'!$B$10,Paramètres!$A$1:$I$89,3,0)*0.475*44/12</f>
        <v>3.322549178336625</v>
      </c>
      <c r="AX34" s="21">
        <f t="shared" si="6"/>
        <v>22.864225845060638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3.6</v>
      </c>
      <c r="BD34" s="12">
        <f>IF('Données projet'!$A$88&gt;35,BD33+BC34-BL33,IF(A34&lt;'Données projet'!$A$88,$BA$205^A34,IF(A34='Données projet'!$A$88,'Données projet'!$B$88,BD33+BC34-BL33)))</f>
        <v>60.599999999999994</v>
      </c>
      <c r="BE34" s="13">
        <f>BD34*VLOOKUP('Données projet'!$B$11,Paramètres!$A$1:$I$89,3,0)*VLOOKUP('Données projet'!$B$11,Paramètres!$A$1:$I$89,5,0)</f>
        <v>49.158719999999995</v>
      </c>
      <c r="BF34" s="13">
        <f t="shared" si="37"/>
        <v>14.396281334716242</v>
      </c>
      <c r="BG34" s="20">
        <f t="shared" si="7"/>
        <v>110.69162732463077</v>
      </c>
      <c r="BH34" s="59">
        <f t="shared" si="8"/>
        <v>404.02496065796407</v>
      </c>
      <c r="BI34" s="59">
        <f ca="1">AVERAGE(OFFSET($BH$3,0,0,'Données projet'!$E$11+1,1))-AVERAGE(OFFSET($H$3,0,0,'Données projet'!$E$11+1,1))</f>
        <v>5.8584049049231908</v>
      </c>
      <c r="BJ34" s="59">
        <f t="shared" si="38"/>
        <v>42.266833200216638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4.8408923495446778</v>
      </c>
      <c r="BS34" s="22">
        <f t="shared" si="9"/>
        <v>4.8408923495446778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0</v>
      </c>
      <c r="CE34" s="59">
        <f t="shared" si="40"/>
        <v>0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0</v>
      </c>
      <c r="CZ34" s="59">
        <f t="shared" si="42"/>
        <v>0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>
        <f>EJ34*VLOOKUP('Données projet'!$B$15,Paramètres!$A$1:$I$89,3,0)*VLOOKUP('Données projet'!$B$15,Paramètres!$A$1:$I$89,5,0)</f>
        <v>0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0</v>
      </c>
      <c r="EP34" s="59">
        <f t="shared" si="46"/>
        <v>0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>
        <f>FE34*VLOOKUP('Données projet'!$B$16,Paramètres!$A$1:$I$89,3,0)*VLOOKUP('Données projet'!$B$16,Paramètres!$A$1:$I$89,5,0)</f>
        <v>0</v>
      </c>
      <c r="FG34" s="13" t="e">
        <f t="shared" si="47"/>
        <v>#NUM!</v>
      </c>
      <c r="FH34" s="20" t="e">
        <f t="shared" si="22"/>
        <v>#NUM!</v>
      </c>
      <c r="FI34" s="59" t="e">
        <f t="shared" si="23"/>
        <v>#NUM!</v>
      </c>
      <c r="FJ34" s="59">
        <f ca="1">AVERAGE(OFFSET($FI$3,0,0,'Données projet'!$E$16+1,1))-AVERAGE(OFFSET($H$3,0,0,'Données projet'!$E$16+1,1))</f>
        <v>0</v>
      </c>
      <c r="FK34" s="59">
        <f t="shared" si="48"/>
        <v>0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>
        <f>FZ34*VLOOKUP('Données projet'!$B$17,Paramètres!$A$1:$I$89,3,0)*VLOOKUP('Données projet'!$B$17,Paramètres!$A$1:$I$89,5,0)</f>
        <v>0</v>
      </c>
      <c r="GB34" s="13" t="e">
        <f t="shared" si="49"/>
        <v>#NUM!</v>
      </c>
      <c r="GC34" s="20" t="e">
        <f t="shared" si="25"/>
        <v>#NUM!</v>
      </c>
      <c r="GD34" s="59" t="e">
        <f t="shared" si="26"/>
        <v>#NUM!</v>
      </c>
      <c r="GE34" s="59">
        <f ca="1">AVERAGE(OFFSET($GD$3,0,0,'Données projet'!$E$17+1,1))-AVERAGE(OFFSET($H$3,0,0,'Données projet'!$E$17+1,1))</f>
        <v>0</v>
      </c>
      <c r="GF34" s="59">
        <f t="shared" si="50"/>
        <v>0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projet'!$B$9,Paramètres!$A$1:$I$89,3,0)*VLOOKUP('Données projet'!$B$9,Paramètres!$A$1:$I$89,5,0)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186.90544184210381</v>
      </c>
      <c r="T35" s="59">
        <f t="shared" si="34"/>
        <v>202.05988514450519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8.6890060967312301</v>
      </c>
      <c r="AA35" s="21">
        <f>EXP(-LN(2)/25)*AA34+(1-EXP(-LN(2)/25))/(LN(2)/25)*Calculateur!V35*Calculateur!X35*VLOOKUP('Données projet'!$B$9,Paramètres!$A$1:$I$89,3,0)*0.475*44/12</f>
        <v>10.386862025307568</v>
      </c>
      <c r="AB35" s="21">
        <f>EXP(-LN(2)/2)*AB34+(1-EXP(-LN(2)/2))/(LN(2)/2)*V35*Y35*VLOOKUP('Données projet'!$B$9,Paramètres!$A$1:$I$89,3,0)*0.475*44/12</f>
        <v>2.3493970548276195</v>
      </c>
      <c r="AC35" s="22">
        <f t="shared" si="3"/>
        <v>21.425265176866418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14.833333333333334</v>
      </c>
      <c r="AI35" s="13">
        <f>IF('Données projet'!$A$62&gt;35,AI34+AH35-AQ34,IF(A35&lt;'Données projet'!$A$62,$AF$205^A35,IF(A35='Données projet'!$A$62,'Données projet'!$B$62,AI34+AH35-AQ34)))</f>
        <v>214.33333333333337</v>
      </c>
      <c r="AJ35" s="13">
        <f>AI35*VLOOKUP('Données projet'!$B$10,Paramètres!$A$1:$I$89,3,0)*VLOOKUP('Données projet'!$B$10,Paramètres!$A$1:$I$89,5,0)</f>
        <v>128.17133333333337</v>
      </c>
      <c r="AK35" s="13">
        <f t="shared" si="35"/>
        <v>33.5734603980111</v>
      </c>
      <c r="AL35" s="20">
        <f t="shared" si="4"/>
        <v>281.70551574875822</v>
      </c>
      <c r="AM35" s="59">
        <f t="shared" si="5"/>
        <v>575.03884908209147</v>
      </c>
      <c r="AN35" s="59">
        <f ca="1">AVERAGE(OFFSET($AM$3,0,0,'Données projet'!$E$10+1,1))-AVERAGE(OFFSET($H$3,0,0,'Données projet'!$E$10+1,1))</f>
        <v>186.90544184210381</v>
      </c>
      <c r="AO35" s="59">
        <f t="shared" si="36"/>
        <v>202.05988514450519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8.6890060967312301</v>
      </c>
      <c r="AV35" s="21">
        <f>EXP(-LN(2)/25)*AV34+(1-EXP(-LN(2)/25))/(LN(2)/25)*Calculateur!AQ35*Calculateur!AS35*VLOOKUP('Données projet'!$B$10,Paramètres!$A$1:$I$89,3,0)*0.475*44/12</f>
        <v>10.386862025307568</v>
      </c>
      <c r="AW35" s="21">
        <f>EXP(-LN(2)/2)*AW34+(1-EXP(-LN(2)/2))/(LN(2)/2)*AQ35*AT35*VLOOKUP('Données projet'!$B$10,Paramètres!$A$1:$I$89,3,0)*0.475*44/12</f>
        <v>2.3493970548276195</v>
      </c>
      <c r="AX35" s="21">
        <f t="shared" si="6"/>
        <v>21.425265176866418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3.6</v>
      </c>
      <c r="BD35" s="12">
        <f>IF('Données projet'!$A$88&gt;35,BD34+BC35-BL34,IF(A35&lt;'Données projet'!$A$88,$BA$205^A35,IF(A35='Données projet'!$A$88,'Données projet'!$B$88,BD34+BC35-BL34)))</f>
        <v>64.199999999999989</v>
      </c>
      <c r="BE35" s="13">
        <f>BD35*VLOOKUP('Données projet'!$B$11,Paramètres!$A$1:$I$89,3,0)*VLOOKUP('Données projet'!$B$11,Paramètres!$A$1:$I$89,5,0)</f>
        <v>52.079039999999992</v>
      </c>
      <c r="BF35" s="13">
        <f t="shared" si="37"/>
        <v>15.149401133573162</v>
      </c>
      <c r="BG35" s="20">
        <f t="shared" si="7"/>
        <v>117.08953497430657</v>
      </c>
      <c r="BH35" s="59">
        <f t="shared" si="8"/>
        <v>410.42286830763987</v>
      </c>
      <c r="BI35" s="59">
        <f ca="1">AVERAGE(OFFSET($BH$3,0,0,'Données projet'!$E$11+1,1))-AVERAGE(OFFSET($H$3,0,0,'Données projet'!$E$11+1,1))</f>
        <v>5.8584049049231908</v>
      </c>
      <c r="BJ35" s="59">
        <f t="shared" si="38"/>
        <v>42.266833200216638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3.4230278073571205</v>
      </c>
      <c r="BS35" s="22">
        <f t="shared" si="9"/>
        <v>3.4230278073571205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0</v>
      </c>
      <c r="CE35" s="59">
        <f t="shared" si="40"/>
        <v>0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0</v>
      </c>
      <c r="CZ35" s="59">
        <f t="shared" si="42"/>
        <v>0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>
        <f>EJ35*VLOOKUP('Données projet'!$B$15,Paramètres!$A$1:$I$89,3,0)*VLOOKUP('Données projet'!$B$15,Paramètres!$A$1:$I$89,5,0)</f>
        <v>0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0</v>
      </c>
      <c r="EP35" s="59">
        <f t="shared" si="46"/>
        <v>0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>
        <f>FE35*VLOOKUP('Données projet'!$B$16,Paramètres!$A$1:$I$89,3,0)*VLOOKUP('Données projet'!$B$16,Paramètres!$A$1:$I$89,5,0)</f>
        <v>0</v>
      </c>
      <c r="FG35" s="13" t="e">
        <f t="shared" si="47"/>
        <v>#NUM!</v>
      </c>
      <c r="FH35" s="20" t="e">
        <f t="shared" si="22"/>
        <v>#NUM!</v>
      </c>
      <c r="FI35" s="59" t="e">
        <f t="shared" si="23"/>
        <v>#NUM!</v>
      </c>
      <c r="FJ35" s="59">
        <f ca="1">AVERAGE(OFFSET($FI$3,0,0,'Données projet'!$E$16+1,1))-AVERAGE(OFFSET($H$3,0,0,'Données projet'!$E$16+1,1))</f>
        <v>0</v>
      </c>
      <c r="FK35" s="59">
        <f t="shared" si="48"/>
        <v>0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>
        <f>FZ35*VLOOKUP('Données projet'!$B$17,Paramètres!$A$1:$I$89,3,0)*VLOOKUP('Données projet'!$B$17,Paramètres!$A$1:$I$89,5,0)</f>
        <v>0</v>
      </c>
      <c r="GB35" s="13" t="e">
        <f t="shared" si="49"/>
        <v>#NUM!</v>
      </c>
      <c r="GC35" s="20" t="e">
        <f t="shared" si="25"/>
        <v>#NUM!</v>
      </c>
      <c r="GD35" s="59" t="e">
        <f t="shared" si="26"/>
        <v>#NUM!</v>
      </c>
      <c r="GE35" s="59">
        <f ca="1">AVERAGE(OFFSET($GD$3,0,0,'Données projet'!$E$17+1,1))-AVERAGE(OFFSET($H$3,0,0,'Données projet'!$E$17+1,1))</f>
        <v>0</v>
      </c>
      <c r="GF35" s="59">
        <f t="shared" si="50"/>
        <v>0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projet'!$B$9,Paramètres!$A$1:$I$89,3,0)*VLOOKUP('Données projet'!$B$9,Paramètres!$A$1:$I$89,5,0)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186.90544184210381</v>
      </c>
      <c r="T36" s="59">
        <f t="shared" si="34"/>
        <v>202.05988514450519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8.5186199869447403</v>
      </c>
      <c r="AA36" s="21">
        <f>EXP(-LN(2)/25)*AA35+(1-EXP(-LN(2)/25))/(LN(2)/25)*Calculateur!V36*Calculateur!X36*VLOOKUP('Données projet'!$B$9,Paramètres!$A$1:$I$89,3,0)*0.475*44/12</f>
        <v>10.102832737004199</v>
      </c>
      <c r="AB36" s="21">
        <f>EXP(-LN(2)/2)*AB35+(1-EXP(-LN(2)/2))/(LN(2)/2)*V36*Y36*VLOOKUP('Données projet'!$B$9,Paramètres!$A$1:$I$89,3,0)*0.475*44/12</f>
        <v>1.6612745891683129</v>
      </c>
      <c r="AC36" s="22">
        <f t="shared" si="3"/>
        <v>20.282727313117256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14.833333333333334</v>
      </c>
      <c r="AI36" s="13">
        <f>IF('Données projet'!$A$62&gt;35,AI35+AH36-AQ35,IF(A36&lt;'Données projet'!$A$62,$AF$205^A36,IF(A36='Données projet'!$A$62,'Données projet'!$B$62,AI35+AH36-AQ35)))</f>
        <v>229.16666666666671</v>
      </c>
      <c r="AJ36" s="13">
        <f>AI36*VLOOKUP('Données projet'!$B$10,Paramètres!$A$1:$I$89,3,0)*VLOOKUP('Données projet'!$B$10,Paramètres!$A$1:$I$89,5,0)</f>
        <v>137.04166666666671</v>
      </c>
      <c r="AK36" s="13">
        <f t="shared" si="35"/>
        <v>35.618452776877568</v>
      </c>
      <c r="AL36" s="20">
        <f t="shared" si="4"/>
        <v>300.7163746975063</v>
      </c>
      <c r="AM36" s="59">
        <f t="shared" si="5"/>
        <v>594.04970803083961</v>
      </c>
      <c r="AN36" s="59">
        <f ca="1">AVERAGE(OFFSET($AM$3,0,0,'Données projet'!$E$10+1,1))-AVERAGE(OFFSET($H$3,0,0,'Données projet'!$E$10+1,1))</f>
        <v>186.90544184210381</v>
      </c>
      <c r="AO36" s="59">
        <f t="shared" si="36"/>
        <v>202.05988514450519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8.5186199869447403</v>
      </c>
      <c r="AV36" s="21">
        <f>EXP(-LN(2)/25)*AV35+(1-EXP(-LN(2)/25))/(LN(2)/25)*Calculateur!AQ36*Calculateur!AS36*VLOOKUP('Données projet'!$B$10,Paramètres!$A$1:$I$89,3,0)*0.475*44/12</f>
        <v>10.102832737004199</v>
      </c>
      <c r="AW36" s="21">
        <f>EXP(-LN(2)/2)*AW35+(1-EXP(-LN(2)/2))/(LN(2)/2)*AQ36*AT36*VLOOKUP('Données projet'!$B$10,Paramètres!$A$1:$I$89,3,0)*0.475*44/12</f>
        <v>1.6612745891683129</v>
      </c>
      <c r="AX36" s="21">
        <f t="shared" si="6"/>
        <v>20.282727313117256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3.6</v>
      </c>
      <c r="BD36" s="12">
        <f>IF('Données projet'!$A$88&gt;35,BD35+BC36-BL35,IF(A36&lt;'Données projet'!$A$88,$BA$205^A36,IF(A36='Données projet'!$A$88,'Données projet'!$B$88,BD35+BC36-BL35)))</f>
        <v>67.799999999999983</v>
      </c>
      <c r="BE36" s="13">
        <f>BD36*VLOOKUP('Données projet'!$B$11,Paramètres!$A$1:$I$89,3,0)*VLOOKUP('Données projet'!$B$11,Paramètres!$A$1:$I$89,5,0)</f>
        <v>54.999359999999989</v>
      </c>
      <c r="BF36" s="13">
        <f t="shared" si="37"/>
        <v>15.897618537944966</v>
      </c>
      <c r="BG36" s="20">
        <f t="shared" si="7"/>
        <v>123.47890428692081</v>
      </c>
      <c r="BH36" s="59">
        <f t="shared" si="8"/>
        <v>416.81223762025411</v>
      </c>
      <c r="BI36" s="59">
        <f ca="1">AVERAGE(OFFSET($BH$3,0,0,'Données projet'!$E$11+1,1))-AVERAGE(OFFSET($H$3,0,0,'Données projet'!$E$11+1,1))</f>
        <v>5.8584049049231908</v>
      </c>
      <c r="BJ36" s="59">
        <f t="shared" si="38"/>
        <v>42.266833200216638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2.4204461747723394</v>
      </c>
      <c r="BS36" s="22">
        <f t="shared" si="9"/>
        <v>2.4204461747723394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0</v>
      </c>
      <c r="CE36" s="59">
        <f t="shared" si="40"/>
        <v>0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0</v>
      </c>
      <c r="CZ36" s="59">
        <f t="shared" si="42"/>
        <v>0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>
        <f>EJ36*VLOOKUP('Données projet'!$B$15,Paramètres!$A$1:$I$89,3,0)*VLOOKUP('Données projet'!$B$15,Paramètres!$A$1:$I$89,5,0)</f>
        <v>0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0</v>
      </c>
      <c r="EP36" s="59">
        <f t="shared" si="46"/>
        <v>0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>
        <f>FE36*VLOOKUP('Données projet'!$B$16,Paramètres!$A$1:$I$89,3,0)*VLOOKUP('Données projet'!$B$16,Paramètres!$A$1:$I$89,5,0)</f>
        <v>0</v>
      </c>
      <c r="FG36" s="13" t="e">
        <f t="shared" si="47"/>
        <v>#NUM!</v>
      </c>
      <c r="FH36" s="20" t="e">
        <f t="shared" si="22"/>
        <v>#NUM!</v>
      </c>
      <c r="FI36" s="59" t="e">
        <f t="shared" si="23"/>
        <v>#NUM!</v>
      </c>
      <c r="FJ36" s="59">
        <f ca="1">AVERAGE(OFFSET($FI$3,0,0,'Données projet'!$E$16+1,1))-AVERAGE(OFFSET($H$3,0,0,'Données projet'!$E$16+1,1))</f>
        <v>0</v>
      </c>
      <c r="FK36" s="59">
        <f t="shared" si="48"/>
        <v>0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>
        <f>FZ36*VLOOKUP('Données projet'!$B$17,Paramètres!$A$1:$I$89,3,0)*VLOOKUP('Données projet'!$B$17,Paramètres!$A$1:$I$89,5,0)</f>
        <v>0</v>
      </c>
      <c r="GB36" s="13" t="e">
        <f t="shared" si="49"/>
        <v>#NUM!</v>
      </c>
      <c r="GC36" s="20" t="e">
        <f t="shared" si="25"/>
        <v>#NUM!</v>
      </c>
      <c r="GD36" s="59" t="e">
        <f t="shared" si="26"/>
        <v>#NUM!</v>
      </c>
      <c r="GE36" s="59">
        <f ca="1">AVERAGE(OFFSET($GD$3,0,0,'Données projet'!$E$17+1,1))-AVERAGE(OFFSET($H$3,0,0,'Données projet'!$E$17+1,1))</f>
        <v>0</v>
      </c>
      <c r="GF36" s="59">
        <f t="shared" si="50"/>
        <v>0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projet'!$B$9,Paramètres!$A$1:$I$89,3,0)*VLOOKUP('Données projet'!$B$9,Paramètres!$A$1:$I$89,5,0)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186.90544184210381</v>
      </c>
      <c r="T37" s="59">
        <f t="shared" si="34"/>
        <v>202.05988514450519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0.22500000000000001</v>
      </c>
      <c r="X37" s="16">
        <f>IF(ISNA(VLOOKUP(A37,'Données projet'!$A$35:$I$55,6,0)),0%,VLOOKUP(A37,'Données projet'!$A$35:$I$55,6,0)*VLOOKUP('Données projet'!$B$9,Paramètres!$A$1:$I$89,7,0))</f>
        <v>0.1125</v>
      </c>
      <c r="Y37" s="16">
        <f>IF(ISNA(VLOOKUP(A37,'Données projet'!$A$35:$I$55,7,0)),0%,VLOOKUP(A37,'Données projet'!$A$35:$I$55,7,0))</f>
        <v>0.25</v>
      </c>
      <c r="Z37" s="21">
        <f>EXP(-LN(2)/35)*Z36+(1-EXP(-LN(2)/35))/(LN(2)/35)*V37*W37*VLOOKUP('Données projet'!$B$9,Paramètres!$A$1:$I$89,3,0)*0.475*44/12</f>
        <v>16.562080428897843</v>
      </c>
      <c r="AA37" s="21">
        <f>EXP(-LN(2)/25)*AA36+(1-EXP(-LN(2)/25))/(LN(2)/25)*Calculateur!V37*Calculateur!X37*VLOOKUP('Données projet'!$B$9,Paramètres!$A$1:$I$89,3,0)*0.475*44/12</f>
        <v>13.915658992479493</v>
      </c>
      <c r="AB37" s="21">
        <f>EXP(-LN(2)/2)*AB36+(1-EXP(-LN(2)/2))/(LN(2)/2)*V37*Y37*VLOOKUP('Données projet'!$B$9,Paramètres!$A$1:$I$89,3,0)*0.475*44/12</f>
        <v>8.9610600375033158</v>
      </c>
      <c r="AC37" s="22">
        <f t="shared" si="3"/>
        <v>39.438799458880652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244</v>
      </c>
      <c r="AG37" s="12">
        <f>VLOOKUP(A37,'Données projet'!$A$61:$I$81,9,0)</f>
        <v>14.833333333333334</v>
      </c>
      <c r="AH37" s="12">
        <f t="array" ref="AH37">INDEX(AG:AG,MIN(IF(ISNUMBER(AG37:AG233),ROW(AG37:AG233),"")))</f>
        <v>14.833333333333334</v>
      </c>
      <c r="AI37" s="13">
        <f>IF('Données projet'!$A$62&gt;35,AI36+AH37-AQ36,IF(A37&lt;'Données projet'!$A$62,$AF$205^A37,IF(A37='Données projet'!$A$62,'Données projet'!$B$62,AI36+AH37-AQ36)))</f>
        <v>244.00000000000006</v>
      </c>
      <c r="AJ37" s="13">
        <f>AI37*VLOOKUP('Données projet'!$B$10,Paramètres!$A$1:$I$89,3,0)*VLOOKUP('Données projet'!$B$10,Paramètres!$A$1:$I$89,5,0)</f>
        <v>145.91200000000006</v>
      </c>
      <c r="AK37" s="13">
        <f t="shared" si="35"/>
        <v>37.648084239987625</v>
      </c>
      <c r="AL37" s="20">
        <f t="shared" si="4"/>
        <v>319.7004800513119</v>
      </c>
      <c r="AM37" s="59">
        <f t="shared" si="5"/>
        <v>613.03381338464521</v>
      </c>
      <c r="AN37" s="59">
        <f ca="1">AVERAGE(OFFSET($AM$3,0,0,'Données projet'!$E$10+1,1))-AVERAGE(OFFSET($H$3,0,0,'Données projet'!$E$10+1,1))</f>
        <v>186.90544184210381</v>
      </c>
      <c r="AO37" s="59">
        <f t="shared" si="36"/>
        <v>202.05988514450519</v>
      </c>
      <c r="AP37" s="15">
        <f>IF(ISNA(VLOOKUP(A37,'Données projet'!$A$61:$I$81,3,0)),0,VLOOKUP(A37,'Données projet'!$A$61:$I$81,3,0))</f>
        <v>5</v>
      </c>
      <c r="AQ37" s="15">
        <f>IF(ISNA(VLOOKUP(A37,'Données projet'!$A$61:$I$81,4,0)),0,VLOOKUP(A37,'Données projet'!$A$61:$I$81,4,0))</f>
        <v>46</v>
      </c>
      <c r="AR37" s="16">
        <f>IF(ISNA(VLOOKUP(A37,'Données projet'!$A$61:$I$81,5,0)),0%,VLOOKUP(A37,'Données projet'!$A$61:$I$81,5,0)*VLOOKUP('Données projet'!$B$10,Paramètres!$A$1:$I$89,7,0))</f>
        <v>0.22500000000000001</v>
      </c>
      <c r="AS37" s="16">
        <f>IF(ISNA(VLOOKUP(A37,'Données projet'!$A$61:$I$81,6,0)),0%,VLOOKUP(A37,'Données projet'!$A$61:$I$81,6,0)*VLOOKUP('Données projet'!$B$10,Paramètres!$A$1:$I$89,7,0))</f>
        <v>0.1125</v>
      </c>
      <c r="AT37" s="16">
        <f>IF(ISNA(VLOOKUP(A37,'Données projet'!$A$61:$I$81,7,0)),0%,VLOOKUP(A37,'Données projet'!$A$61:$I$81,7,0))</f>
        <v>0.25</v>
      </c>
      <c r="AU37" s="21">
        <f>EXP(-LN(2)/35)*AU36+(1-EXP(-LN(2)/35))/(LN(2)/35)*AQ37*AR37*VLOOKUP('Données projet'!$B$10,Paramètres!$A$1:$I$89,3,0)*0.475*44/12</f>
        <v>16.562080428897843</v>
      </c>
      <c r="AV37" s="21">
        <f>EXP(-LN(2)/25)*AV36+(1-EXP(-LN(2)/25))/(LN(2)/25)*Calculateur!AQ37*Calculateur!AS37*VLOOKUP('Données projet'!$B$10,Paramètres!$A$1:$I$89,3,0)*0.475*44/12</f>
        <v>13.915658992479493</v>
      </c>
      <c r="AW37" s="21">
        <f>EXP(-LN(2)/2)*AW36+(1-EXP(-LN(2)/2))/(LN(2)/2)*AQ37*AT37*VLOOKUP('Données projet'!$B$10,Paramètres!$A$1:$I$89,3,0)*0.475*44/12</f>
        <v>8.9610600375033158</v>
      </c>
      <c r="AX37" s="21">
        <f t="shared" si="6"/>
        <v>39.438799458880652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3.6</v>
      </c>
      <c r="BD37" s="12">
        <f>IF('Données projet'!$A$88&gt;35,BD36+BC37-BL36,IF(A37&lt;'Données projet'!$A$88,$BA$205^A37,IF(A37='Données projet'!$A$88,'Données projet'!$B$88,BD36+BC37-BL36)))</f>
        <v>71.399999999999977</v>
      </c>
      <c r="BE37" s="13">
        <f>BD37*VLOOKUP('Données projet'!$B$11,Paramètres!$A$1:$I$89,3,0)*VLOOKUP('Données projet'!$B$11,Paramètres!$A$1:$I$89,5,0)</f>
        <v>57.919679999999978</v>
      </c>
      <c r="BF37" s="13">
        <f t="shared" si="37"/>
        <v>16.641223534705841</v>
      </c>
      <c r="BG37" s="20">
        <f t="shared" si="7"/>
        <v>129.86024032294594</v>
      </c>
      <c r="BH37" s="59">
        <f t="shared" si="8"/>
        <v>423.19357365627923</v>
      </c>
      <c r="BI37" s="59">
        <f ca="1">AVERAGE(OFFSET($BH$3,0,0,'Données projet'!$E$11+1,1))-AVERAGE(OFFSET($H$3,0,0,'Données projet'!$E$11+1,1))</f>
        <v>5.8584049049231908</v>
      </c>
      <c r="BJ37" s="59">
        <f t="shared" si="38"/>
        <v>42.266833200216638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1.7115139036785607</v>
      </c>
      <c r="BS37" s="22">
        <f t="shared" si="9"/>
        <v>1.7115139036785607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0</v>
      </c>
      <c r="CE37" s="59">
        <f t="shared" si="40"/>
        <v>0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0</v>
      </c>
      <c r="CZ37" s="59">
        <f t="shared" si="42"/>
        <v>0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>
        <f>EJ37*VLOOKUP('Données projet'!$B$15,Paramètres!$A$1:$I$89,3,0)*VLOOKUP('Données projet'!$B$15,Paramètres!$A$1:$I$89,5,0)</f>
        <v>0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0</v>
      </c>
      <c r="EP37" s="59">
        <f t="shared" si="46"/>
        <v>0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>
        <f>FE37*VLOOKUP('Données projet'!$B$16,Paramètres!$A$1:$I$89,3,0)*VLOOKUP('Données projet'!$B$16,Paramètres!$A$1:$I$89,5,0)</f>
        <v>0</v>
      </c>
      <c r="FG37" s="13" t="e">
        <f t="shared" si="47"/>
        <v>#NUM!</v>
      </c>
      <c r="FH37" s="20" t="e">
        <f t="shared" si="22"/>
        <v>#NUM!</v>
      </c>
      <c r="FI37" s="59" t="e">
        <f t="shared" si="23"/>
        <v>#NUM!</v>
      </c>
      <c r="FJ37" s="59">
        <f ca="1">AVERAGE(OFFSET($FI$3,0,0,'Données projet'!$E$16+1,1))-AVERAGE(OFFSET($H$3,0,0,'Données projet'!$E$16+1,1))</f>
        <v>0</v>
      </c>
      <c r="FK37" s="59">
        <f t="shared" si="48"/>
        <v>0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>
        <f>FZ37*VLOOKUP('Données projet'!$B$17,Paramètres!$A$1:$I$89,3,0)*VLOOKUP('Données projet'!$B$17,Paramètres!$A$1:$I$89,5,0)</f>
        <v>0</v>
      </c>
      <c r="GB37" s="13" t="e">
        <f t="shared" si="49"/>
        <v>#NUM!</v>
      </c>
      <c r="GC37" s="20" t="e">
        <f t="shared" si="25"/>
        <v>#NUM!</v>
      </c>
      <c r="GD37" s="59" t="e">
        <f t="shared" si="26"/>
        <v>#NUM!</v>
      </c>
      <c r="GE37" s="59">
        <f ca="1">AVERAGE(OFFSET($GD$3,0,0,'Données projet'!$E$17+1,1))-AVERAGE(OFFSET($H$3,0,0,'Données projet'!$E$17+1,1))</f>
        <v>0</v>
      </c>
      <c r="GF37" s="59">
        <f t="shared" si="50"/>
        <v>0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projet'!$B$9,Paramètres!$A$1:$I$89,3,0)*VLOOKUP('Données projet'!$B$9,Paramètres!$A$1:$I$89,5,0)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186.90544184210381</v>
      </c>
      <c r="T38" s="59">
        <f t="shared" si="34"/>
        <v>202.05988514450519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16.237308133558741</v>
      </c>
      <c r="AA38" s="21">
        <f>EXP(-LN(2)/25)*AA37+(1-EXP(-LN(2)/25))/(LN(2)/25)*Calculateur!V38*Calculateur!X38*VLOOKUP('Données projet'!$B$9,Paramètres!$A$1:$I$89,3,0)*0.475*44/12</f>
        <v>13.53513456553744</v>
      </c>
      <c r="AB38" s="21">
        <f>EXP(-LN(2)/2)*AB37+(1-EXP(-LN(2)/2))/(LN(2)/2)*V38*Y38*VLOOKUP('Données projet'!$B$9,Paramètres!$A$1:$I$89,3,0)*0.475*44/12</f>
        <v>6.336426319138373</v>
      </c>
      <c r="AC38" s="22">
        <f t="shared" si="3"/>
        <v>36.108869018234557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210.83333333333337</v>
      </c>
      <c r="AJ38" s="13">
        <f>AI38*VLOOKUP('Données projet'!$B$10,Paramètres!$A$1:$I$89,3,0)*VLOOKUP('Données projet'!$B$10,Paramètres!$A$1:$I$89,5,0)</f>
        <v>126.07833333333336</v>
      </c>
      <c r="AK38" s="13">
        <f t="shared" si="35"/>
        <v>33.08856817390501</v>
      </c>
      <c r="AL38" s="20">
        <f t="shared" si="4"/>
        <v>277.21568679177352</v>
      </c>
      <c r="AM38" s="59">
        <f t="shared" si="5"/>
        <v>570.54902012510684</v>
      </c>
      <c r="AN38" s="59">
        <f ca="1">AVERAGE(OFFSET($AM$3,0,0,'Données projet'!$E$10+1,1))-AVERAGE(OFFSET($H$3,0,0,'Données projet'!$E$10+1,1))</f>
        <v>186.90544184210381</v>
      </c>
      <c r="AO38" s="59">
        <f t="shared" si="36"/>
        <v>202.05988514450519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16.237308133558741</v>
      </c>
      <c r="AV38" s="21">
        <f>EXP(-LN(2)/25)*AV37+(1-EXP(-LN(2)/25))/(LN(2)/25)*Calculateur!AQ38*Calculateur!AS38*VLOOKUP('Données projet'!$B$10,Paramètres!$A$1:$I$89,3,0)*0.475*44/12</f>
        <v>13.53513456553744</v>
      </c>
      <c r="AW38" s="21">
        <f>EXP(-LN(2)/2)*AW37+(1-EXP(-LN(2)/2))/(LN(2)/2)*AQ38*AT38*VLOOKUP('Données projet'!$B$10,Paramètres!$A$1:$I$89,3,0)*0.475*44/12</f>
        <v>6.336426319138373</v>
      </c>
      <c r="AX38" s="21">
        <f t="shared" si="6"/>
        <v>36.108869018234557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75</v>
      </c>
      <c r="BB38" s="12">
        <f>VLOOKUP(A38,'Données projet'!$A$87:$I$107,9,0)</f>
        <v>3.6</v>
      </c>
      <c r="BC38" s="12">
        <f t="array" ref="BC38">INDEX(BB:BB,MIN(IF(ISNUMBER(BB38:BB234),ROW(BB38:BB234),"")))</f>
        <v>3.6</v>
      </c>
      <c r="BD38" s="12">
        <f>IF('Données projet'!$A$88&gt;35,BD37+BC38-BL37,IF(A38&lt;'Données projet'!$A$88,$BA$205^A38,IF(A38='Données projet'!$A$88,'Données projet'!$B$88,BD37+BC38-BL37)))</f>
        <v>74.999999999999972</v>
      </c>
      <c r="BE38" s="13">
        <f>BD38*VLOOKUP('Données projet'!$B$11,Paramètres!$A$1:$I$89,3,0)*VLOOKUP('Données projet'!$B$11,Paramètres!$A$1:$I$89,5,0)</f>
        <v>60.839999999999982</v>
      </c>
      <c r="BF38" s="13">
        <f t="shared" si="37"/>
        <v>17.38047521653144</v>
      </c>
      <c r="BG38" s="20">
        <f t="shared" si="7"/>
        <v>136.23399433545887</v>
      </c>
      <c r="BH38" s="59">
        <f t="shared" si="8"/>
        <v>429.56732766879219</v>
      </c>
      <c r="BI38" s="59">
        <f ca="1">AVERAGE(OFFSET($BH$3,0,0,'Données projet'!$E$11+1,1))-AVERAGE(OFFSET($H$3,0,0,'Données projet'!$E$11+1,1))</f>
        <v>5.8584049049231908</v>
      </c>
      <c r="BJ38" s="59">
        <f t="shared" si="38"/>
        <v>42.266833200216638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75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1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58.614400571977988</v>
      </c>
      <c r="BS38" s="22">
        <f t="shared" si="9"/>
        <v>58.614400571977988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0</v>
      </c>
      <c r="CE38" s="59">
        <f t="shared" si="40"/>
        <v>0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0</v>
      </c>
      <c r="CZ38" s="59">
        <f t="shared" si="42"/>
        <v>0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>
        <f>EJ38*VLOOKUP('Données projet'!$B$15,Paramètres!$A$1:$I$89,3,0)*VLOOKUP('Données projet'!$B$15,Paramètres!$A$1:$I$89,5,0)</f>
        <v>0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0</v>
      </c>
      <c r="EP38" s="59">
        <f t="shared" si="46"/>
        <v>0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>
        <f>FE38*VLOOKUP('Données projet'!$B$16,Paramètres!$A$1:$I$89,3,0)*VLOOKUP('Données projet'!$B$16,Paramètres!$A$1:$I$89,5,0)</f>
        <v>0</v>
      </c>
      <c r="FG38" s="13" t="e">
        <f t="shared" si="47"/>
        <v>#NUM!</v>
      </c>
      <c r="FH38" s="20" t="e">
        <f t="shared" si="22"/>
        <v>#NUM!</v>
      </c>
      <c r="FI38" s="59" t="e">
        <f t="shared" si="23"/>
        <v>#NUM!</v>
      </c>
      <c r="FJ38" s="59">
        <f ca="1">AVERAGE(OFFSET($FI$3,0,0,'Données projet'!$E$16+1,1))-AVERAGE(OFFSET($H$3,0,0,'Données projet'!$E$16+1,1))</f>
        <v>0</v>
      </c>
      <c r="FK38" s="59">
        <f t="shared" si="48"/>
        <v>0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>
        <f>FZ38*VLOOKUP('Données projet'!$B$17,Paramètres!$A$1:$I$89,3,0)*VLOOKUP('Données projet'!$B$17,Paramètres!$A$1:$I$89,5,0)</f>
        <v>0</v>
      </c>
      <c r="GB38" s="13" t="e">
        <f t="shared" si="49"/>
        <v>#NUM!</v>
      </c>
      <c r="GC38" s="20" t="e">
        <f t="shared" si="25"/>
        <v>#NUM!</v>
      </c>
      <c r="GD38" s="59" t="e">
        <f t="shared" si="26"/>
        <v>#NUM!</v>
      </c>
      <c r="GE38" s="59">
        <f ca="1">AVERAGE(OFFSET($GD$3,0,0,'Données projet'!$E$17+1,1))-AVERAGE(OFFSET($H$3,0,0,'Données projet'!$E$17+1,1))</f>
        <v>0</v>
      </c>
      <c r="GF38" s="59">
        <f t="shared" si="50"/>
        <v>0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projet'!$B$9,Paramètres!$A$1:$I$89,3,0)*VLOOKUP('Données projet'!$B$9,Paramètres!$A$1:$I$89,5,0)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186.90544184210381</v>
      </c>
      <c r="T39" s="59">
        <f t="shared" si="34"/>
        <v>202.05988514450519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15.918904424839699</v>
      </c>
      <c r="AA39" s="21">
        <f>EXP(-LN(2)/25)*AA38+(1-EXP(-LN(2)/25))/(LN(2)/25)*Calculateur!V39*Calculateur!X39*VLOOKUP('Données projet'!$B$9,Paramètres!$A$1:$I$89,3,0)*0.475*44/12</f>
        <v>13.165015599061027</v>
      </c>
      <c r="AB39" s="21">
        <f>EXP(-LN(2)/2)*AB38+(1-EXP(-LN(2)/2))/(LN(2)/2)*V39*Y39*VLOOKUP('Données projet'!$B$9,Paramètres!$A$1:$I$89,3,0)*0.475*44/12</f>
        <v>4.4805300187516588</v>
      </c>
      <c r="AC39" s="22">
        <f t="shared" si="3"/>
        <v>33.564450042652382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223.66666666666671</v>
      </c>
      <c r="AJ39" s="13">
        <f>AI39*VLOOKUP('Données projet'!$B$10,Paramètres!$A$1:$I$89,3,0)*VLOOKUP('Données projet'!$B$10,Paramètres!$A$1:$I$89,5,0)</f>
        <v>133.75266666666673</v>
      </c>
      <c r="AK39" s="13">
        <f t="shared" si="35"/>
        <v>34.86204901776788</v>
      </c>
      <c r="AL39" s="20">
        <f t="shared" si="4"/>
        <v>293.67062981705698</v>
      </c>
      <c r="AM39" s="59">
        <f t="shared" si="5"/>
        <v>587.00396315039029</v>
      </c>
      <c r="AN39" s="59">
        <f ca="1">AVERAGE(OFFSET($AM$3,0,0,'Données projet'!$E$10+1,1))-AVERAGE(OFFSET($H$3,0,0,'Données projet'!$E$10+1,1))</f>
        <v>186.90544184210381</v>
      </c>
      <c r="AO39" s="59">
        <f t="shared" si="36"/>
        <v>202.05988514450519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15.918904424839699</v>
      </c>
      <c r="AV39" s="21">
        <f>EXP(-LN(2)/25)*AV38+(1-EXP(-LN(2)/25))/(LN(2)/25)*Calculateur!AQ39*Calculateur!AS39*VLOOKUP('Données projet'!$B$10,Paramètres!$A$1:$I$89,3,0)*0.475*44/12</f>
        <v>13.165015599061027</v>
      </c>
      <c r="AW39" s="21">
        <f>EXP(-LN(2)/2)*AW38+(1-EXP(-LN(2)/2))/(LN(2)/2)*AQ39*AT39*VLOOKUP('Données projet'!$B$10,Paramètres!$A$1:$I$89,3,0)*0.475*44/12</f>
        <v>4.4805300187516588</v>
      </c>
      <c r="AX39" s="21">
        <f t="shared" si="6"/>
        <v>33.564450042652382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-2.8421709430404007E-14</v>
      </c>
      <c r="BE39" s="13">
        <f>BD39*VLOOKUP('Données projet'!$B$11,Paramètres!$A$1:$I$89,3,0)*VLOOKUP('Données projet'!$B$11,Paramètres!$A$1:$I$89,5,0)</f>
        <v>-2.3055690689943732E-14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5.8584049049231908</v>
      </c>
      <c r="BJ39" s="59">
        <f t="shared" si="38"/>
        <v>42.266833200216638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41.446640119630288</v>
      </c>
      <c r="BS39" s="22">
        <f t="shared" si="9"/>
        <v>41.446640119630288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0</v>
      </c>
      <c r="CE39" s="59">
        <f t="shared" si="40"/>
        <v>0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0</v>
      </c>
      <c r="CZ39" s="59">
        <f t="shared" si="42"/>
        <v>0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>
        <f>EJ39*VLOOKUP('Données projet'!$B$15,Paramètres!$A$1:$I$89,3,0)*VLOOKUP('Données projet'!$B$15,Paramètres!$A$1:$I$89,5,0)</f>
        <v>0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0</v>
      </c>
      <c r="EP39" s="59">
        <f t="shared" si="46"/>
        <v>0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>
        <f>FE39*VLOOKUP('Données projet'!$B$16,Paramètres!$A$1:$I$89,3,0)*VLOOKUP('Données projet'!$B$16,Paramètres!$A$1:$I$89,5,0)</f>
        <v>0</v>
      </c>
      <c r="FG39" s="13" t="e">
        <f t="shared" si="47"/>
        <v>#NUM!</v>
      </c>
      <c r="FH39" s="20" t="e">
        <f t="shared" si="22"/>
        <v>#NUM!</v>
      </c>
      <c r="FI39" s="59" t="e">
        <f t="shared" si="23"/>
        <v>#NUM!</v>
      </c>
      <c r="FJ39" s="59">
        <f ca="1">AVERAGE(OFFSET($FI$3,0,0,'Données projet'!$E$16+1,1))-AVERAGE(OFFSET($H$3,0,0,'Données projet'!$E$16+1,1))</f>
        <v>0</v>
      </c>
      <c r="FK39" s="59">
        <f t="shared" si="48"/>
        <v>0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>
        <f>FZ39*VLOOKUP('Données projet'!$B$17,Paramètres!$A$1:$I$89,3,0)*VLOOKUP('Données projet'!$B$17,Paramètres!$A$1:$I$89,5,0)</f>
        <v>0</v>
      </c>
      <c r="GB39" s="13" t="e">
        <f t="shared" si="49"/>
        <v>#NUM!</v>
      </c>
      <c r="GC39" s="20" t="e">
        <f t="shared" si="25"/>
        <v>#NUM!</v>
      </c>
      <c r="GD39" s="59" t="e">
        <f t="shared" si="26"/>
        <v>#NUM!</v>
      </c>
      <c r="GE39" s="59">
        <f ca="1">AVERAGE(OFFSET($GD$3,0,0,'Données projet'!$E$17+1,1))-AVERAGE(OFFSET($H$3,0,0,'Données projet'!$E$17+1,1))</f>
        <v>0</v>
      </c>
      <c r="GF39" s="59">
        <f t="shared" si="50"/>
        <v>0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projet'!$B$9,Paramètres!$A$1:$I$89,3,0)*VLOOKUP('Données projet'!$B$9,Paramètres!$A$1:$I$89,5,0)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186.90544184210381</v>
      </c>
      <c r="T40" s="59">
        <f t="shared" si="34"/>
        <v>202.05988514450519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15.606744418641551</v>
      </c>
      <c r="AA40" s="21">
        <f>EXP(-LN(2)/25)*AA39+(1-EXP(-LN(2)/25))/(LN(2)/25)*Calculateur!V40*Calculateur!X40*VLOOKUP('Données projet'!$B$9,Paramètres!$A$1:$I$89,3,0)*0.475*44/12</f>
        <v>12.805017555186621</v>
      </c>
      <c r="AB40" s="21">
        <f>EXP(-LN(2)/2)*AB39+(1-EXP(-LN(2)/2))/(LN(2)/2)*V40*Y40*VLOOKUP('Données projet'!$B$9,Paramètres!$A$1:$I$89,3,0)*0.475*44/12</f>
        <v>3.1682131595691869</v>
      </c>
      <c r="AC40" s="22">
        <f t="shared" si="3"/>
        <v>31.579975133397358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12.833333333333334</v>
      </c>
      <c r="AI40" s="13">
        <f>IF('Données projet'!$A$62&gt;35,AI39+AH40-AQ39,IF(A40&lt;'Données projet'!$A$62,$AF$205^A40,IF(A40='Données projet'!$A$62,'Données projet'!$B$62,AI39+AH40-AQ39)))</f>
        <v>236.50000000000006</v>
      </c>
      <c r="AJ40" s="13">
        <f>AI40*VLOOKUP('Données projet'!$B$10,Paramètres!$A$1:$I$89,3,0)*VLOOKUP('Données projet'!$B$10,Paramètres!$A$1:$I$89,5,0)</f>
        <v>141.42700000000005</v>
      </c>
      <c r="AK40" s="13">
        <f t="shared" si="35"/>
        <v>36.623717959686019</v>
      </c>
      <c r="AL40" s="20">
        <f t="shared" si="4"/>
        <v>310.10500044645323</v>
      </c>
      <c r="AM40" s="59">
        <f t="shared" si="5"/>
        <v>603.43833377978649</v>
      </c>
      <c r="AN40" s="59">
        <f ca="1">AVERAGE(OFFSET($AM$3,0,0,'Données projet'!$E$10+1,1))-AVERAGE(OFFSET($H$3,0,0,'Données projet'!$E$10+1,1))</f>
        <v>186.90544184210381</v>
      </c>
      <c r="AO40" s="59">
        <f t="shared" si="36"/>
        <v>202.05988514450519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15.606744418641551</v>
      </c>
      <c r="AV40" s="21">
        <f>EXP(-LN(2)/25)*AV39+(1-EXP(-LN(2)/25))/(LN(2)/25)*Calculateur!AQ40*Calculateur!AS40*VLOOKUP('Données projet'!$B$10,Paramètres!$A$1:$I$89,3,0)*0.475*44/12</f>
        <v>12.805017555186621</v>
      </c>
      <c r="AW40" s="21">
        <f>EXP(-LN(2)/2)*AW39+(1-EXP(-LN(2)/2))/(LN(2)/2)*AQ40*AT40*VLOOKUP('Données projet'!$B$10,Paramètres!$A$1:$I$89,3,0)*0.475*44/12</f>
        <v>3.1682131595691869</v>
      </c>
      <c r="AX40" s="21">
        <f t="shared" si="6"/>
        <v>31.579975133397358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-2.8421709430404007E-14</v>
      </c>
      <c r="BE40" s="13">
        <f>BD40*VLOOKUP('Données projet'!$B$11,Paramètres!$A$1:$I$89,3,0)*VLOOKUP('Données projet'!$B$11,Paramètres!$A$1:$I$89,5,0)</f>
        <v>-2.3055690689943732E-14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5.8584049049231908</v>
      </c>
      <c r="BJ40" s="59">
        <f t="shared" si="38"/>
        <v>42.266833200216638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29.307200285988998</v>
      </c>
      <c r="BS40" s="22">
        <f t="shared" si="9"/>
        <v>29.307200285988998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0</v>
      </c>
      <c r="CE40" s="59">
        <f t="shared" si="40"/>
        <v>0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0</v>
      </c>
      <c r="CZ40" s="59">
        <f t="shared" si="42"/>
        <v>0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>
        <f>EJ40*VLOOKUP('Données projet'!$B$15,Paramètres!$A$1:$I$89,3,0)*VLOOKUP('Données projet'!$B$15,Paramètres!$A$1:$I$89,5,0)</f>
        <v>0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0</v>
      </c>
      <c r="EP40" s="59">
        <f t="shared" si="46"/>
        <v>0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>
        <f>FE40*VLOOKUP('Données projet'!$B$16,Paramètres!$A$1:$I$89,3,0)*VLOOKUP('Données projet'!$B$16,Paramètres!$A$1:$I$89,5,0)</f>
        <v>0</v>
      </c>
      <c r="FG40" s="13" t="e">
        <f t="shared" si="47"/>
        <v>#NUM!</v>
      </c>
      <c r="FH40" s="20" t="e">
        <f t="shared" si="22"/>
        <v>#NUM!</v>
      </c>
      <c r="FI40" s="59" t="e">
        <f t="shared" si="23"/>
        <v>#NUM!</v>
      </c>
      <c r="FJ40" s="59">
        <f ca="1">AVERAGE(OFFSET($FI$3,0,0,'Données projet'!$E$16+1,1))-AVERAGE(OFFSET($H$3,0,0,'Données projet'!$E$16+1,1))</f>
        <v>0</v>
      </c>
      <c r="FK40" s="59">
        <f t="shared" si="48"/>
        <v>0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>
        <f>FZ40*VLOOKUP('Données projet'!$B$17,Paramètres!$A$1:$I$89,3,0)*VLOOKUP('Données projet'!$B$17,Paramètres!$A$1:$I$89,5,0)</f>
        <v>0</v>
      </c>
      <c r="GB40" s="13" t="e">
        <f t="shared" si="49"/>
        <v>#NUM!</v>
      </c>
      <c r="GC40" s="20" t="e">
        <f t="shared" si="25"/>
        <v>#NUM!</v>
      </c>
      <c r="GD40" s="59" t="e">
        <f t="shared" si="26"/>
        <v>#NUM!</v>
      </c>
      <c r="GE40" s="59">
        <f ca="1">AVERAGE(OFFSET($GD$3,0,0,'Données projet'!$E$17+1,1))-AVERAGE(OFFSET($H$3,0,0,'Données projet'!$E$17+1,1))</f>
        <v>0</v>
      </c>
      <c r="GF40" s="59">
        <f t="shared" si="50"/>
        <v>0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projet'!$B$9,Paramètres!$A$1:$I$89,3,0)*VLOOKUP('Données projet'!$B$9,Paramètres!$A$1:$I$89,5,0)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186.90544184210381</v>
      </c>
      <c r="T41" s="59">
        <f t="shared" si="34"/>
        <v>202.05988514450519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15.300705679766144</v>
      </c>
      <c r="AA41" s="21">
        <f>EXP(-LN(2)/25)*AA40+(1-EXP(-LN(2)/25))/(LN(2)/25)*Calculateur!V41*Calculateur!X41*VLOOKUP('Données projet'!$B$9,Paramètres!$A$1:$I$89,3,0)*0.475*44/12</f>
        <v>12.454863676753437</v>
      </c>
      <c r="AB41" s="21">
        <f>EXP(-LN(2)/2)*AB40+(1-EXP(-LN(2)/2))/(LN(2)/2)*V41*Y41*VLOOKUP('Données projet'!$B$9,Paramètres!$A$1:$I$89,3,0)*0.475*44/12</f>
        <v>2.2402650093758294</v>
      </c>
      <c r="AC41" s="22">
        <f t="shared" si="3"/>
        <v>29.995834365895409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12.833333333333334</v>
      </c>
      <c r="AI41" s="13">
        <f>IF('Données projet'!$A$62&gt;35,AI40+AH41-AQ40,IF(A41&lt;'Données projet'!$A$62,$AF$205^A41,IF(A41='Données projet'!$A$62,'Données projet'!$B$62,AI40+AH41-AQ40)))</f>
        <v>249.3333333333334</v>
      </c>
      <c r="AJ41" s="13">
        <f>AI41*VLOOKUP('Données projet'!$B$10,Paramètres!$A$1:$I$89,3,0)*VLOOKUP('Données projet'!$B$10,Paramètres!$A$1:$I$89,5,0)</f>
        <v>149.1013333333334</v>
      </c>
      <c r="AK41" s="13">
        <f t="shared" si="35"/>
        <v>38.37428902704788</v>
      </c>
      <c r="AL41" s="20">
        <f t="shared" si="4"/>
        <v>326.52004227766406</v>
      </c>
      <c r="AM41" s="59">
        <f t="shared" si="5"/>
        <v>619.85337561099732</v>
      </c>
      <c r="AN41" s="59">
        <f ca="1">AVERAGE(OFFSET($AM$3,0,0,'Données projet'!$E$10+1,1))-AVERAGE(OFFSET($H$3,0,0,'Données projet'!$E$10+1,1))</f>
        <v>186.90544184210381</v>
      </c>
      <c r="AO41" s="59">
        <f t="shared" si="36"/>
        <v>202.05988514450519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15.300705679766144</v>
      </c>
      <c r="AV41" s="21">
        <f>EXP(-LN(2)/25)*AV40+(1-EXP(-LN(2)/25))/(LN(2)/25)*Calculateur!AQ41*Calculateur!AS41*VLOOKUP('Données projet'!$B$10,Paramètres!$A$1:$I$89,3,0)*0.475*44/12</f>
        <v>12.454863676753437</v>
      </c>
      <c r="AW41" s="21">
        <f>EXP(-LN(2)/2)*AW40+(1-EXP(-LN(2)/2))/(LN(2)/2)*AQ41*AT41*VLOOKUP('Données projet'!$B$10,Paramètres!$A$1:$I$89,3,0)*0.475*44/12</f>
        <v>2.2402650093758294</v>
      </c>
      <c r="AX41" s="21">
        <f t="shared" si="6"/>
        <v>29.995834365895409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-2.8421709430404007E-14</v>
      </c>
      <c r="BE41" s="13">
        <f>BD41*VLOOKUP('Données projet'!$B$11,Paramètres!$A$1:$I$89,3,0)*VLOOKUP('Données projet'!$B$11,Paramètres!$A$1:$I$89,5,0)</f>
        <v>-2.3055690689943732E-14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5.8584049049231908</v>
      </c>
      <c r="BJ41" s="59">
        <f t="shared" si="38"/>
        <v>42.266833200216638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20.723320059815148</v>
      </c>
      <c r="BS41" s="22">
        <f t="shared" si="9"/>
        <v>20.723320059815148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0</v>
      </c>
      <c r="CE41" s="59">
        <f t="shared" si="40"/>
        <v>0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0</v>
      </c>
      <c r="CZ41" s="59">
        <f t="shared" si="42"/>
        <v>0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>
        <f>EJ41*VLOOKUP('Données projet'!$B$15,Paramètres!$A$1:$I$89,3,0)*VLOOKUP('Données projet'!$B$15,Paramètres!$A$1:$I$89,5,0)</f>
        <v>0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0</v>
      </c>
      <c r="EP41" s="59">
        <f t="shared" si="46"/>
        <v>0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>
        <f>FE41*VLOOKUP('Données projet'!$B$16,Paramètres!$A$1:$I$89,3,0)*VLOOKUP('Données projet'!$B$16,Paramètres!$A$1:$I$89,5,0)</f>
        <v>0</v>
      </c>
      <c r="FG41" s="13" t="e">
        <f t="shared" si="47"/>
        <v>#NUM!</v>
      </c>
      <c r="FH41" s="20" t="e">
        <f t="shared" si="22"/>
        <v>#NUM!</v>
      </c>
      <c r="FI41" s="59" t="e">
        <f t="shared" si="23"/>
        <v>#NUM!</v>
      </c>
      <c r="FJ41" s="59">
        <f ca="1">AVERAGE(OFFSET($FI$3,0,0,'Données projet'!$E$16+1,1))-AVERAGE(OFFSET($H$3,0,0,'Données projet'!$E$16+1,1))</f>
        <v>0</v>
      </c>
      <c r="FK41" s="59">
        <f t="shared" si="48"/>
        <v>0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>
        <f>FZ41*VLOOKUP('Données projet'!$B$17,Paramètres!$A$1:$I$89,3,0)*VLOOKUP('Données projet'!$B$17,Paramètres!$A$1:$I$89,5,0)</f>
        <v>0</v>
      </c>
      <c r="GB41" s="13" t="e">
        <f t="shared" si="49"/>
        <v>#NUM!</v>
      </c>
      <c r="GC41" s="20" t="e">
        <f t="shared" si="25"/>
        <v>#NUM!</v>
      </c>
      <c r="GD41" s="59" t="e">
        <f t="shared" si="26"/>
        <v>#NUM!</v>
      </c>
      <c r="GE41" s="59">
        <f ca="1">AVERAGE(OFFSET($GD$3,0,0,'Données projet'!$E$17+1,1))-AVERAGE(OFFSET($H$3,0,0,'Données projet'!$E$17+1,1))</f>
        <v>0</v>
      </c>
      <c r="GF41" s="59">
        <f t="shared" si="50"/>
        <v>0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projet'!$B$9,Paramètres!$A$1:$I$89,3,0)*VLOOKUP('Données projet'!$B$9,Paramètres!$A$1:$I$89,5,0)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186.90544184210381</v>
      </c>
      <c r="T42" s="59">
        <f t="shared" si="34"/>
        <v>202.05988514450519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15.000668173894887</v>
      </c>
      <c r="AA42" s="21">
        <f>EXP(-LN(2)/25)*AA41+(1-EXP(-LN(2)/25))/(LN(2)/25)*Calculateur!V42*Calculateur!X42*VLOOKUP('Données projet'!$B$9,Paramètres!$A$1:$I$89,3,0)*0.475*44/12</f>
        <v>12.114284774539799</v>
      </c>
      <c r="AB42" s="21">
        <f>EXP(-LN(2)/2)*AB41+(1-EXP(-LN(2)/2))/(LN(2)/2)*V42*Y42*VLOOKUP('Données projet'!$B$9,Paramètres!$A$1:$I$89,3,0)*0.475*44/12</f>
        <v>1.5841065797845935</v>
      </c>
      <c r="AC42" s="22">
        <f t="shared" si="3"/>
        <v>28.699059528219276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12.833333333333334</v>
      </c>
      <c r="AI42" s="13">
        <f>IF('Données projet'!$A$62&gt;35,AI41+AH42-AQ41,IF(A42&lt;'Données projet'!$A$62,$AF$205^A42,IF(A42='Données projet'!$A$62,'Données projet'!$B$62,AI41+AH42-AQ41)))</f>
        <v>262.16666666666674</v>
      </c>
      <c r="AJ42" s="13">
        <f>AI42*VLOOKUP('Données projet'!$B$10,Paramètres!$A$1:$I$89,3,0)*VLOOKUP('Données projet'!$B$10,Paramètres!$A$1:$I$89,5,0)</f>
        <v>156.77566666666672</v>
      </c>
      <c r="AK42" s="13">
        <f t="shared" si="35"/>
        <v>40.114398592763365</v>
      </c>
      <c r="AL42" s="20">
        <f t="shared" si="4"/>
        <v>342.9168636601741</v>
      </c>
      <c r="AM42" s="59">
        <f t="shared" si="5"/>
        <v>636.25019699350742</v>
      </c>
      <c r="AN42" s="59">
        <f ca="1">AVERAGE(OFFSET($AM$3,0,0,'Données projet'!$E$10+1,1))-AVERAGE(OFFSET($H$3,0,0,'Données projet'!$E$10+1,1))</f>
        <v>186.90544184210381</v>
      </c>
      <c r="AO42" s="59">
        <f t="shared" si="36"/>
        <v>202.05988514450519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15.000668173894887</v>
      </c>
      <c r="AV42" s="21">
        <f>EXP(-LN(2)/25)*AV41+(1-EXP(-LN(2)/25))/(LN(2)/25)*Calculateur!AQ42*Calculateur!AS42*VLOOKUP('Données projet'!$B$10,Paramètres!$A$1:$I$89,3,0)*0.475*44/12</f>
        <v>12.114284774539799</v>
      </c>
      <c r="AW42" s="21">
        <f>EXP(-LN(2)/2)*AW41+(1-EXP(-LN(2)/2))/(LN(2)/2)*AQ42*AT42*VLOOKUP('Données projet'!$B$10,Paramètres!$A$1:$I$89,3,0)*0.475*44/12</f>
        <v>1.5841065797845935</v>
      </c>
      <c r="AX42" s="21">
        <f t="shared" si="6"/>
        <v>28.699059528219276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-2.8421709430404007E-14</v>
      </c>
      <c r="BE42" s="13">
        <f>BD42*VLOOKUP('Données projet'!$B$11,Paramètres!$A$1:$I$89,3,0)*VLOOKUP('Données projet'!$B$11,Paramètres!$A$1:$I$89,5,0)</f>
        <v>-2.3055690689943732E-14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5.8584049049231908</v>
      </c>
      <c r="BJ42" s="59">
        <f t="shared" si="38"/>
        <v>42.266833200216638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14.653600142994502</v>
      </c>
      <c r="BS42" s="22">
        <f t="shared" si="9"/>
        <v>14.653600142994502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0</v>
      </c>
      <c r="CE42" s="59">
        <f t="shared" si="40"/>
        <v>0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0</v>
      </c>
      <c r="CZ42" s="59">
        <f t="shared" si="42"/>
        <v>0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>
        <f>EJ42*VLOOKUP('Données projet'!$B$15,Paramètres!$A$1:$I$89,3,0)*VLOOKUP('Données projet'!$B$15,Paramètres!$A$1:$I$89,5,0)</f>
        <v>0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0</v>
      </c>
      <c r="EP42" s="59">
        <f t="shared" si="46"/>
        <v>0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>
        <f>FE42*VLOOKUP('Données projet'!$B$16,Paramètres!$A$1:$I$89,3,0)*VLOOKUP('Données projet'!$B$16,Paramètres!$A$1:$I$89,5,0)</f>
        <v>0</v>
      </c>
      <c r="FG42" s="13" t="e">
        <f t="shared" si="47"/>
        <v>#NUM!</v>
      </c>
      <c r="FH42" s="20" t="e">
        <f t="shared" si="22"/>
        <v>#NUM!</v>
      </c>
      <c r="FI42" s="59" t="e">
        <f t="shared" si="23"/>
        <v>#NUM!</v>
      </c>
      <c r="FJ42" s="59">
        <f ca="1">AVERAGE(OFFSET($FI$3,0,0,'Données projet'!$E$16+1,1))-AVERAGE(OFFSET($H$3,0,0,'Données projet'!$E$16+1,1))</f>
        <v>0</v>
      </c>
      <c r="FK42" s="59">
        <f t="shared" si="48"/>
        <v>0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>
        <f>FZ42*VLOOKUP('Données projet'!$B$17,Paramètres!$A$1:$I$89,3,0)*VLOOKUP('Données projet'!$B$17,Paramètres!$A$1:$I$89,5,0)</f>
        <v>0</v>
      </c>
      <c r="GB42" s="13" t="e">
        <f t="shared" si="49"/>
        <v>#NUM!</v>
      </c>
      <c r="GC42" s="20" t="e">
        <f t="shared" si="25"/>
        <v>#NUM!</v>
      </c>
      <c r="GD42" s="59" t="e">
        <f t="shared" si="26"/>
        <v>#NUM!</v>
      </c>
      <c r="GE42" s="59">
        <f ca="1">AVERAGE(OFFSET($GD$3,0,0,'Données projet'!$E$17+1,1))-AVERAGE(OFFSET($H$3,0,0,'Données projet'!$E$17+1,1))</f>
        <v>0</v>
      </c>
      <c r="GF42" s="59">
        <f t="shared" si="50"/>
        <v>0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projet'!$B$9,Paramètres!$A$1:$I$89,3,0)*VLOOKUP('Données projet'!$B$9,Paramètres!$A$1:$I$89,5,0)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186.90544184210381</v>
      </c>
      <c r="T43" s="59">
        <f t="shared" si="34"/>
        <v>202.05988514450519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0.27</v>
      </c>
      <c r="X43" s="16">
        <f>IF(ISNA(VLOOKUP(A43,'Données projet'!$A$35:$I$55,6,0)),0%,VLOOKUP(A43,'Données projet'!$A$35:$I$55,6,0)*VLOOKUP('Données projet'!$B$9,Paramètres!$A$1:$I$89,7,0))</f>
        <v>9.0000000000000011E-2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23.488185196494953</v>
      </c>
      <c r="AA43" s="21">
        <f>EXP(-LN(2)/25)*AA42+(1-EXP(-LN(2)/25))/(LN(2)/25)*Calculateur!V43*Calculateur!X43*VLOOKUP('Données projet'!$B$9,Paramètres!$A$1:$I$89,3,0)*0.475*44/12</f>
        <v>14.698717084075648</v>
      </c>
      <c r="AB43" s="21">
        <f>EXP(-LN(2)/2)*AB42+(1-EXP(-LN(2)/2))/(LN(2)/2)*V43*Y43*VLOOKUP('Données projet'!$B$9,Paramètres!$A$1:$I$89,3,0)*0.475*44/12</f>
        <v>6.6721467988386935</v>
      </c>
      <c r="AC43" s="22">
        <f t="shared" si="3"/>
        <v>44.859049079409296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275</v>
      </c>
      <c r="AG43" s="12">
        <f>VLOOKUP(A43,'Données projet'!$A$61:$I$81,9,0)</f>
        <v>12.833333333333334</v>
      </c>
      <c r="AH43" s="12">
        <f t="array" ref="AH43">INDEX(AG:AG,MIN(IF(ISNUMBER(AG43:AG239),ROW(AG43:AG239),"")))</f>
        <v>12.833333333333334</v>
      </c>
      <c r="AI43" s="13">
        <f>IF('Données projet'!$A$62&gt;35,AI42+AH43-AQ42,IF(A43&lt;'Données projet'!$A$62,$AF$205^A43,IF(A43='Données projet'!$A$62,'Données projet'!$B$62,AI42+AH43-AQ42)))</f>
        <v>275.00000000000006</v>
      </c>
      <c r="AJ43" s="13">
        <f>AI43*VLOOKUP('Données projet'!$B$10,Paramètres!$A$1:$I$89,3,0)*VLOOKUP('Données projet'!$B$10,Paramètres!$A$1:$I$89,5,0)</f>
        <v>164.45000000000005</v>
      </c>
      <c r="AK43" s="13">
        <f t="shared" si="35"/>
        <v>41.844617207687371</v>
      </c>
      <c r="AL43" s="20">
        <f t="shared" si="4"/>
        <v>359.29645830338887</v>
      </c>
      <c r="AM43" s="59">
        <f t="shared" si="5"/>
        <v>652.62979163672219</v>
      </c>
      <c r="AN43" s="59">
        <f ca="1">AVERAGE(OFFSET($AM$3,0,0,'Données projet'!$E$10+1,1))-AVERAGE(OFFSET($H$3,0,0,'Données projet'!$E$10+1,1))</f>
        <v>186.90544184210381</v>
      </c>
      <c r="AO43" s="59">
        <f t="shared" si="36"/>
        <v>202.05988514450519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0.27</v>
      </c>
      <c r="AS43" s="16">
        <f>IF(ISNA(VLOOKUP(A43,'Données projet'!$A$61:$I$81,6,0)),0%,VLOOKUP(A43,'Données projet'!$A$61:$I$81,6,0)*VLOOKUP('Données projet'!$B$10,Paramètres!$A$1:$I$89,7,0))</f>
        <v>9.0000000000000011E-2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23.488185196494953</v>
      </c>
      <c r="AV43" s="21">
        <f>EXP(-LN(2)/25)*AV42+(1-EXP(-LN(2)/25))/(LN(2)/25)*Calculateur!AQ43*Calculateur!AS43*VLOOKUP('Données projet'!$B$10,Paramètres!$A$1:$I$89,3,0)*0.475*44/12</f>
        <v>14.698717084075648</v>
      </c>
      <c r="AW43" s="21">
        <f>EXP(-LN(2)/2)*AW42+(1-EXP(-LN(2)/2))/(LN(2)/2)*AQ43*AT43*VLOOKUP('Données projet'!$B$10,Paramètres!$A$1:$I$89,3,0)*0.475*44/12</f>
        <v>6.6721467988386935</v>
      </c>
      <c r="AX43" s="21">
        <f t="shared" si="6"/>
        <v>44.859049079409296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-2.8421709430404007E-14</v>
      </c>
      <c r="BE43" s="13">
        <f>BD43*VLOOKUP('Données projet'!$B$11,Paramètres!$A$1:$I$89,3,0)*VLOOKUP('Données projet'!$B$11,Paramètres!$A$1:$I$89,5,0)</f>
        <v>-2.3055690689943732E-14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5.8584049049231908</v>
      </c>
      <c r="BJ43" s="59">
        <f t="shared" si="38"/>
        <v>42.266833200216638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10.361660029907576</v>
      </c>
      <c r="BS43" s="22">
        <f t="shared" si="9"/>
        <v>10.361660029907576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0</v>
      </c>
      <c r="CE43" s="59">
        <f t="shared" si="40"/>
        <v>0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0</v>
      </c>
      <c r="CZ43" s="59">
        <f t="shared" si="42"/>
        <v>0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>
        <f>EJ43*VLOOKUP('Données projet'!$B$15,Paramètres!$A$1:$I$89,3,0)*VLOOKUP('Données projet'!$B$15,Paramètres!$A$1:$I$89,5,0)</f>
        <v>0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0</v>
      </c>
      <c r="EP43" s="59">
        <f t="shared" si="46"/>
        <v>0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>
        <f>FE43*VLOOKUP('Données projet'!$B$16,Paramètres!$A$1:$I$89,3,0)*VLOOKUP('Données projet'!$B$16,Paramètres!$A$1:$I$89,5,0)</f>
        <v>0</v>
      </c>
      <c r="FG43" s="13" t="e">
        <f t="shared" si="47"/>
        <v>#NUM!</v>
      </c>
      <c r="FH43" s="20" t="e">
        <f t="shared" si="22"/>
        <v>#NUM!</v>
      </c>
      <c r="FI43" s="59" t="e">
        <f t="shared" si="23"/>
        <v>#NUM!</v>
      </c>
      <c r="FJ43" s="59">
        <f ca="1">AVERAGE(OFFSET($FI$3,0,0,'Données projet'!$E$16+1,1))-AVERAGE(OFFSET($H$3,0,0,'Données projet'!$E$16+1,1))</f>
        <v>0</v>
      </c>
      <c r="FK43" s="59">
        <f t="shared" si="48"/>
        <v>0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>
        <f>FZ43*VLOOKUP('Données projet'!$B$17,Paramètres!$A$1:$I$89,3,0)*VLOOKUP('Données projet'!$B$17,Paramètres!$A$1:$I$89,5,0)</f>
        <v>0</v>
      </c>
      <c r="GB43" s="13" t="e">
        <f t="shared" si="49"/>
        <v>#NUM!</v>
      </c>
      <c r="GC43" s="20" t="e">
        <f t="shared" si="25"/>
        <v>#NUM!</v>
      </c>
      <c r="GD43" s="59" t="e">
        <f t="shared" si="26"/>
        <v>#NUM!</v>
      </c>
      <c r="GE43" s="59">
        <f ca="1">AVERAGE(OFFSET($GD$3,0,0,'Données projet'!$E$17+1,1))-AVERAGE(OFFSET($H$3,0,0,'Données projet'!$E$17+1,1))</f>
        <v>0</v>
      </c>
      <c r="GF43" s="59">
        <f t="shared" si="50"/>
        <v>0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9.8333333333333339</v>
      </c>
      <c r="N44" s="13">
        <f>IF('Données projet'!$A$36&gt;35,N43+M44-V43,IF(A44&lt;'Données projet'!$A$36,$K$205^A44,IF(A44='Données projet'!$A$36,'Données projet'!$B$36,N43+M44-V43)))</f>
        <v>243.83333333333337</v>
      </c>
      <c r="O44" s="13">
        <f>N44*VLOOKUP('Données projet'!$B$9,Paramètres!$A$1:$I$89,3,0)*VLOOKUP('Données projet'!$B$9,Paramètres!$A$1:$I$89,5,0)</f>
        <v>145.81233333333336</v>
      </c>
      <c r="P44" s="13">
        <f t="shared" si="33"/>
        <v>37.625360763194948</v>
      </c>
      <c r="Q44" s="20">
        <f t="shared" si="53"/>
        <v>319.4873172181201</v>
      </c>
      <c r="R44" s="59">
        <f t="shared" si="0"/>
        <v>612.82065055145335</v>
      </c>
      <c r="S44" s="59">
        <f ca="1">AVERAGE(OFFSET($R$3,0,0,'Données projet'!$E$9+1,1))-AVERAGE(OFFSET($H$3,0,0,'Données projet'!$E$9+1,1))</f>
        <v>186.90544184210381</v>
      </c>
      <c r="T44" s="59">
        <f t="shared" si="34"/>
        <v>202.05988514450519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23.027596211170046</v>
      </c>
      <c r="AA44" s="21">
        <f>EXP(-LN(2)/25)*AA43+(1-EXP(-LN(2)/25))/(LN(2)/25)*Calculateur!V44*Calculateur!X44*VLOOKUP('Données projet'!$B$9,Paramètres!$A$1:$I$89,3,0)*0.475*44/12</f>
        <v>14.296779892439663</v>
      </c>
      <c r="AB44" s="21">
        <f>EXP(-LN(2)/2)*AB43+(1-EXP(-LN(2)/2))/(LN(2)/2)*V44*Y44*VLOOKUP('Données projet'!$B$9,Paramètres!$A$1:$I$89,3,0)*0.475*44/12</f>
        <v>4.717920246530956</v>
      </c>
      <c r="AC44" s="22">
        <f t="shared" si="3"/>
        <v>42.042296350140667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9.8333333333333339</v>
      </c>
      <c r="AI44" s="13">
        <f>IF('Données projet'!$A$62&gt;35,AI43+AH44-AQ43,IF(A44&lt;'Données projet'!$A$62,$AF$205^A44,IF(A44='Données projet'!$A$62,'Données projet'!$B$62,AI43+AH44-AQ43)))</f>
        <v>243.83333333333337</v>
      </c>
      <c r="AJ44" s="13">
        <f>AI44*VLOOKUP('Données projet'!$B$10,Paramètres!$A$1:$I$89,3,0)*VLOOKUP('Données projet'!$B$10,Paramètres!$A$1:$I$89,5,0)</f>
        <v>145.81233333333336</v>
      </c>
      <c r="AK44" s="13">
        <f t="shared" si="35"/>
        <v>37.625360763194948</v>
      </c>
      <c r="AL44" s="20">
        <f t="shared" si="4"/>
        <v>319.4873172181201</v>
      </c>
      <c r="AM44" s="59">
        <f t="shared" si="5"/>
        <v>612.82065055145335</v>
      </c>
      <c r="AN44" s="59">
        <f ca="1">AVERAGE(OFFSET($AM$3,0,0,'Données projet'!$E$10+1,1))-AVERAGE(OFFSET($H$3,0,0,'Données projet'!$E$10+1,1))</f>
        <v>186.90544184210381</v>
      </c>
      <c r="AO44" s="59">
        <f t="shared" si="36"/>
        <v>202.05988514450519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23.027596211170046</v>
      </c>
      <c r="AV44" s="21">
        <f>EXP(-LN(2)/25)*AV43+(1-EXP(-LN(2)/25))/(LN(2)/25)*Calculateur!AQ44*Calculateur!AS44*VLOOKUP('Données projet'!$B$10,Paramètres!$A$1:$I$89,3,0)*0.475*44/12</f>
        <v>14.296779892439663</v>
      </c>
      <c r="AW44" s="21">
        <f>EXP(-LN(2)/2)*AW43+(1-EXP(-LN(2)/2))/(LN(2)/2)*AQ44*AT44*VLOOKUP('Données projet'!$B$10,Paramètres!$A$1:$I$89,3,0)*0.475*44/12</f>
        <v>4.717920246530956</v>
      </c>
      <c r="AX44" s="21">
        <f t="shared" si="6"/>
        <v>42.042296350140667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-2.8421709430404007E-14</v>
      </c>
      <c r="BE44" s="13">
        <f>BD44*VLOOKUP('Données projet'!$B$11,Paramètres!$A$1:$I$89,3,0)*VLOOKUP('Données projet'!$B$11,Paramètres!$A$1:$I$89,5,0)</f>
        <v>-2.3055690689943732E-14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5.8584049049231908</v>
      </c>
      <c r="BJ44" s="59">
        <f t="shared" si="38"/>
        <v>42.266833200216638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7.3268000714972521</v>
      </c>
      <c r="BS44" s="22">
        <f t="shared" si="9"/>
        <v>7.3268000714972521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0</v>
      </c>
      <c r="CE44" s="59">
        <f t="shared" si="40"/>
        <v>0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0</v>
      </c>
      <c r="CZ44" s="59">
        <f t="shared" si="42"/>
        <v>0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>
        <f>EJ44*VLOOKUP('Données projet'!$B$15,Paramètres!$A$1:$I$89,3,0)*VLOOKUP('Données projet'!$B$15,Paramètres!$A$1:$I$89,5,0)</f>
        <v>0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0</v>
      </c>
      <c r="EP44" s="59">
        <f t="shared" si="46"/>
        <v>0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>
        <f>FE44*VLOOKUP('Données projet'!$B$16,Paramètres!$A$1:$I$89,3,0)*VLOOKUP('Données projet'!$B$16,Paramètres!$A$1:$I$89,5,0)</f>
        <v>0</v>
      </c>
      <c r="FG44" s="13" t="e">
        <f t="shared" si="47"/>
        <v>#NUM!</v>
      </c>
      <c r="FH44" s="20" t="e">
        <f t="shared" si="22"/>
        <v>#NUM!</v>
      </c>
      <c r="FI44" s="59" t="e">
        <f t="shared" si="23"/>
        <v>#NUM!</v>
      </c>
      <c r="FJ44" s="59">
        <f ca="1">AVERAGE(OFFSET($FI$3,0,0,'Données projet'!$E$16+1,1))-AVERAGE(OFFSET($H$3,0,0,'Données projet'!$E$16+1,1))</f>
        <v>0</v>
      </c>
      <c r="FK44" s="59">
        <f t="shared" si="48"/>
        <v>0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>
        <f>FZ44*VLOOKUP('Données projet'!$B$17,Paramètres!$A$1:$I$89,3,0)*VLOOKUP('Données projet'!$B$17,Paramètres!$A$1:$I$89,5,0)</f>
        <v>0</v>
      </c>
      <c r="GB44" s="13" t="e">
        <f t="shared" si="49"/>
        <v>#NUM!</v>
      </c>
      <c r="GC44" s="20" t="e">
        <f t="shared" si="25"/>
        <v>#NUM!</v>
      </c>
      <c r="GD44" s="59" t="e">
        <f t="shared" si="26"/>
        <v>#NUM!</v>
      </c>
      <c r="GE44" s="59">
        <f ca="1">AVERAGE(OFFSET($GD$3,0,0,'Données projet'!$E$17+1,1))-AVERAGE(OFFSET($H$3,0,0,'Données projet'!$E$17+1,1))</f>
        <v>0</v>
      </c>
      <c r="GF44" s="59">
        <f t="shared" si="50"/>
        <v>0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9.8333333333333339</v>
      </c>
      <c r="N45" s="13">
        <f>IF('Données projet'!$A$36&gt;35,N44+M45-V44,IF(A45&lt;'Données projet'!$A$36,$K$205^A45,IF(A45='Données projet'!$A$36,'Données projet'!$B$36,N44+M45-V44)))</f>
        <v>253.66666666666671</v>
      </c>
      <c r="O45" s="13">
        <f>N45*VLOOKUP('Données projet'!$B$9,Paramètres!$A$1:$I$89,3,0)*VLOOKUP('Données projet'!$B$9,Paramètres!$A$1:$I$89,5,0)</f>
        <v>151.6926666666667</v>
      </c>
      <c r="P45" s="13">
        <f t="shared" si="33"/>
        <v>38.96299861908853</v>
      </c>
      <c r="Q45" s="20">
        <f t="shared" si="53"/>
        <v>332.05861703935699</v>
      </c>
      <c r="R45" s="59">
        <f t="shared" si="0"/>
        <v>625.3919503726903</v>
      </c>
      <c r="S45" s="59">
        <f ca="1">AVERAGE(OFFSET($R$3,0,0,'Données projet'!$E$9+1,1))-AVERAGE(OFFSET($H$3,0,0,'Données projet'!$E$9+1,1))</f>
        <v>186.90544184210381</v>
      </c>
      <c r="T45" s="59">
        <f t="shared" si="34"/>
        <v>202.05988514450519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22.576039094915817</v>
      </c>
      <c r="AA45" s="21">
        <f>EXP(-LN(2)/25)*AA44+(1-EXP(-LN(2)/25))/(LN(2)/25)*Calculateur!V45*Calculateur!X45*VLOOKUP('Données projet'!$B$9,Paramètres!$A$1:$I$89,3,0)*0.475*44/12</f>
        <v>13.905833694445921</v>
      </c>
      <c r="AB45" s="21">
        <f>EXP(-LN(2)/2)*AB44+(1-EXP(-LN(2)/2))/(LN(2)/2)*V45*Y45*VLOOKUP('Données projet'!$B$9,Paramètres!$A$1:$I$89,3,0)*0.475*44/12</f>
        <v>3.3360733994193472</v>
      </c>
      <c r="AC45" s="22">
        <f t="shared" si="3"/>
        <v>39.817946188781086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9.8333333333333339</v>
      </c>
      <c r="AI45" s="13">
        <f>IF('Données projet'!$A$62&gt;35,AI44+AH45-AQ44,IF(A45&lt;'Données projet'!$A$62,$AF$205^A45,IF(A45='Données projet'!$A$62,'Données projet'!$B$62,AI44+AH45-AQ44)))</f>
        <v>253.66666666666671</v>
      </c>
      <c r="AJ45" s="13">
        <f>AI45*VLOOKUP('Données projet'!$B$10,Paramètres!$A$1:$I$89,3,0)*VLOOKUP('Données projet'!$B$10,Paramètres!$A$1:$I$89,5,0)</f>
        <v>151.6926666666667</v>
      </c>
      <c r="AK45" s="13">
        <f t="shared" si="35"/>
        <v>38.96299861908853</v>
      </c>
      <c r="AL45" s="20">
        <f t="shared" si="4"/>
        <v>332.05861703935699</v>
      </c>
      <c r="AM45" s="59">
        <f t="shared" si="5"/>
        <v>625.3919503726903</v>
      </c>
      <c r="AN45" s="59">
        <f ca="1">AVERAGE(OFFSET($AM$3,0,0,'Données projet'!$E$10+1,1))-AVERAGE(OFFSET($H$3,0,0,'Données projet'!$E$10+1,1))</f>
        <v>186.90544184210381</v>
      </c>
      <c r="AO45" s="59">
        <f t="shared" si="36"/>
        <v>202.05988514450519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22.576039094915817</v>
      </c>
      <c r="AV45" s="21">
        <f>EXP(-LN(2)/25)*AV44+(1-EXP(-LN(2)/25))/(LN(2)/25)*Calculateur!AQ45*Calculateur!AS45*VLOOKUP('Données projet'!$B$10,Paramètres!$A$1:$I$89,3,0)*0.475*44/12</f>
        <v>13.905833694445921</v>
      </c>
      <c r="AW45" s="21">
        <f>EXP(-LN(2)/2)*AW44+(1-EXP(-LN(2)/2))/(LN(2)/2)*AQ45*AT45*VLOOKUP('Données projet'!$B$10,Paramètres!$A$1:$I$89,3,0)*0.475*44/12</f>
        <v>3.3360733994193472</v>
      </c>
      <c r="AX45" s="21">
        <f t="shared" si="6"/>
        <v>39.817946188781086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-2.8421709430404007E-14</v>
      </c>
      <c r="BE45" s="13">
        <f>BD45*VLOOKUP('Données projet'!$B$11,Paramètres!$A$1:$I$89,3,0)*VLOOKUP('Données projet'!$B$11,Paramètres!$A$1:$I$89,5,0)</f>
        <v>-2.3055690689943732E-14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5.8584049049231908</v>
      </c>
      <c r="BJ45" s="59">
        <f t="shared" si="38"/>
        <v>42.266833200216638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5.1808300149537887</v>
      </c>
      <c r="BS45" s="22">
        <f t="shared" si="9"/>
        <v>5.1808300149537887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0</v>
      </c>
      <c r="CE45" s="59">
        <f t="shared" si="40"/>
        <v>0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0</v>
      </c>
      <c r="CZ45" s="59">
        <f t="shared" si="42"/>
        <v>0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>
        <f>EJ45*VLOOKUP('Données projet'!$B$15,Paramètres!$A$1:$I$89,3,0)*VLOOKUP('Données projet'!$B$15,Paramètres!$A$1:$I$89,5,0)</f>
        <v>0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0</v>
      </c>
      <c r="EP45" s="59">
        <f t="shared" si="46"/>
        <v>0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>
        <f>FE45*VLOOKUP('Données projet'!$B$16,Paramètres!$A$1:$I$89,3,0)*VLOOKUP('Données projet'!$B$16,Paramètres!$A$1:$I$89,5,0)</f>
        <v>0</v>
      </c>
      <c r="FG45" s="13" t="e">
        <f t="shared" si="47"/>
        <v>#NUM!</v>
      </c>
      <c r="FH45" s="20" t="e">
        <f t="shared" si="22"/>
        <v>#NUM!</v>
      </c>
      <c r="FI45" s="59" t="e">
        <f t="shared" si="23"/>
        <v>#NUM!</v>
      </c>
      <c r="FJ45" s="59">
        <f ca="1">AVERAGE(OFFSET($FI$3,0,0,'Données projet'!$E$16+1,1))-AVERAGE(OFFSET($H$3,0,0,'Données projet'!$E$16+1,1))</f>
        <v>0</v>
      </c>
      <c r="FK45" s="59">
        <f t="shared" si="48"/>
        <v>0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>
        <f>FZ45*VLOOKUP('Données projet'!$B$17,Paramètres!$A$1:$I$89,3,0)*VLOOKUP('Données projet'!$B$17,Paramètres!$A$1:$I$89,5,0)</f>
        <v>0</v>
      </c>
      <c r="GB45" s="13" t="e">
        <f t="shared" si="49"/>
        <v>#NUM!</v>
      </c>
      <c r="GC45" s="20" t="e">
        <f t="shared" si="25"/>
        <v>#NUM!</v>
      </c>
      <c r="GD45" s="59" t="e">
        <f t="shared" si="26"/>
        <v>#NUM!</v>
      </c>
      <c r="GE45" s="59">
        <f ca="1">AVERAGE(OFFSET($GD$3,0,0,'Données projet'!$E$17+1,1))-AVERAGE(OFFSET($H$3,0,0,'Données projet'!$E$17+1,1))</f>
        <v>0</v>
      </c>
      <c r="GF45" s="59">
        <f t="shared" si="50"/>
        <v>0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9.8333333333333339</v>
      </c>
      <c r="N46" s="13">
        <f>IF('Données projet'!$A$36&gt;35,N45+M46-V45,IF(A46&lt;'Données projet'!$A$36,$K$205^A46,IF(A46='Données projet'!$A$36,'Données projet'!$B$36,N45+M46-V45)))</f>
        <v>263.50000000000006</v>
      </c>
      <c r="O46" s="13">
        <f>N46*VLOOKUP('Données projet'!$B$9,Paramètres!$A$1:$I$89,3,0)*VLOOKUP('Données projet'!$B$9,Paramètres!$A$1:$I$89,5,0)</f>
        <v>157.57300000000006</v>
      </c>
      <c r="P46" s="13">
        <f t="shared" si="33"/>
        <v>40.294612761030372</v>
      </c>
      <c r="Q46" s="20">
        <f t="shared" si="53"/>
        <v>344.61942555879472</v>
      </c>
      <c r="R46" s="59">
        <f t="shared" si="0"/>
        <v>637.95275889212803</v>
      </c>
      <c r="S46" s="59">
        <f ca="1">AVERAGE(OFFSET($R$3,0,0,'Données projet'!$E$9+1,1))-AVERAGE(OFFSET($H$3,0,0,'Données projet'!$E$9+1,1))</f>
        <v>186.90544184210381</v>
      </c>
      <c r="T46" s="59">
        <f t="shared" si="34"/>
        <v>202.05988514450519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22.133336738288691</v>
      </c>
      <c r="AA46" s="21">
        <f>EXP(-LN(2)/25)*AA45+(1-EXP(-LN(2)/25))/(LN(2)/25)*Calculateur!V46*Calculateur!X46*VLOOKUP('Données projet'!$B$9,Paramètres!$A$1:$I$89,3,0)*0.475*44/12</f>
        <v>13.525577940795285</v>
      </c>
      <c r="AB46" s="21">
        <f>EXP(-LN(2)/2)*AB45+(1-EXP(-LN(2)/2))/(LN(2)/2)*V46*Y46*VLOOKUP('Données projet'!$B$9,Paramètres!$A$1:$I$89,3,0)*0.475*44/12</f>
        <v>2.3589601232654784</v>
      </c>
      <c r="AC46" s="22">
        <f t="shared" si="3"/>
        <v>38.017874802349453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9.8333333333333339</v>
      </c>
      <c r="AI46" s="13">
        <f>IF('Données projet'!$A$62&gt;35,AI45+AH46-AQ45,IF(A46&lt;'Données projet'!$A$62,$AF$205^A46,IF(A46='Données projet'!$A$62,'Données projet'!$B$62,AI45+AH46-AQ45)))</f>
        <v>263.50000000000006</v>
      </c>
      <c r="AJ46" s="13">
        <f>AI46*VLOOKUP('Données projet'!$B$10,Paramètres!$A$1:$I$89,3,0)*VLOOKUP('Données projet'!$B$10,Paramètres!$A$1:$I$89,5,0)</f>
        <v>157.57300000000006</v>
      </c>
      <c r="AK46" s="13">
        <f t="shared" si="35"/>
        <v>40.294612761030372</v>
      </c>
      <c r="AL46" s="20">
        <f t="shared" si="4"/>
        <v>344.61942555879472</v>
      </c>
      <c r="AM46" s="59">
        <f t="shared" si="5"/>
        <v>637.95275889212803</v>
      </c>
      <c r="AN46" s="59">
        <f ca="1">AVERAGE(OFFSET($AM$3,0,0,'Données projet'!$E$10+1,1))-AVERAGE(OFFSET($H$3,0,0,'Données projet'!$E$10+1,1))</f>
        <v>186.90544184210381</v>
      </c>
      <c r="AO46" s="59">
        <f t="shared" si="36"/>
        <v>202.05988514450519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22.133336738288691</v>
      </c>
      <c r="AV46" s="21">
        <f>EXP(-LN(2)/25)*AV45+(1-EXP(-LN(2)/25))/(LN(2)/25)*Calculateur!AQ46*Calculateur!AS46*VLOOKUP('Données projet'!$B$10,Paramètres!$A$1:$I$89,3,0)*0.475*44/12</f>
        <v>13.525577940795285</v>
      </c>
      <c r="AW46" s="21">
        <f>EXP(-LN(2)/2)*AW45+(1-EXP(-LN(2)/2))/(LN(2)/2)*AQ46*AT46*VLOOKUP('Données projet'!$B$10,Paramètres!$A$1:$I$89,3,0)*0.475*44/12</f>
        <v>2.3589601232654784</v>
      </c>
      <c r="AX46" s="21">
        <f t="shared" si="6"/>
        <v>38.017874802349453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-2.8421709430404007E-14</v>
      </c>
      <c r="BE46" s="13">
        <f>BD46*VLOOKUP('Données projet'!$B$11,Paramètres!$A$1:$I$89,3,0)*VLOOKUP('Données projet'!$B$11,Paramètres!$A$1:$I$89,5,0)</f>
        <v>-2.3055690689943732E-14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5.8584049049231908</v>
      </c>
      <c r="BJ46" s="59">
        <f t="shared" si="38"/>
        <v>42.266833200216638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3.6634000357486265</v>
      </c>
      <c r="BS46" s="22">
        <f t="shared" si="9"/>
        <v>3.6634000357486265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0</v>
      </c>
      <c r="CE46" s="59">
        <f t="shared" si="40"/>
        <v>0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0</v>
      </c>
      <c r="CZ46" s="59">
        <f t="shared" si="42"/>
        <v>0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>
        <f>EJ46*VLOOKUP('Données projet'!$B$15,Paramètres!$A$1:$I$89,3,0)*VLOOKUP('Données projet'!$B$15,Paramètres!$A$1:$I$89,5,0)</f>
        <v>0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0</v>
      </c>
      <c r="EP46" s="59">
        <f t="shared" si="46"/>
        <v>0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>
        <f>FE46*VLOOKUP('Données projet'!$B$16,Paramètres!$A$1:$I$89,3,0)*VLOOKUP('Données projet'!$B$16,Paramètres!$A$1:$I$89,5,0)</f>
        <v>0</v>
      </c>
      <c r="FG46" s="13" t="e">
        <f t="shared" si="47"/>
        <v>#NUM!</v>
      </c>
      <c r="FH46" s="20" t="e">
        <f t="shared" si="22"/>
        <v>#NUM!</v>
      </c>
      <c r="FI46" s="59" t="e">
        <f t="shared" si="23"/>
        <v>#NUM!</v>
      </c>
      <c r="FJ46" s="59">
        <f ca="1">AVERAGE(OFFSET($FI$3,0,0,'Données projet'!$E$16+1,1))-AVERAGE(OFFSET($H$3,0,0,'Données projet'!$E$16+1,1))</f>
        <v>0</v>
      </c>
      <c r="FK46" s="59">
        <f t="shared" si="48"/>
        <v>0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>
        <f>FZ46*VLOOKUP('Données projet'!$B$17,Paramètres!$A$1:$I$89,3,0)*VLOOKUP('Données projet'!$B$17,Paramètres!$A$1:$I$89,5,0)</f>
        <v>0</v>
      </c>
      <c r="GB46" s="13" t="e">
        <f t="shared" si="49"/>
        <v>#NUM!</v>
      </c>
      <c r="GC46" s="20" t="e">
        <f t="shared" si="25"/>
        <v>#NUM!</v>
      </c>
      <c r="GD46" s="59" t="e">
        <f t="shared" si="26"/>
        <v>#NUM!</v>
      </c>
      <c r="GE46" s="59">
        <f ca="1">AVERAGE(OFFSET($GD$3,0,0,'Données projet'!$E$17+1,1))-AVERAGE(OFFSET($H$3,0,0,'Données projet'!$E$17+1,1))</f>
        <v>0</v>
      </c>
      <c r="GF46" s="59">
        <f t="shared" si="50"/>
        <v>0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9.8333333333333339</v>
      </c>
      <c r="N47" s="13">
        <f>IF('Données projet'!$A$36&gt;35,N46+M47-V46,IF(A47&lt;'Données projet'!$A$36,$K$205^A47,IF(A47='Données projet'!$A$36,'Données projet'!$B$36,N46+M47-V46)))</f>
        <v>273.33333333333337</v>
      </c>
      <c r="O47" s="13">
        <f>N47*VLOOKUP('Données projet'!$B$9,Paramètres!$A$1:$I$89,3,0)*VLOOKUP('Données projet'!$B$9,Paramètres!$A$1:$I$89,5,0)</f>
        <v>163.45333333333338</v>
      </c>
      <c r="P47" s="13">
        <f t="shared" si="33"/>
        <v>41.620453722976563</v>
      </c>
      <c r="Q47" s="20">
        <f t="shared" si="53"/>
        <v>357.17017912307307</v>
      </c>
      <c r="R47" s="59">
        <f t="shared" si="0"/>
        <v>650.50351245640638</v>
      </c>
      <c r="S47" s="59">
        <f ca="1">AVERAGE(OFFSET($R$3,0,0,'Données projet'!$E$9+1,1))-AVERAGE(OFFSET($H$3,0,0,'Données projet'!$E$9+1,1))</f>
        <v>186.90544184210381</v>
      </c>
      <c r="T47" s="59">
        <f t="shared" si="34"/>
        <v>202.05988514450519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21.699315504853246</v>
      </c>
      <c r="AA47" s="21">
        <f>EXP(-LN(2)/25)*AA46+(1-EXP(-LN(2)/25))/(LN(2)/25)*Calculateur!V47*Calculateur!X47*VLOOKUP('Données projet'!$B$9,Paramètres!$A$1:$I$89,3,0)*0.475*44/12</f>
        <v>13.155720300725008</v>
      </c>
      <c r="AB47" s="21">
        <f>EXP(-LN(2)/2)*AB46+(1-EXP(-LN(2)/2))/(LN(2)/2)*V47*Y47*VLOOKUP('Données projet'!$B$9,Paramètres!$A$1:$I$89,3,0)*0.475*44/12</f>
        <v>1.6680366997096741</v>
      </c>
      <c r="AC47" s="22">
        <f t="shared" si="3"/>
        <v>36.523072505287928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9.8333333333333339</v>
      </c>
      <c r="AI47" s="13">
        <f>IF('Données projet'!$A$62&gt;35,AI46+AH47-AQ46,IF(A47&lt;'Données projet'!$A$62,$AF$205^A47,IF(A47='Données projet'!$A$62,'Données projet'!$B$62,AI46+AH47-AQ46)))</f>
        <v>273.33333333333337</v>
      </c>
      <c r="AJ47" s="13">
        <f>AI47*VLOOKUP('Données projet'!$B$10,Paramètres!$A$1:$I$89,3,0)*VLOOKUP('Données projet'!$B$10,Paramètres!$A$1:$I$89,5,0)</f>
        <v>163.45333333333338</v>
      </c>
      <c r="AK47" s="13">
        <f t="shared" si="35"/>
        <v>41.620453722976563</v>
      </c>
      <c r="AL47" s="20">
        <f t="shared" si="4"/>
        <v>357.17017912307307</v>
      </c>
      <c r="AM47" s="59">
        <f t="shared" si="5"/>
        <v>650.50351245640638</v>
      </c>
      <c r="AN47" s="59">
        <f ca="1">AVERAGE(OFFSET($AM$3,0,0,'Données projet'!$E$10+1,1))-AVERAGE(OFFSET($H$3,0,0,'Données projet'!$E$10+1,1))</f>
        <v>186.90544184210381</v>
      </c>
      <c r="AO47" s="59">
        <f t="shared" si="36"/>
        <v>202.05988514450519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21.699315504853246</v>
      </c>
      <c r="AV47" s="21">
        <f>EXP(-LN(2)/25)*AV46+(1-EXP(-LN(2)/25))/(LN(2)/25)*Calculateur!AQ47*Calculateur!AS47*VLOOKUP('Données projet'!$B$10,Paramètres!$A$1:$I$89,3,0)*0.475*44/12</f>
        <v>13.155720300725008</v>
      </c>
      <c r="AW47" s="21">
        <f>EXP(-LN(2)/2)*AW46+(1-EXP(-LN(2)/2))/(LN(2)/2)*AQ47*AT47*VLOOKUP('Données projet'!$B$10,Paramètres!$A$1:$I$89,3,0)*0.475*44/12</f>
        <v>1.6680366997096741</v>
      </c>
      <c r="AX47" s="21">
        <f t="shared" si="6"/>
        <v>36.523072505287928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-2.8421709430404007E-14</v>
      </c>
      <c r="BE47" s="13">
        <f>BD47*VLOOKUP('Données projet'!$B$11,Paramètres!$A$1:$I$89,3,0)*VLOOKUP('Données projet'!$B$11,Paramètres!$A$1:$I$89,5,0)</f>
        <v>-2.3055690689943732E-14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5.8584049049231908</v>
      </c>
      <c r="BJ47" s="59">
        <f t="shared" si="38"/>
        <v>42.266833200216638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2.5904150074768948</v>
      </c>
      <c r="BS47" s="22">
        <f t="shared" si="9"/>
        <v>2.5904150074768948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0</v>
      </c>
      <c r="CE47" s="59">
        <f t="shared" si="40"/>
        <v>0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0</v>
      </c>
      <c r="CZ47" s="59">
        <f t="shared" si="42"/>
        <v>0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>
        <f>EJ47*VLOOKUP('Données projet'!$B$15,Paramètres!$A$1:$I$89,3,0)*VLOOKUP('Données projet'!$B$15,Paramètres!$A$1:$I$89,5,0)</f>
        <v>0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0</v>
      </c>
      <c r="EP47" s="59">
        <f t="shared" si="46"/>
        <v>0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>
        <f>FE47*VLOOKUP('Données projet'!$B$16,Paramètres!$A$1:$I$89,3,0)*VLOOKUP('Données projet'!$B$16,Paramètres!$A$1:$I$89,5,0)</f>
        <v>0</v>
      </c>
      <c r="FG47" s="13" t="e">
        <f t="shared" si="47"/>
        <v>#NUM!</v>
      </c>
      <c r="FH47" s="20" t="e">
        <f t="shared" si="22"/>
        <v>#NUM!</v>
      </c>
      <c r="FI47" s="59" t="e">
        <f t="shared" si="23"/>
        <v>#NUM!</v>
      </c>
      <c r="FJ47" s="59">
        <f ca="1">AVERAGE(OFFSET($FI$3,0,0,'Données projet'!$E$16+1,1))-AVERAGE(OFFSET($H$3,0,0,'Données projet'!$E$16+1,1))</f>
        <v>0</v>
      </c>
      <c r="FK47" s="59">
        <f t="shared" si="48"/>
        <v>0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>
        <f>FZ47*VLOOKUP('Données projet'!$B$17,Paramètres!$A$1:$I$89,3,0)*VLOOKUP('Données projet'!$B$17,Paramètres!$A$1:$I$89,5,0)</f>
        <v>0</v>
      </c>
      <c r="GB47" s="13" t="e">
        <f t="shared" si="49"/>
        <v>#NUM!</v>
      </c>
      <c r="GC47" s="20" t="e">
        <f t="shared" si="25"/>
        <v>#NUM!</v>
      </c>
      <c r="GD47" s="59" t="e">
        <f t="shared" si="26"/>
        <v>#NUM!</v>
      </c>
      <c r="GE47" s="59">
        <f ca="1">AVERAGE(OFFSET($GD$3,0,0,'Données projet'!$E$17+1,1))-AVERAGE(OFFSET($H$3,0,0,'Données projet'!$E$17+1,1))</f>
        <v>0</v>
      </c>
      <c r="GF47" s="59">
        <f t="shared" si="50"/>
        <v>0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9.8333333333333339</v>
      </c>
      <c r="N48" s="13">
        <f>IF('Données projet'!$A$36&gt;35,N47+M48-V47,IF(A48&lt;'Données projet'!$A$36,$K$205^A48,IF(A48='Données projet'!$A$36,'Données projet'!$B$36,N47+M48-V47)))</f>
        <v>283.16666666666669</v>
      </c>
      <c r="O48" s="13">
        <f>N48*VLOOKUP('Données projet'!$B$9,Paramètres!$A$1:$I$89,3,0)*VLOOKUP('Données projet'!$B$9,Paramètres!$A$1:$I$89,5,0)</f>
        <v>169.33366666666672</v>
      </c>
      <c r="P48" s="13">
        <f t="shared" si="33"/>
        <v>42.940752990888512</v>
      </c>
      <c r="Q48" s="20">
        <f t="shared" si="53"/>
        <v>369.7112809035753</v>
      </c>
      <c r="R48" s="59">
        <f t="shared" si="0"/>
        <v>663.04461423690861</v>
      </c>
      <c r="S48" s="59">
        <f ca="1">AVERAGE(OFFSET($R$3,0,0,'Données projet'!$E$9+1,1))-AVERAGE(OFFSET($H$3,0,0,'Données projet'!$E$9+1,1))</f>
        <v>186.90544184210381</v>
      </c>
      <c r="T48" s="59">
        <f t="shared" si="34"/>
        <v>202.05988514450519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21.273805163078656</v>
      </c>
      <c r="AA48" s="21">
        <f>EXP(-LN(2)/25)*AA47+(1-EXP(-LN(2)/25))/(LN(2)/25)*Calculateur!V48*Calculateur!X48*VLOOKUP('Données projet'!$B$9,Paramètres!$A$1:$I$89,3,0)*0.475*44/12</f>
        <v>12.795976437272421</v>
      </c>
      <c r="AB48" s="21">
        <f>EXP(-LN(2)/2)*AB47+(1-EXP(-LN(2)/2))/(LN(2)/2)*V48*Y48*VLOOKUP('Données projet'!$B$9,Paramètres!$A$1:$I$89,3,0)*0.475*44/12</f>
        <v>1.1794800616327394</v>
      </c>
      <c r="AC48" s="22">
        <f t="shared" si="3"/>
        <v>35.249261661983816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9.8333333333333339</v>
      </c>
      <c r="AI48" s="13">
        <f>IF('Données projet'!$A$62&gt;35,AI47+AH48-AQ47,IF(A48&lt;'Données projet'!$A$62,$AF$205^A48,IF(A48='Données projet'!$A$62,'Données projet'!$B$62,AI47+AH48-AQ47)))</f>
        <v>283.16666666666669</v>
      </c>
      <c r="AJ48" s="13">
        <f>AI48*VLOOKUP('Données projet'!$B$10,Paramètres!$A$1:$I$89,3,0)*VLOOKUP('Données projet'!$B$10,Paramètres!$A$1:$I$89,5,0)</f>
        <v>169.33366666666672</v>
      </c>
      <c r="AK48" s="13">
        <f t="shared" si="35"/>
        <v>42.940752990888512</v>
      </c>
      <c r="AL48" s="20">
        <f t="shared" si="4"/>
        <v>369.7112809035753</v>
      </c>
      <c r="AM48" s="59">
        <f t="shared" si="5"/>
        <v>663.04461423690861</v>
      </c>
      <c r="AN48" s="59">
        <f ca="1">AVERAGE(OFFSET($AM$3,0,0,'Données projet'!$E$10+1,1))-AVERAGE(OFFSET($H$3,0,0,'Données projet'!$E$10+1,1))</f>
        <v>186.90544184210381</v>
      </c>
      <c r="AO48" s="59">
        <f t="shared" si="36"/>
        <v>202.05988514450519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21.273805163078656</v>
      </c>
      <c r="AV48" s="21">
        <f>EXP(-LN(2)/25)*AV47+(1-EXP(-LN(2)/25))/(LN(2)/25)*Calculateur!AQ48*Calculateur!AS48*VLOOKUP('Données projet'!$B$10,Paramètres!$A$1:$I$89,3,0)*0.475*44/12</f>
        <v>12.795976437272421</v>
      </c>
      <c r="AW48" s="21">
        <f>EXP(-LN(2)/2)*AW47+(1-EXP(-LN(2)/2))/(LN(2)/2)*AQ48*AT48*VLOOKUP('Données projet'!$B$10,Paramètres!$A$1:$I$89,3,0)*0.475*44/12</f>
        <v>1.1794800616327394</v>
      </c>
      <c r="AX48" s="21">
        <f t="shared" si="6"/>
        <v>35.249261661983816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-2.8421709430404007E-14</v>
      </c>
      <c r="BE48" s="13">
        <f>BD48*VLOOKUP('Données projet'!$B$11,Paramètres!$A$1:$I$89,3,0)*VLOOKUP('Données projet'!$B$11,Paramètres!$A$1:$I$89,5,0)</f>
        <v>-2.3055690689943732E-14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5.8584049049231908</v>
      </c>
      <c r="BJ48" s="59">
        <f t="shared" si="38"/>
        <v>42.266833200216638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1.8317000178743137</v>
      </c>
      <c r="BS48" s="22">
        <f t="shared" si="9"/>
        <v>1.8317000178743137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0</v>
      </c>
      <c r="CE48" s="59">
        <f t="shared" si="40"/>
        <v>0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0</v>
      </c>
      <c r="CZ48" s="59">
        <f t="shared" si="42"/>
        <v>0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>
        <f>EJ48*VLOOKUP('Données projet'!$B$15,Paramètres!$A$1:$I$89,3,0)*VLOOKUP('Données projet'!$B$15,Paramètres!$A$1:$I$89,5,0)</f>
        <v>0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0</v>
      </c>
      <c r="EP48" s="59">
        <f t="shared" si="46"/>
        <v>0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>
        <f>FE48*VLOOKUP('Données projet'!$B$16,Paramètres!$A$1:$I$89,3,0)*VLOOKUP('Données projet'!$B$16,Paramètres!$A$1:$I$89,5,0)</f>
        <v>0</v>
      </c>
      <c r="FG48" s="13" t="e">
        <f t="shared" si="47"/>
        <v>#NUM!</v>
      </c>
      <c r="FH48" s="20" t="e">
        <f t="shared" si="22"/>
        <v>#NUM!</v>
      </c>
      <c r="FI48" s="59" t="e">
        <f t="shared" si="23"/>
        <v>#NUM!</v>
      </c>
      <c r="FJ48" s="59">
        <f ca="1">AVERAGE(OFFSET($FI$3,0,0,'Données projet'!$E$16+1,1))-AVERAGE(OFFSET($H$3,0,0,'Données projet'!$E$16+1,1))</f>
        <v>0</v>
      </c>
      <c r="FK48" s="59">
        <f t="shared" si="48"/>
        <v>0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>
        <f>FZ48*VLOOKUP('Données projet'!$B$17,Paramètres!$A$1:$I$89,3,0)*VLOOKUP('Données projet'!$B$17,Paramètres!$A$1:$I$89,5,0)</f>
        <v>0</v>
      </c>
      <c r="GB48" s="13" t="e">
        <f t="shared" si="49"/>
        <v>#NUM!</v>
      </c>
      <c r="GC48" s="20" t="e">
        <f t="shared" si="25"/>
        <v>#NUM!</v>
      </c>
      <c r="GD48" s="59" t="e">
        <f t="shared" si="26"/>
        <v>#NUM!</v>
      </c>
      <c r="GE48" s="59">
        <f ca="1">AVERAGE(OFFSET($GD$3,0,0,'Données projet'!$E$17+1,1))-AVERAGE(OFFSET($H$3,0,0,'Données projet'!$E$17+1,1))</f>
        <v>0</v>
      </c>
      <c r="GF48" s="59">
        <f t="shared" si="50"/>
        <v>0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293</v>
      </c>
      <c r="L49" s="12">
        <f>VLOOKUP(A49,'Données projet'!$A$35:$I$55,9,0)</f>
        <v>9.8333333333333339</v>
      </c>
      <c r="M49" s="12">
        <f t="array" ref="M49">INDEX(L:L,MIN(IF(ISNUMBER(L49:L245),ROW(L49:L245),"")))</f>
        <v>9.8333333333333339</v>
      </c>
      <c r="N49" s="13">
        <f>IF('Données projet'!$A$36&gt;35,N48+M49-V48,IF(A49&lt;'Données projet'!$A$36,$K$205^A49,IF(A49='Données projet'!$A$36,'Données projet'!$B$36,N48+M49-V48)))</f>
        <v>293</v>
      </c>
      <c r="O49" s="13">
        <f>N49*VLOOKUP('Données projet'!$B$9,Paramètres!$A$1:$I$89,3,0)*VLOOKUP('Données projet'!$B$9,Paramètres!$A$1:$I$89,5,0)</f>
        <v>175.214</v>
      </c>
      <c r="P49" s="13">
        <f t="shared" si="33"/>
        <v>44.255725061661991</v>
      </c>
      <c r="Q49" s="20">
        <f t="shared" si="53"/>
        <v>382.24310448239459</v>
      </c>
      <c r="R49" s="59">
        <f t="shared" si="0"/>
        <v>675.5764378157279</v>
      </c>
      <c r="S49" s="59">
        <f ca="1">AVERAGE(OFFSET($R$3,0,0,'Données projet'!$E$9+1,1))-AVERAGE(OFFSET($H$3,0,0,'Données projet'!$E$9+1,1))</f>
        <v>186.90544184210381</v>
      </c>
      <c r="T49" s="59">
        <f t="shared" si="34"/>
        <v>202.05988514450519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6.7500000000000004E-2</v>
      </c>
      <c r="Y49" s="16">
        <f>IF(ISNA(VLOOKUP(A49,'Données projet'!$A$35:$I$55,7,0)),0%,VLOOKUP(A49,'Données projet'!$A$35:$I$55,7,0))</f>
        <v>0.15</v>
      </c>
      <c r="Z49" s="21">
        <f>EXP(-LN(2)/35)*Z48+(1-EXP(-LN(2)/35))/(LN(2)/35)*V49*W49*VLOOKUP('Données projet'!$B$9,Paramètres!$A$1:$I$89,3,0)*0.475*44/12</f>
        <v>28.103302267233822</v>
      </c>
      <c r="AA49" s="21">
        <f>EXP(-LN(2)/25)*AA48+(1-EXP(-LN(2)/25))/(LN(2)/25)*Calculateur!V49*Calculateur!X49*VLOOKUP('Données projet'!$B$9,Paramètres!$A$1:$I$89,3,0)*0.475*44/12</f>
        <v>13.99281205421431</v>
      </c>
      <c r="AB49" s="21">
        <f>EXP(-LN(2)/2)*AB48+(1-EXP(-LN(2)/2))/(LN(2)/2)*V49*Y49*VLOOKUP('Données projet'!$B$9,Paramètres!$A$1:$I$89,3,0)*0.475*44/12</f>
        <v>3.7792942254104323</v>
      </c>
      <c r="AC49" s="22">
        <f t="shared" si="3"/>
        <v>45.875408546858566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293</v>
      </c>
      <c r="AG49" s="12">
        <f>VLOOKUP(A49,'Données projet'!$A$61:$I$81,9,0)</f>
        <v>9.8333333333333339</v>
      </c>
      <c r="AH49" s="12">
        <f t="array" ref="AH49">INDEX(AG:AG,MIN(IF(ISNUMBER(AG49:AG245),ROW(AG49:AG245),"")))</f>
        <v>9.8333333333333339</v>
      </c>
      <c r="AI49" s="13">
        <f>IF('Données projet'!$A$62&gt;35,AI48+AH49-AQ48,IF(A49&lt;'Données projet'!$A$62,$AF$205^A49,IF(A49='Données projet'!$A$62,'Données projet'!$B$62,AI48+AH49-AQ48)))</f>
        <v>293</v>
      </c>
      <c r="AJ49" s="13">
        <f>AI49*VLOOKUP('Données projet'!$B$10,Paramètres!$A$1:$I$89,3,0)*VLOOKUP('Données projet'!$B$10,Paramètres!$A$1:$I$89,5,0)</f>
        <v>175.214</v>
      </c>
      <c r="AK49" s="13">
        <f t="shared" si="35"/>
        <v>44.255725061661991</v>
      </c>
      <c r="AL49" s="20">
        <f t="shared" si="4"/>
        <v>382.24310448239459</v>
      </c>
      <c r="AM49" s="59">
        <f t="shared" si="5"/>
        <v>675.5764378157279</v>
      </c>
      <c r="AN49" s="59">
        <f ca="1">AVERAGE(OFFSET($AM$3,0,0,'Données projet'!$E$10+1,1))-AVERAGE(OFFSET($H$3,0,0,'Données projet'!$E$10+1,1))</f>
        <v>186.90544184210381</v>
      </c>
      <c r="AO49" s="59">
        <f t="shared" si="36"/>
        <v>202.05988514450519</v>
      </c>
      <c r="AP49" s="15">
        <f>IF(ISNA(VLOOKUP(A49,'Données projet'!$A$61:$I$81,3,0)),0,VLOOKUP(A49,'Données projet'!$A$61:$I$81,3,0))</f>
        <v>7</v>
      </c>
      <c r="AQ49" s="15">
        <f>IF(ISNA(VLOOKUP(A49,'Données projet'!$A$61:$I$81,4,0)),0,VLOOKUP(A49,'Données projet'!$A$61:$I$81,4,0))</f>
        <v>29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6.7500000000000004E-2</v>
      </c>
      <c r="AT49" s="16">
        <f>IF(ISNA(VLOOKUP(A49,'Données projet'!$A$61:$I$81,7,0)),0%,VLOOKUP(A49,'Données projet'!$A$61:$I$81,7,0))</f>
        <v>0.15</v>
      </c>
      <c r="AU49" s="21">
        <f>EXP(-LN(2)/35)*AU48+(1-EXP(-LN(2)/35))/(LN(2)/35)*AQ49*AR49*VLOOKUP('Données projet'!$B$10,Paramètres!$A$1:$I$89,3,0)*0.475*44/12</f>
        <v>28.103302267233822</v>
      </c>
      <c r="AV49" s="21">
        <f>EXP(-LN(2)/25)*AV48+(1-EXP(-LN(2)/25))/(LN(2)/25)*Calculateur!AQ49*Calculateur!AS49*VLOOKUP('Données projet'!$B$10,Paramètres!$A$1:$I$89,3,0)*0.475*44/12</f>
        <v>13.99281205421431</v>
      </c>
      <c r="AW49" s="21">
        <f>EXP(-LN(2)/2)*AW48+(1-EXP(-LN(2)/2))/(LN(2)/2)*AQ49*AT49*VLOOKUP('Données projet'!$B$10,Paramètres!$A$1:$I$89,3,0)*0.475*44/12</f>
        <v>3.7792942254104323</v>
      </c>
      <c r="AX49" s="21">
        <f t="shared" si="6"/>
        <v>45.875408546858566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-2.8421709430404007E-14</v>
      </c>
      <c r="BE49" s="13">
        <f>BD49*VLOOKUP('Données projet'!$B$11,Paramètres!$A$1:$I$89,3,0)*VLOOKUP('Données projet'!$B$11,Paramètres!$A$1:$I$89,5,0)</f>
        <v>-2.3055690689943732E-14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5.8584049049231908</v>
      </c>
      <c r="BJ49" s="59">
        <f t="shared" si="38"/>
        <v>42.266833200216638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1.2952075037384476</v>
      </c>
      <c r="BS49" s="22">
        <f t="shared" si="9"/>
        <v>1.2952075037384476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0</v>
      </c>
      <c r="CE49" s="59">
        <f t="shared" si="40"/>
        <v>0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0</v>
      </c>
      <c r="CZ49" s="59">
        <f t="shared" si="42"/>
        <v>0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0</v>
      </c>
      <c r="EP49" s="59">
        <f t="shared" si="46"/>
        <v>0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>
        <f>FE49*VLOOKUP('Données projet'!$B$16,Paramètres!$A$1:$I$89,3,0)*VLOOKUP('Données projet'!$B$16,Paramètres!$A$1:$I$89,5,0)</f>
        <v>0</v>
      </c>
      <c r="FG49" s="13" t="e">
        <f t="shared" si="47"/>
        <v>#NUM!</v>
      </c>
      <c r="FH49" s="20" t="e">
        <f t="shared" si="22"/>
        <v>#NUM!</v>
      </c>
      <c r="FI49" s="59" t="e">
        <f t="shared" si="23"/>
        <v>#NUM!</v>
      </c>
      <c r="FJ49" s="59">
        <f ca="1">AVERAGE(OFFSET($FI$3,0,0,'Données projet'!$E$16+1,1))-AVERAGE(OFFSET($H$3,0,0,'Données projet'!$E$16+1,1))</f>
        <v>0</v>
      </c>
      <c r="FK49" s="59">
        <f t="shared" si="48"/>
        <v>0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>
        <f>FZ49*VLOOKUP('Données projet'!$B$17,Paramètres!$A$1:$I$89,3,0)*VLOOKUP('Données projet'!$B$17,Paramètres!$A$1:$I$89,5,0)</f>
        <v>0</v>
      </c>
      <c r="GB49" s="13" t="e">
        <f t="shared" si="49"/>
        <v>#NUM!</v>
      </c>
      <c r="GC49" s="20" t="e">
        <f t="shared" si="25"/>
        <v>#NUM!</v>
      </c>
      <c r="GD49" s="59" t="e">
        <f t="shared" si="26"/>
        <v>#NUM!</v>
      </c>
      <c r="GE49" s="59">
        <f ca="1">AVERAGE(OFFSET($GD$3,0,0,'Données projet'!$E$17+1,1))-AVERAGE(OFFSET($H$3,0,0,'Données projet'!$E$17+1,1))</f>
        <v>0</v>
      </c>
      <c r="GF49" s="59">
        <f t="shared" si="50"/>
        <v>0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5.875</v>
      </c>
      <c r="N50" s="13">
        <f>IF('Données projet'!$A$36&gt;35,N49+M50-V49,IF(A50&lt;'Données projet'!$A$36,$K$205^A50,IF(A50='Données projet'!$A$36,'Données projet'!$B$36,N49+M50-V49)))</f>
        <v>269.875</v>
      </c>
      <c r="O50" s="13">
        <f>N50*VLOOKUP('Données projet'!$B$9,Paramètres!$A$1:$I$89,3,0)*VLOOKUP('Données projet'!$B$9,Paramètres!$A$1:$I$89,5,0)</f>
        <v>161.38525000000001</v>
      </c>
      <c r="P50" s="13">
        <f t="shared" si="33"/>
        <v>41.154805478559268</v>
      </c>
      <c r="Q50" s="20">
        <f t="shared" si="53"/>
        <v>352.75726329182407</v>
      </c>
      <c r="R50" s="59">
        <f t="shared" si="0"/>
        <v>646.09059662515733</v>
      </c>
      <c r="S50" s="59">
        <f ca="1">AVERAGE(OFFSET($R$3,0,0,'Données projet'!$E$9+1,1))-AVERAGE(OFFSET($H$3,0,0,'Données projet'!$E$9+1,1))</f>
        <v>186.90544184210381</v>
      </c>
      <c r="T50" s="59">
        <f t="shared" si="34"/>
        <v>202.05988514450519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27.552213651095183</v>
      </c>
      <c r="AA50" s="21">
        <f>EXP(-LN(2)/25)*AA49+(1-EXP(-LN(2)/25))/(LN(2)/25)*Calculateur!V50*Calculateur!X50*VLOOKUP('Données projet'!$B$9,Paramètres!$A$1:$I$89,3,0)*0.475*44/12</f>
        <v>13.610177872741815</v>
      </c>
      <c r="AB50" s="21">
        <f>EXP(-LN(2)/2)*AB49+(1-EXP(-LN(2)/2))/(LN(2)/2)*V50*Y50*VLOOKUP('Données projet'!$B$9,Paramètres!$A$1:$I$89,3,0)*0.475*44/12</f>
        <v>2.6723645748868772</v>
      </c>
      <c r="AC50" s="22">
        <f t="shared" si="3"/>
        <v>43.834756098723879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5.875</v>
      </c>
      <c r="AI50" s="13">
        <f>IF('Données projet'!$A$62&gt;35,AI49+AH50-AQ49,IF(A50&lt;'Données projet'!$A$62,$AF$205^A50,IF(A50='Données projet'!$A$62,'Données projet'!$B$62,AI49+AH50-AQ49)))</f>
        <v>269.875</v>
      </c>
      <c r="AJ50" s="13">
        <f>AI50*VLOOKUP('Données projet'!$B$10,Paramètres!$A$1:$I$89,3,0)*VLOOKUP('Données projet'!$B$10,Paramètres!$A$1:$I$89,5,0)</f>
        <v>161.38525000000001</v>
      </c>
      <c r="AK50" s="13">
        <f t="shared" si="35"/>
        <v>41.154805478559268</v>
      </c>
      <c r="AL50" s="20">
        <f t="shared" si="4"/>
        <v>352.75726329182407</v>
      </c>
      <c r="AM50" s="59">
        <f t="shared" si="5"/>
        <v>646.09059662515733</v>
      </c>
      <c r="AN50" s="59">
        <f ca="1">AVERAGE(OFFSET($AM$3,0,0,'Données projet'!$E$10+1,1))-AVERAGE(OFFSET($H$3,0,0,'Données projet'!$E$10+1,1))</f>
        <v>186.90544184210381</v>
      </c>
      <c r="AO50" s="59">
        <f t="shared" si="36"/>
        <v>202.05988514450519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27.552213651095183</v>
      </c>
      <c r="AV50" s="21">
        <f>EXP(-LN(2)/25)*AV49+(1-EXP(-LN(2)/25))/(LN(2)/25)*Calculateur!AQ50*Calculateur!AS50*VLOOKUP('Données projet'!$B$10,Paramètres!$A$1:$I$89,3,0)*0.475*44/12</f>
        <v>13.610177872741815</v>
      </c>
      <c r="AW50" s="21">
        <f>EXP(-LN(2)/2)*AW49+(1-EXP(-LN(2)/2))/(LN(2)/2)*AQ50*AT50*VLOOKUP('Données projet'!$B$10,Paramètres!$A$1:$I$89,3,0)*0.475*44/12</f>
        <v>2.6723645748868772</v>
      </c>
      <c r="AX50" s="21">
        <f t="shared" si="6"/>
        <v>43.834756098723879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-2.8421709430404007E-14</v>
      </c>
      <c r="BE50" s="13">
        <f>BD50*VLOOKUP('Données projet'!$B$11,Paramètres!$A$1:$I$89,3,0)*VLOOKUP('Données projet'!$B$11,Paramètres!$A$1:$I$89,5,0)</f>
        <v>-2.3055690689943732E-14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5.8584049049231908</v>
      </c>
      <c r="BJ50" s="59">
        <f t="shared" si="38"/>
        <v>42.266833200216638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0.91585000893715696</v>
      </c>
      <c r="BS50" s="22">
        <f t="shared" si="9"/>
        <v>0.91585000893715696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0</v>
      </c>
      <c r="CE50" s="59">
        <f t="shared" si="40"/>
        <v>0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0</v>
      </c>
      <c r="CZ50" s="59">
        <f t="shared" si="42"/>
        <v>0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0</v>
      </c>
      <c r="EP50" s="59">
        <f t="shared" si="46"/>
        <v>0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>
        <f>FE50*VLOOKUP('Données projet'!$B$16,Paramètres!$A$1:$I$89,3,0)*VLOOKUP('Données projet'!$B$16,Paramètres!$A$1:$I$89,5,0)</f>
        <v>0</v>
      </c>
      <c r="FG50" s="13" t="e">
        <f t="shared" si="47"/>
        <v>#NUM!</v>
      </c>
      <c r="FH50" s="20" t="e">
        <f t="shared" si="22"/>
        <v>#NUM!</v>
      </c>
      <c r="FI50" s="59" t="e">
        <f t="shared" si="23"/>
        <v>#NUM!</v>
      </c>
      <c r="FJ50" s="59">
        <f ca="1">AVERAGE(OFFSET($FI$3,0,0,'Données projet'!$E$16+1,1))-AVERAGE(OFFSET($H$3,0,0,'Données projet'!$E$16+1,1))</f>
        <v>0</v>
      </c>
      <c r="FK50" s="59">
        <f t="shared" si="48"/>
        <v>0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>
        <f>FZ50*VLOOKUP('Données projet'!$B$17,Paramètres!$A$1:$I$89,3,0)*VLOOKUP('Données projet'!$B$17,Paramètres!$A$1:$I$89,5,0)</f>
        <v>0</v>
      </c>
      <c r="GB50" s="13" t="e">
        <f t="shared" si="49"/>
        <v>#NUM!</v>
      </c>
      <c r="GC50" s="20" t="e">
        <f t="shared" si="25"/>
        <v>#NUM!</v>
      </c>
      <c r="GD50" s="59" t="e">
        <f t="shared" si="26"/>
        <v>#NUM!</v>
      </c>
      <c r="GE50" s="59">
        <f ca="1">AVERAGE(OFFSET($GD$3,0,0,'Données projet'!$E$17+1,1))-AVERAGE(OFFSET($H$3,0,0,'Données projet'!$E$17+1,1))</f>
        <v>0</v>
      </c>
      <c r="GF50" s="59">
        <f t="shared" si="50"/>
        <v>0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5.875</v>
      </c>
      <c r="N51" s="13">
        <f>IF('Données projet'!$A$36&gt;35,N50+M51-V50,IF(A51&lt;'Données projet'!$A$36,$K$205^A51,IF(A51='Données projet'!$A$36,'Données projet'!$B$36,N50+M51-V50)))</f>
        <v>275.75</v>
      </c>
      <c r="O51" s="13">
        <f>N51*VLOOKUP('Données projet'!$B$9,Paramètres!$A$1:$I$89,3,0)*VLOOKUP('Données projet'!$B$9,Paramètres!$A$1:$I$89,5,0)</f>
        <v>164.89850000000001</v>
      </c>
      <c r="P51" s="13">
        <f t="shared" si="33"/>
        <v>41.94543913753872</v>
      </c>
      <c r="Q51" s="20">
        <f t="shared" si="53"/>
        <v>360.25319399788003</v>
      </c>
      <c r="R51" s="59">
        <f t="shared" si="0"/>
        <v>653.58652733121335</v>
      </c>
      <c r="S51" s="59">
        <f ca="1">AVERAGE(OFFSET($R$3,0,0,'Données projet'!$E$9+1,1))-AVERAGE(OFFSET($H$3,0,0,'Données projet'!$E$9+1,1))</f>
        <v>186.90544184210381</v>
      </c>
      <c r="T51" s="59">
        <f t="shared" si="34"/>
        <v>202.05988514450519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27.011931546588158</v>
      </c>
      <c r="AA51" s="21">
        <f>EXP(-LN(2)/25)*AA50+(1-EXP(-LN(2)/25))/(LN(2)/25)*Calculateur!V51*Calculateur!X51*VLOOKUP('Données projet'!$B$9,Paramètres!$A$1:$I$89,3,0)*0.475*44/12</f>
        <v>13.238006843083543</v>
      </c>
      <c r="AB51" s="21">
        <f>EXP(-LN(2)/2)*AB50+(1-EXP(-LN(2)/2))/(LN(2)/2)*V51*Y51*VLOOKUP('Données projet'!$B$9,Paramètres!$A$1:$I$89,3,0)*0.475*44/12</f>
        <v>1.8896471127052163</v>
      </c>
      <c r="AC51" s="22">
        <f t="shared" si="3"/>
        <v>42.139585502376917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5.875</v>
      </c>
      <c r="AI51" s="13">
        <f>IF('Données projet'!$A$62&gt;35,AI50+AH51-AQ50,IF(A51&lt;'Données projet'!$A$62,$AF$205^A51,IF(A51='Données projet'!$A$62,'Données projet'!$B$62,AI50+AH51-AQ50)))</f>
        <v>275.75</v>
      </c>
      <c r="AJ51" s="13">
        <f>AI51*VLOOKUP('Données projet'!$B$10,Paramètres!$A$1:$I$89,3,0)*VLOOKUP('Données projet'!$B$10,Paramètres!$A$1:$I$89,5,0)</f>
        <v>164.89850000000001</v>
      </c>
      <c r="AK51" s="13">
        <f t="shared" si="35"/>
        <v>41.94543913753872</v>
      </c>
      <c r="AL51" s="20">
        <f t="shared" si="4"/>
        <v>360.25319399788003</v>
      </c>
      <c r="AM51" s="59">
        <f t="shared" si="5"/>
        <v>653.58652733121335</v>
      </c>
      <c r="AN51" s="59">
        <f ca="1">AVERAGE(OFFSET($AM$3,0,0,'Données projet'!$E$10+1,1))-AVERAGE(OFFSET($H$3,0,0,'Données projet'!$E$10+1,1))</f>
        <v>186.90544184210381</v>
      </c>
      <c r="AO51" s="59">
        <f t="shared" si="36"/>
        <v>202.05988514450519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27.011931546588158</v>
      </c>
      <c r="AV51" s="21">
        <f>EXP(-LN(2)/25)*AV50+(1-EXP(-LN(2)/25))/(LN(2)/25)*Calculateur!AQ51*Calculateur!AS51*VLOOKUP('Données projet'!$B$10,Paramètres!$A$1:$I$89,3,0)*0.475*44/12</f>
        <v>13.238006843083543</v>
      </c>
      <c r="AW51" s="21">
        <f>EXP(-LN(2)/2)*AW50+(1-EXP(-LN(2)/2))/(LN(2)/2)*AQ51*AT51*VLOOKUP('Données projet'!$B$10,Paramètres!$A$1:$I$89,3,0)*0.475*44/12</f>
        <v>1.8896471127052163</v>
      </c>
      <c r="AX51" s="21">
        <f t="shared" si="6"/>
        <v>42.139585502376917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-2.8421709430404007E-14</v>
      </c>
      <c r="BE51" s="13">
        <f>BD51*VLOOKUP('Données projet'!$B$11,Paramètres!$A$1:$I$89,3,0)*VLOOKUP('Données projet'!$B$11,Paramètres!$A$1:$I$89,5,0)</f>
        <v>-2.3055690689943732E-14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5.8584049049231908</v>
      </c>
      <c r="BJ51" s="59">
        <f t="shared" si="38"/>
        <v>42.266833200216638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0.64760375186922392</v>
      </c>
      <c r="BS51" s="22">
        <f t="shared" si="9"/>
        <v>0.64760375186922392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0</v>
      </c>
      <c r="CE51" s="59">
        <f t="shared" si="40"/>
        <v>0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0</v>
      </c>
      <c r="CZ51" s="59">
        <f t="shared" si="42"/>
        <v>0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0</v>
      </c>
      <c r="EP51" s="59">
        <f t="shared" si="46"/>
        <v>0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>
        <f>FE51*VLOOKUP('Données projet'!$B$16,Paramètres!$A$1:$I$89,3,0)*VLOOKUP('Données projet'!$B$16,Paramètres!$A$1:$I$89,5,0)</f>
        <v>0</v>
      </c>
      <c r="FG51" s="13" t="e">
        <f t="shared" si="47"/>
        <v>#NUM!</v>
      </c>
      <c r="FH51" s="20" t="e">
        <f t="shared" si="22"/>
        <v>#NUM!</v>
      </c>
      <c r="FI51" s="59" t="e">
        <f t="shared" si="23"/>
        <v>#NUM!</v>
      </c>
      <c r="FJ51" s="59">
        <f ca="1">AVERAGE(OFFSET($FI$3,0,0,'Données projet'!$E$16+1,1))-AVERAGE(OFFSET($H$3,0,0,'Données projet'!$E$16+1,1))</f>
        <v>0</v>
      </c>
      <c r="FK51" s="59">
        <f t="shared" si="48"/>
        <v>0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>
        <f>FZ51*VLOOKUP('Données projet'!$B$17,Paramètres!$A$1:$I$89,3,0)*VLOOKUP('Données projet'!$B$17,Paramètres!$A$1:$I$89,5,0)</f>
        <v>0</v>
      </c>
      <c r="GB51" s="13" t="e">
        <f t="shared" si="49"/>
        <v>#NUM!</v>
      </c>
      <c r="GC51" s="20" t="e">
        <f t="shared" si="25"/>
        <v>#NUM!</v>
      </c>
      <c r="GD51" s="59" t="e">
        <f t="shared" si="26"/>
        <v>#NUM!</v>
      </c>
      <c r="GE51" s="59">
        <f ca="1">AVERAGE(OFFSET($GD$3,0,0,'Données projet'!$E$17+1,1))-AVERAGE(OFFSET($H$3,0,0,'Données projet'!$E$17+1,1))</f>
        <v>0</v>
      </c>
      <c r="GF51" s="59">
        <f t="shared" si="50"/>
        <v>0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5.875</v>
      </c>
      <c r="N52" s="13">
        <f>IF('Données projet'!$A$36&gt;35,N51+M52-V51,IF(A52&lt;'Données projet'!$A$36,$K$205^A52,IF(A52='Données projet'!$A$36,'Données projet'!$B$36,N51+M52-V51)))</f>
        <v>281.625</v>
      </c>
      <c r="O52" s="13">
        <f>N52*VLOOKUP('Données projet'!$B$9,Paramètres!$A$1:$I$89,3,0)*VLOOKUP('Données projet'!$B$9,Paramètres!$A$1:$I$89,5,0)</f>
        <v>168.41175000000001</v>
      </c>
      <c r="P52" s="13">
        <f t="shared" si="33"/>
        <v>42.73411432638013</v>
      </c>
      <c r="Q52" s="20">
        <f t="shared" si="53"/>
        <v>367.74571370177881</v>
      </c>
      <c r="R52" s="59">
        <f t="shared" si="0"/>
        <v>661.07904703511213</v>
      </c>
      <c r="S52" s="59">
        <f ca="1">AVERAGE(OFFSET($R$3,0,0,'Données projet'!$E$9+1,1))-AVERAGE(OFFSET($H$3,0,0,'Données projet'!$E$9+1,1))</f>
        <v>186.90544184210381</v>
      </c>
      <c r="T52" s="59">
        <f t="shared" si="34"/>
        <v>202.05988514450519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26.482244044610972</v>
      </c>
      <c r="AA52" s="21">
        <f>EXP(-LN(2)/25)*AA51+(1-EXP(-LN(2)/25))/(LN(2)/25)*Calculateur!V52*Calculateur!X52*VLOOKUP('Données projet'!$B$9,Paramètres!$A$1:$I$89,3,0)*0.475*44/12</f>
        <v>12.876012849802899</v>
      </c>
      <c r="AB52" s="21">
        <f>EXP(-LN(2)/2)*AB51+(1-EXP(-LN(2)/2))/(LN(2)/2)*V52*Y52*VLOOKUP('Données projet'!$B$9,Paramètres!$A$1:$I$89,3,0)*0.475*44/12</f>
        <v>1.3361822874434388</v>
      </c>
      <c r="AC52" s="22">
        <f t="shared" si="3"/>
        <v>40.694439181857305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5.875</v>
      </c>
      <c r="AI52" s="13">
        <f>IF('Données projet'!$A$62&gt;35,AI51+AH52-AQ51,IF(A52&lt;'Données projet'!$A$62,$AF$205^A52,IF(A52='Données projet'!$A$62,'Données projet'!$B$62,AI51+AH52-AQ51)))</f>
        <v>281.625</v>
      </c>
      <c r="AJ52" s="13">
        <f>AI52*VLOOKUP('Données projet'!$B$10,Paramètres!$A$1:$I$89,3,0)*VLOOKUP('Données projet'!$B$10,Paramètres!$A$1:$I$89,5,0)</f>
        <v>168.41175000000001</v>
      </c>
      <c r="AK52" s="13">
        <f t="shared" si="35"/>
        <v>42.73411432638013</v>
      </c>
      <c r="AL52" s="20">
        <f t="shared" si="4"/>
        <v>367.74571370177881</v>
      </c>
      <c r="AM52" s="59">
        <f t="shared" si="5"/>
        <v>661.07904703511213</v>
      </c>
      <c r="AN52" s="59">
        <f ca="1">AVERAGE(OFFSET($AM$3,0,0,'Données projet'!$E$10+1,1))-AVERAGE(OFFSET($H$3,0,0,'Données projet'!$E$10+1,1))</f>
        <v>186.90544184210381</v>
      </c>
      <c r="AO52" s="59">
        <f t="shared" si="36"/>
        <v>202.05988514450519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26.482244044610972</v>
      </c>
      <c r="AV52" s="21">
        <f>EXP(-LN(2)/25)*AV51+(1-EXP(-LN(2)/25))/(LN(2)/25)*Calculateur!AQ52*Calculateur!AS52*VLOOKUP('Données projet'!$B$10,Paramètres!$A$1:$I$89,3,0)*0.475*44/12</f>
        <v>12.876012849802899</v>
      </c>
      <c r="AW52" s="21">
        <f>EXP(-LN(2)/2)*AW51+(1-EXP(-LN(2)/2))/(LN(2)/2)*AQ52*AT52*VLOOKUP('Données projet'!$B$10,Paramètres!$A$1:$I$89,3,0)*0.475*44/12</f>
        <v>1.3361822874434388</v>
      </c>
      <c r="AX52" s="21">
        <f t="shared" si="6"/>
        <v>40.694439181857305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-2.8421709430404007E-14</v>
      </c>
      <c r="BE52" s="13">
        <f>BD52*VLOOKUP('Données projet'!$B$11,Paramètres!$A$1:$I$89,3,0)*VLOOKUP('Données projet'!$B$11,Paramètres!$A$1:$I$89,5,0)</f>
        <v>-2.3055690689943732E-14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5.8584049049231908</v>
      </c>
      <c r="BJ52" s="59">
        <f t="shared" si="38"/>
        <v>42.266833200216638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0.45792500446857859</v>
      </c>
      <c r="BS52" s="22">
        <f t="shared" si="9"/>
        <v>0.45792500446857859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0</v>
      </c>
      <c r="CE52" s="59">
        <f t="shared" si="40"/>
        <v>0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0</v>
      </c>
      <c r="CZ52" s="59">
        <f t="shared" si="42"/>
        <v>0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0</v>
      </c>
      <c r="EP52" s="59">
        <f t="shared" si="46"/>
        <v>0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>
        <f>FE52*VLOOKUP('Données projet'!$B$16,Paramètres!$A$1:$I$89,3,0)*VLOOKUP('Données projet'!$B$16,Paramètres!$A$1:$I$89,5,0)</f>
        <v>0</v>
      </c>
      <c r="FG52" s="13" t="e">
        <f t="shared" si="47"/>
        <v>#NUM!</v>
      </c>
      <c r="FH52" s="20" t="e">
        <f t="shared" si="22"/>
        <v>#NUM!</v>
      </c>
      <c r="FI52" s="59" t="e">
        <f t="shared" si="23"/>
        <v>#NUM!</v>
      </c>
      <c r="FJ52" s="59">
        <f ca="1">AVERAGE(OFFSET($FI$3,0,0,'Données projet'!$E$16+1,1))-AVERAGE(OFFSET($H$3,0,0,'Données projet'!$E$16+1,1))</f>
        <v>0</v>
      </c>
      <c r="FK52" s="59">
        <f t="shared" si="48"/>
        <v>0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>
        <f>FZ52*VLOOKUP('Données projet'!$B$17,Paramètres!$A$1:$I$89,3,0)*VLOOKUP('Données projet'!$B$17,Paramètres!$A$1:$I$89,5,0)</f>
        <v>0</v>
      </c>
      <c r="GB52" s="13" t="e">
        <f t="shared" si="49"/>
        <v>#NUM!</v>
      </c>
      <c r="GC52" s="20" t="e">
        <f t="shared" si="25"/>
        <v>#NUM!</v>
      </c>
      <c r="GD52" s="59" t="e">
        <f t="shared" si="26"/>
        <v>#NUM!</v>
      </c>
      <c r="GE52" s="59">
        <f ca="1">AVERAGE(OFFSET($GD$3,0,0,'Données projet'!$E$17+1,1))-AVERAGE(OFFSET($H$3,0,0,'Données projet'!$E$17+1,1))</f>
        <v>0</v>
      </c>
      <c r="GF52" s="59">
        <f t="shared" si="50"/>
        <v>0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5.875</v>
      </c>
      <c r="N53" s="13">
        <f>IF('Données projet'!$A$36&gt;35,N52+M53-V52,IF(A53&lt;'Données projet'!$A$36,$K$205^A53,IF(A53='Données projet'!$A$36,'Données projet'!$B$36,N52+M53-V52)))</f>
        <v>287.5</v>
      </c>
      <c r="O53" s="13">
        <f>N53*VLOOKUP('Données projet'!$B$9,Paramètres!$A$1:$I$89,3,0)*VLOOKUP('Données projet'!$B$9,Paramètres!$A$1:$I$89,5,0)</f>
        <v>171.92500000000001</v>
      </c>
      <c r="P53" s="13">
        <f t="shared" si="33"/>
        <v>43.520876607827979</v>
      </c>
      <c r="Q53" s="20">
        <f t="shared" si="53"/>
        <v>375.23490175863367</v>
      </c>
      <c r="R53" s="59">
        <f t="shared" si="0"/>
        <v>668.56823509196693</v>
      </c>
      <c r="S53" s="59">
        <f ca="1">AVERAGE(OFFSET($R$3,0,0,'Données projet'!$E$9+1,1))-AVERAGE(OFFSET($H$3,0,0,'Données projet'!$E$9+1,1))</f>
        <v>186.90544184210381</v>
      </c>
      <c r="T53" s="59">
        <f t="shared" si="34"/>
        <v>202.05988514450519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25.962943391470084</v>
      </c>
      <c r="AA53" s="21">
        <f>EXP(-LN(2)/25)*AA52+(1-EXP(-LN(2)/25))/(LN(2)/25)*Calculateur!V53*Calculateur!X53*VLOOKUP('Données projet'!$B$9,Paramètres!$A$1:$I$89,3,0)*0.475*44/12</f>
        <v>12.523917601304952</v>
      </c>
      <c r="AB53" s="21">
        <f>EXP(-LN(2)/2)*AB52+(1-EXP(-LN(2)/2))/(LN(2)/2)*V53*Y53*VLOOKUP('Données projet'!$B$9,Paramètres!$A$1:$I$89,3,0)*0.475*44/12</f>
        <v>0.94482355635260828</v>
      </c>
      <c r="AC53" s="22">
        <f t="shared" si="3"/>
        <v>39.431684549127645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5.875</v>
      </c>
      <c r="AI53" s="13">
        <f>IF('Données projet'!$A$62&gt;35,AI52+AH53-AQ52,IF(A53&lt;'Données projet'!$A$62,$AF$205^A53,IF(A53='Données projet'!$A$62,'Données projet'!$B$62,AI52+AH53-AQ52)))</f>
        <v>287.5</v>
      </c>
      <c r="AJ53" s="13">
        <f>AI53*VLOOKUP('Données projet'!$B$10,Paramètres!$A$1:$I$89,3,0)*VLOOKUP('Données projet'!$B$10,Paramètres!$A$1:$I$89,5,0)</f>
        <v>171.92500000000001</v>
      </c>
      <c r="AK53" s="13">
        <f t="shared" si="35"/>
        <v>43.520876607827979</v>
      </c>
      <c r="AL53" s="20">
        <f t="shared" si="4"/>
        <v>375.23490175863367</v>
      </c>
      <c r="AM53" s="59">
        <f t="shared" si="5"/>
        <v>668.56823509196693</v>
      </c>
      <c r="AN53" s="59">
        <f ca="1">AVERAGE(OFFSET($AM$3,0,0,'Données projet'!$E$10+1,1))-AVERAGE(OFFSET($H$3,0,0,'Données projet'!$E$10+1,1))</f>
        <v>186.90544184210381</v>
      </c>
      <c r="AO53" s="59">
        <f t="shared" si="36"/>
        <v>202.05988514450519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25.962943391470084</v>
      </c>
      <c r="AV53" s="21">
        <f>EXP(-LN(2)/25)*AV52+(1-EXP(-LN(2)/25))/(LN(2)/25)*Calculateur!AQ53*Calculateur!AS53*VLOOKUP('Données projet'!$B$10,Paramètres!$A$1:$I$89,3,0)*0.475*44/12</f>
        <v>12.523917601304952</v>
      </c>
      <c r="AW53" s="21">
        <f>EXP(-LN(2)/2)*AW52+(1-EXP(-LN(2)/2))/(LN(2)/2)*AQ53*AT53*VLOOKUP('Données projet'!$B$10,Paramètres!$A$1:$I$89,3,0)*0.475*44/12</f>
        <v>0.94482355635260828</v>
      </c>
      <c r="AX53" s="21">
        <f t="shared" si="6"/>
        <v>39.431684549127645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-2.8421709430404007E-14</v>
      </c>
      <c r="BE53" s="13">
        <f>BD53*VLOOKUP('Données projet'!$B$11,Paramètres!$A$1:$I$89,3,0)*VLOOKUP('Données projet'!$B$11,Paramètres!$A$1:$I$89,5,0)</f>
        <v>-2.3055690689943732E-14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5.8584049049231908</v>
      </c>
      <c r="BJ53" s="59">
        <f t="shared" si="38"/>
        <v>42.266833200216638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0.32380187593461202</v>
      </c>
      <c r="BS53" s="22">
        <f t="shared" si="9"/>
        <v>0.32380187593461202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0</v>
      </c>
      <c r="CE53" s="59">
        <f t="shared" si="40"/>
        <v>0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0</v>
      </c>
      <c r="CZ53" s="59">
        <f t="shared" si="42"/>
        <v>0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0</v>
      </c>
      <c r="EP53" s="59">
        <f t="shared" si="46"/>
        <v>0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>
        <f>FE53*VLOOKUP('Données projet'!$B$16,Paramètres!$A$1:$I$89,3,0)*VLOOKUP('Données projet'!$B$16,Paramètres!$A$1:$I$89,5,0)</f>
        <v>0</v>
      </c>
      <c r="FG53" s="13" t="e">
        <f t="shared" si="47"/>
        <v>#NUM!</v>
      </c>
      <c r="FH53" s="20" t="e">
        <f t="shared" si="22"/>
        <v>#NUM!</v>
      </c>
      <c r="FI53" s="59" t="e">
        <f t="shared" si="23"/>
        <v>#NUM!</v>
      </c>
      <c r="FJ53" s="59">
        <f ca="1">AVERAGE(OFFSET($FI$3,0,0,'Données projet'!$E$16+1,1))-AVERAGE(OFFSET($H$3,0,0,'Données projet'!$E$16+1,1))</f>
        <v>0</v>
      </c>
      <c r="FK53" s="59">
        <f t="shared" si="48"/>
        <v>0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>
        <f>FZ53*VLOOKUP('Données projet'!$B$17,Paramètres!$A$1:$I$89,3,0)*VLOOKUP('Données projet'!$B$17,Paramètres!$A$1:$I$89,5,0)</f>
        <v>0</v>
      </c>
      <c r="GB53" s="13" t="e">
        <f t="shared" si="49"/>
        <v>#NUM!</v>
      </c>
      <c r="GC53" s="20" t="e">
        <f t="shared" si="25"/>
        <v>#NUM!</v>
      </c>
      <c r="GD53" s="59" t="e">
        <f t="shared" si="26"/>
        <v>#NUM!</v>
      </c>
      <c r="GE53" s="59">
        <f ca="1">AVERAGE(OFFSET($GD$3,0,0,'Données projet'!$E$17+1,1))-AVERAGE(OFFSET($H$3,0,0,'Données projet'!$E$17+1,1))</f>
        <v>0</v>
      </c>
      <c r="GF53" s="59">
        <f t="shared" si="50"/>
        <v>0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5.875</v>
      </c>
      <c r="N54" s="13">
        <f>IF('Données projet'!$A$36&gt;35,N53+M54-V53,IF(A54&lt;'Données projet'!$A$36,$K$205^A54,IF(A54='Données projet'!$A$36,'Données projet'!$B$36,N53+M54-V53)))</f>
        <v>293.375</v>
      </c>
      <c r="O54" s="13">
        <f>N54*VLOOKUP('Données projet'!$B$9,Paramètres!$A$1:$I$89,3,0)*VLOOKUP('Données projet'!$B$9,Paramètres!$A$1:$I$89,5,0)</f>
        <v>175.43825000000004</v>
      </c>
      <c r="P54" s="13">
        <f t="shared" si="33"/>
        <v>44.305769576051844</v>
      </c>
      <c r="Q54" s="20">
        <f t="shared" si="53"/>
        <v>382.72083409495696</v>
      </c>
      <c r="R54" s="59">
        <f t="shared" si="0"/>
        <v>676.05416742829027</v>
      </c>
      <c r="S54" s="59">
        <f ca="1">AVERAGE(OFFSET($R$3,0,0,'Données projet'!$E$9+1,1))-AVERAGE(OFFSET($H$3,0,0,'Données projet'!$E$9+1,1))</f>
        <v>186.90544184210381</v>
      </c>
      <c r="T54" s="59">
        <f t="shared" si="34"/>
        <v>202.05988514450519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25.453825907395167</v>
      </c>
      <c r="AA54" s="21">
        <f>EXP(-LN(2)/25)*AA53+(1-EXP(-LN(2)/25))/(LN(2)/25)*Calculateur!V54*Calculateur!X54*VLOOKUP('Données projet'!$B$9,Paramètres!$A$1:$I$89,3,0)*0.475*44/12</f>
        <v>12.181450415893066</v>
      </c>
      <c r="AB54" s="21">
        <f>EXP(-LN(2)/2)*AB53+(1-EXP(-LN(2)/2))/(LN(2)/2)*V54*Y54*VLOOKUP('Données projet'!$B$9,Paramètres!$A$1:$I$89,3,0)*0.475*44/12</f>
        <v>0.66809114372171952</v>
      </c>
      <c r="AC54" s="22">
        <f t="shared" si="3"/>
        <v>38.303367467009949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5.875</v>
      </c>
      <c r="AI54" s="13">
        <f>IF('Données projet'!$A$62&gt;35,AI53+AH54-AQ53,IF(A54&lt;'Données projet'!$A$62,$AF$205^A54,IF(A54='Données projet'!$A$62,'Données projet'!$B$62,AI53+AH54-AQ53)))</f>
        <v>293.375</v>
      </c>
      <c r="AJ54" s="13">
        <f>AI54*VLOOKUP('Données projet'!$B$10,Paramètres!$A$1:$I$89,3,0)*VLOOKUP('Données projet'!$B$10,Paramètres!$A$1:$I$89,5,0)</f>
        <v>175.43825000000004</v>
      </c>
      <c r="AK54" s="13">
        <f t="shared" si="35"/>
        <v>44.305769576051844</v>
      </c>
      <c r="AL54" s="20">
        <f t="shared" si="4"/>
        <v>382.72083409495696</v>
      </c>
      <c r="AM54" s="59">
        <f t="shared" si="5"/>
        <v>676.05416742829027</v>
      </c>
      <c r="AN54" s="59">
        <f ca="1">AVERAGE(OFFSET($AM$3,0,0,'Données projet'!$E$10+1,1))-AVERAGE(OFFSET($H$3,0,0,'Données projet'!$E$10+1,1))</f>
        <v>186.90544184210381</v>
      </c>
      <c r="AO54" s="59">
        <f t="shared" si="36"/>
        <v>202.05988514450519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25.453825907395167</v>
      </c>
      <c r="AV54" s="21">
        <f>EXP(-LN(2)/25)*AV53+(1-EXP(-LN(2)/25))/(LN(2)/25)*Calculateur!AQ54*Calculateur!AS54*VLOOKUP('Données projet'!$B$10,Paramètres!$A$1:$I$89,3,0)*0.475*44/12</f>
        <v>12.181450415893066</v>
      </c>
      <c r="AW54" s="21">
        <f>EXP(-LN(2)/2)*AW53+(1-EXP(-LN(2)/2))/(LN(2)/2)*AQ54*AT54*VLOOKUP('Données projet'!$B$10,Paramètres!$A$1:$I$89,3,0)*0.475*44/12</f>
        <v>0.66809114372171952</v>
      </c>
      <c r="AX54" s="21">
        <f t="shared" si="6"/>
        <v>38.303367467009949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-2.8421709430404007E-14</v>
      </c>
      <c r="BE54" s="13">
        <f>BD54*VLOOKUP('Données projet'!$B$11,Paramètres!$A$1:$I$89,3,0)*VLOOKUP('Données projet'!$B$11,Paramètres!$A$1:$I$89,5,0)</f>
        <v>-2.3055690689943732E-14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5.8584049049231908</v>
      </c>
      <c r="BJ54" s="59">
        <f t="shared" si="38"/>
        <v>42.266833200216638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0.22896250223428932</v>
      </c>
      <c r="BS54" s="22">
        <f t="shared" si="9"/>
        <v>0.22896250223428932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0</v>
      </c>
      <c r="CE54" s="59">
        <f t="shared" si="40"/>
        <v>0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0</v>
      </c>
      <c r="CZ54" s="59">
        <f t="shared" si="42"/>
        <v>0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0</v>
      </c>
      <c r="EP54" s="59">
        <f t="shared" si="46"/>
        <v>0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>
        <f>FE54*VLOOKUP('Données projet'!$B$16,Paramètres!$A$1:$I$89,3,0)*VLOOKUP('Données projet'!$B$16,Paramètres!$A$1:$I$89,5,0)</f>
        <v>0</v>
      </c>
      <c r="FG54" s="13" t="e">
        <f t="shared" si="47"/>
        <v>#NUM!</v>
      </c>
      <c r="FH54" s="20" t="e">
        <f t="shared" si="22"/>
        <v>#NUM!</v>
      </c>
      <c r="FI54" s="59" t="e">
        <f t="shared" si="23"/>
        <v>#NUM!</v>
      </c>
      <c r="FJ54" s="59">
        <f ca="1">AVERAGE(OFFSET($FI$3,0,0,'Données projet'!$E$16+1,1))-AVERAGE(OFFSET($H$3,0,0,'Données projet'!$E$16+1,1))</f>
        <v>0</v>
      </c>
      <c r="FK54" s="59">
        <f t="shared" si="48"/>
        <v>0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>
        <f>FZ54*VLOOKUP('Données projet'!$B$17,Paramètres!$A$1:$I$89,3,0)*VLOOKUP('Données projet'!$B$17,Paramètres!$A$1:$I$89,5,0)</f>
        <v>0</v>
      </c>
      <c r="GB54" s="13" t="e">
        <f t="shared" si="49"/>
        <v>#NUM!</v>
      </c>
      <c r="GC54" s="20" t="e">
        <f t="shared" si="25"/>
        <v>#NUM!</v>
      </c>
      <c r="GD54" s="59" t="e">
        <f t="shared" si="26"/>
        <v>#NUM!</v>
      </c>
      <c r="GE54" s="59">
        <f ca="1">AVERAGE(OFFSET($GD$3,0,0,'Données projet'!$E$17+1,1))-AVERAGE(OFFSET($H$3,0,0,'Données projet'!$E$17+1,1))</f>
        <v>0</v>
      </c>
      <c r="GF54" s="59">
        <f t="shared" si="50"/>
        <v>0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5.875</v>
      </c>
      <c r="N55" s="13">
        <f>IF('Données projet'!$A$36&gt;35,N54+M55-V54,IF(A55&lt;'Données projet'!$A$36,$K$205^A55,IF(A55='Données projet'!$A$36,'Données projet'!$B$36,N54+M55-V54)))</f>
        <v>299.25</v>
      </c>
      <c r="O55" s="13">
        <f>N55*VLOOKUP('Données projet'!$B$9,Paramètres!$A$1:$I$89,3,0)*VLOOKUP('Données projet'!$B$9,Paramètres!$A$1:$I$89,5,0)</f>
        <v>178.95150000000001</v>
      </c>
      <c r="P55" s="13">
        <f t="shared" si="33"/>
        <v>45.088834979390157</v>
      </c>
      <c r="Q55" s="20">
        <f t="shared" si="53"/>
        <v>390.20358342243782</v>
      </c>
      <c r="R55" s="59">
        <f t="shared" si="0"/>
        <v>683.53691675577113</v>
      </c>
      <c r="S55" s="59">
        <f ca="1">AVERAGE(OFFSET($R$3,0,0,'Données projet'!$E$9+1,1))-AVERAGE(OFFSET($H$3,0,0,'Données projet'!$E$9+1,1))</f>
        <v>186.90544184210381</v>
      </c>
      <c r="T55" s="59">
        <f t="shared" si="34"/>
        <v>202.05988514450519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24.954691906651956</v>
      </c>
      <c r="AA55" s="21">
        <f>EXP(-LN(2)/25)*AA54+(1-EXP(-LN(2)/25))/(LN(2)/25)*Calculateur!V55*Calculateur!X55*VLOOKUP('Données projet'!$B$9,Paramètres!$A$1:$I$89,3,0)*0.475*44/12</f>
        <v>11.848348013675833</v>
      </c>
      <c r="AB55" s="21">
        <f>EXP(-LN(2)/2)*AB54+(1-EXP(-LN(2)/2))/(LN(2)/2)*V55*Y55*VLOOKUP('Données projet'!$B$9,Paramètres!$A$1:$I$89,3,0)*0.475*44/12</f>
        <v>0.47241177817630425</v>
      </c>
      <c r="AC55" s="22">
        <f t="shared" si="3"/>
        <v>37.275451698504092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5.875</v>
      </c>
      <c r="AI55" s="13">
        <f>IF('Données projet'!$A$62&gt;35,AI54+AH55-AQ54,IF(A55&lt;'Données projet'!$A$62,$AF$205^A55,IF(A55='Données projet'!$A$62,'Données projet'!$B$62,AI54+AH55-AQ54)))</f>
        <v>299.25</v>
      </c>
      <c r="AJ55" s="13">
        <f>AI55*VLOOKUP('Données projet'!$B$10,Paramètres!$A$1:$I$89,3,0)*VLOOKUP('Données projet'!$B$10,Paramètres!$A$1:$I$89,5,0)</f>
        <v>178.95150000000001</v>
      </c>
      <c r="AK55" s="13">
        <f t="shared" si="35"/>
        <v>45.088834979390157</v>
      </c>
      <c r="AL55" s="20">
        <f t="shared" si="4"/>
        <v>390.20358342243782</v>
      </c>
      <c r="AM55" s="59">
        <f t="shared" si="5"/>
        <v>683.53691675577113</v>
      </c>
      <c r="AN55" s="59">
        <f ca="1">AVERAGE(OFFSET($AM$3,0,0,'Données projet'!$E$10+1,1))-AVERAGE(OFFSET($H$3,0,0,'Données projet'!$E$10+1,1))</f>
        <v>186.90544184210381</v>
      </c>
      <c r="AO55" s="59">
        <f t="shared" si="36"/>
        <v>202.05988514450519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24.954691906651956</v>
      </c>
      <c r="AV55" s="21">
        <f>EXP(-LN(2)/25)*AV54+(1-EXP(-LN(2)/25))/(LN(2)/25)*Calculateur!AQ55*Calculateur!AS55*VLOOKUP('Données projet'!$B$10,Paramètres!$A$1:$I$89,3,0)*0.475*44/12</f>
        <v>11.848348013675833</v>
      </c>
      <c r="AW55" s="21">
        <f>EXP(-LN(2)/2)*AW54+(1-EXP(-LN(2)/2))/(LN(2)/2)*AQ55*AT55*VLOOKUP('Données projet'!$B$10,Paramètres!$A$1:$I$89,3,0)*0.475*44/12</f>
        <v>0.47241177817630425</v>
      </c>
      <c r="AX55" s="21">
        <f t="shared" si="6"/>
        <v>37.275451698504092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-2.8421709430404007E-14</v>
      </c>
      <c r="BE55" s="13">
        <f>BD55*VLOOKUP('Données projet'!$B$11,Paramètres!$A$1:$I$89,3,0)*VLOOKUP('Données projet'!$B$11,Paramètres!$A$1:$I$89,5,0)</f>
        <v>-2.3055690689943732E-14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5.8584049049231908</v>
      </c>
      <c r="BJ55" s="59">
        <f t="shared" si="38"/>
        <v>42.266833200216638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0.16190093796730604</v>
      </c>
      <c r="BS55" s="22">
        <f t="shared" si="9"/>
        <v>0.16190093796730604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0</v>
      </c>
      <c r="CE55" s="59">
        <f t="shared" si="40"/>
        <v>0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0</v>
      </c>
      <c r="CZ55" s="59">
        <f t="shared" si="42"/>
        <v>0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0</v>
      </c>
      <c r="EP55" s="59">
        <f t="shared" si="46"/>
        <v>0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>
        <f>FE55*VLOOKUP('Données projet'!$B$16,Paramètres!$A$1:$I$89,3,0)*VLOOKUP('Données projet'!$B$16,Paramètres!$A$1:$I$89,5,0)</f>
        <v>0</v>
      </c>
      <c r="FG55" s="13" t="e">
        <f t="shared" si="47"/>
        <v>#NUM!</v>
      </c>
      <c r="FH55" s="20" t="e">
        <f t="shared" si="22"/>
        <v>#NUM!</v>
      </c>
      <c r="FI55" s="59" t="e">
        <f t="shared" si="23"/>
        <v>#NUM!</v>
      </c>
      <c r="FJ55" s="59">
        <f ca="1">AVERAGE(OFFSET($FI$3,0,0,'Données projet'!$E$16+1,1))-AVERAGE(OFFSET($H$3,0,0,'Données projet'!$E$16+1,1))</f>
        <v>0</v>
      </c>
      <c r="FK55" s="59">
        <f t="shared" si="48"/>
        <v>0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>
        <f>FZ55*VLOOKUP('Données projet'!$B$17,Paramètres!$A$1:$I$89,3,0)*VLOOKUP('Données projet'!$B$17,Paramètres!$A$1:$I$89,5,0)</f>
        <v>0</v>
      </c>
      <c r="GB55" s="13" t="e">
        <f t="shared" si="49"/>
        <v>#NUM!</v>
      </c>
      <c r="GC55" s="20" t="e">
        <f t="shared" si="25"/>
        <v>#NUM!</v>
      </c>
      <c r="GD55" s="59" t="e">
        <f t="shared" si="26"/>
        <v>#NUM!</v>
      </c>
      <c r="GE55" s="59">
        <f ca="1">AVERAGE(OFFSET($GD$3,0,0,'Données projet'!$E$17+1,1))-AVERAGE(OFFSET($H$3,0,0,'Données projet'!$E$17+1,1))</f>
        <v>0</v>
      </c>
      <c r="GF55" s="59">
        <f t="shared" si="50"/>
        <v>0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5.875</v>
      </c>
      <c r="N56" s="13">
        <f>IF('Données projet'!$A$36&gt;35,N55+M56-V55,IF(A56&lt;'Données projet'!$A$36,$K$205^A56,IF(A56='Données projet'!$A$36,'Données projet'!$B$36,N55+M56-V55)))</f>
        <v>305.125</v>
      </c>
      <c r="O56" s="13">
        <f>N56*VLOOKUP('Données projet'!$B$9,Paramètres!$A$1:$I$89,3,0)*VLOOKUP('Données projet'!$B$9,Paramètres!$A$1:$I$89,5,0)</f>
        <v>182.46475000000004</v>
      </c>
      <c r="P56" s="13">
        <f t="shared" si="33"/>
        <v>45.870112833182944</v>
      </c>
      <c r="Q56" s="20">
        <f t="shared" si="53"/>
        <v>397.68321943446034</v>
      </c>
      <c r="R56" s="59">
        <f t="shared" si="0"/>
        <v>691.01655276779366</v>
      </c>
      <c r="S56" s="59">
        <f ca="1">AVERAGE(OFFSET($R$3,0,0,'Données projet'!$E$9+1,1))-AVERAGE(OFFSET($H$3,0,0,'Données projet'!$E$9+1,1))</f>
        <v>186.90544184210381</v>
      </c>
      <c r="T56" s="59">
        <f t="shared" si="34"/>
        <v>202.05988514450519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24.46534561922164</v>
      </c>
      <c r="AA56" s="21">
        <f>EXP(-LN(2)/25)*AA55+(1-EXP(-LN(2)/25))/(LN(2)/25)*Calculateur!V56*Calculateur!X56*VLOOKUP('Données projet'!$B$9,Paramètres!$A$1:$I$89,3,0)*0.475*44/12</f>
        <v>11.524354314164325</v>
      </c>
      <c r="AB56" s="21">
        <f>EXP(-LN(2)/2)*AB55+(1-EXP(-LN(2)/2))/(LN(2)/2)*V56*Y56*VLOOKUP('Données projet'!$B$9,Paramètres!$A$1:$I$89,3,0)*0.475*44/12</f>
        <v>0.33404557186085981</v>
      </c>
      <c r="AC56" s="22">
        <f t="shared" si="3"/>
        <v>36.323745505246826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5.875</v>
      </c>
      <c r="AI56" s="13">
        <f>IF('Données projet'!$A$62&gt;35,AI55+AH56-AQ55,IF(A56&lt;'Données projet'!$A$62,$AF$205^A56,IF(A56='Données projet'!$A$62,'Données projet'!$B$62,AI55+AH56-AQ55)))</f>
        <v>305.125</v>
      </c>
      <c r="AJ56" s="13">
        <f>AI56*VLOOKUP('Données projet'!$B$10,Paramètres!$A$1:$I$89,3,0)*VLOOKUP('Données projet'!$B$10,Paramètres!$A$1:$I$89,5,0)</f>
        <v>182.46475000000004</v>
      </c>
      <c r="AK56" s="13">
        <f t="shared" si="35"/>
        <v>45.870112833182944</v>
      </c>
      <c r="AL56" s="20">
        <f t="shared" si="4"/>
        <v>397.68321943446034</v>
      </c>
      <c r="AM56" s="59">
        <f t="shared" si="5"/>
        <v>691.01655276779366</v>
      </c>
      <c r="AN56" s="59">
        <f ca="1">AVERAGE(OFFSET($AM$3,0,0,'Données projet'!$E$10+1,1))-AVERAGE(OFFSET($H$3,0,0,'Données projet'!$E$10+1,1))</f>
        <v>186.90544184210381</v>
      </c>
      <c r="AO56" s="59">
        <f t="shared" si="36"/>
        <v>202.05988514450519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24.46534561922164</v>
      </c>
      <c r="AV56" s="21">
        <f>EXP(-LN(2)/25)*AV55+(1-EXP(-LN(2)/25))/(LN(2)/25)*Calculateur!AQ56*Calculateur!AS56*VLOOKUP('Données projet'!$B$10,Paramètres!$A$1:$I$89,3,0)*0.475*44/12</f>
        <v>11.524354314164325</v>
      </c>
      <c r="AW56" s="21">
        <f>EXP(-LN(2)/2)*AW55+(1-EXP(-LN(2)/2))/(LN(2)/2)*AQ56*AT56*VLOOKUP('Données projet'!$B$10,Paramètres!$A$1:$I$89,3,0)*0.475*44/12</f>
        <v>0.33404557186085981</v>
      </c>
      <c r="AX56" s="21">
        <f t="shared" si="6"/>
        <v>36.323745505246826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-2.8421709430404007E-14</v>
      </c>
      <c r="BE56" s="13">
        <f>BD56*VLOOKUP('Données projet'!$B$11,Paramètres!$A$1:$I$89,3,0)*VLOOKUP('Données projet'!$B$11,Paramètres!$A$1:$I$89,5,0)</f>
        <v>-2.3055690689943732E-14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5.8584049049231908</v>
      </c>
      <c r="BJ56" s="59">
        <f t="shared" si="38"/>
        <v>42.266833200216638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0.11448125111714468</v>
      </c>
      <c r="BS56" s="22">
        <f t="shared" si="9"/>
        <v>0.11448125111714468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0</v>
      </c>
      <c r="CE56" s="59">
        <f t="shared" si="40"/>
        <v>0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0</v>
      </c>
      <c r="CZ56" s="59">
        <f t="shared" si="42"/>
        <v>0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0</v>
      </c>
      <c r="EP56" s="59">
        <f t="shared" si="46"/>
        <v>0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>
        <f>FE56*VLOOKUP('Données projet'!$B$16,Paramètres!$A$1:$I$89,3,0)*VLOOKUP('Données projet'!$B$16,Paramètres!$A$1:$I$89,5,0)</f>
        <v>0</v>
      </c>
      <c r="FG56" s="13" t="e">
        <f t="shared" si="47"/>
        <v>#NUM!</v>
      </c>
      <c r="FH56" s="20" t="e">
        <f t="shared" si="22"/>
        <v>#NUM!</v>
      </c>
      <c r="FI56" s="59" t="e">
        <f t="shared" si="23"/>
        <v>#NUM!</v>
      </c>
      <c r="FJ56" s="59">
        <f ca="1">AVERAGE(OFFSET($FI$3,0,0,'Données projet'!$E$16+1,1))-AVERAGE(OFFSET($H$3,0,0,'Données projet'!$E$16+1,1))</f>
        <v>0</v>
      </c>
      <c r="FK56" s="59">
        <f t="shared" si="48"/>
        <v>0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>
        <f>FZ56*VLOOKUP('Données projet'!$B$17,Paramètres!$A$1:$I$89,3,0)*VLOOKUP('Données projet'!$B$17,Paramètres!$A$1:$I$89,5,0)</f>
        <v>0</v>
      </c>
      <c r="GB56" s="13" t="e">
        <f t="shared" si="49"/>
        <v>#NUM!</v>
      </c>
      <c r="GC56" s="20" t="e">
        <f t="shared" si="25"/>
        <v>#NUM!</v>
      </c>
      <c r="GD56" s="59" t="e">
        <f t="shared" si="26"/>
        <v>#NUM!</v>
      </c>
      <c r="GE56" s="59">
        <f ca="1">AVERAGE(OFFSET($GD$3,0,0,'Données projet'!$E$17+1,1))-AVERAGE(OFFSET($H$3,0,0,'Données projet'!$E$17+1,1))</f>
        <v>0</v>
      </c>
      <c r="GF56" s="59">
        <f t="shared" si="50"/>
        <v>0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5.875</v>
      </c>
      <c r="M57" s="12">
        <f t="array" ref="M57">INDEX(L:L,MIN(IF(ISNUMBER(L57:L253),ROW(L57:L253),"")))</f>
        <v>5.875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projet'!$B$9,Paramètres!$A$1:$I$89,3,0)*VLOOKUP('Données projet'!$B$9,Paramètres!$A$1:$I$89,5,0)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186.90544184210381</v>
      </c>
      <c r="T57" s="59">
        <f t="shared" si="34"/>
        <v>202.05988514450519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0.33750000000000002</v>
      </c>
      <c r="X57" s="16">
        <f>IF(ISNA(VLOOKUP(A57,'Données projet'!$A$35:$I$55,6,0)),0%,VLOOKUP(A57,'Données projet'!$A$35:$I$55,6,0)*VLOOKUP('Données projet'!$B$9,Paramètres!$A$1:$I$89,7,0))</f>
        <v>4.5000000000000005E-2</v>
      </c>
      <c r="Y57" s="16">
        <f>IF(ISNA(VLOOKUP(A57,'Données projet'!$A$35:$I$55,7,0)),0%,VLOOKUP(A57,'Données projet'!$A$35:$I$55,7,0))</f>
        <v>0.15</v>
      </c>
      <c r="Z57" s="21">
        <f>EXP(-LN(2)/35)*Z56+(1-EXP(-LN(2)/35))/(LN(2)/35)*V57*W57*VLOOKUP('Données projet'!$B$9,Paramètres!$A$1:$I$89,3,0)*0.475*44/12</f>
        <v>28.269337053521433</v>
      </c>
      <c r="AA57" s="21">
        <f>EXP(-LN(2)/25)*AA56+(1-EXP(-LN(2)/25))/(LN(2)/25)*Calculateur!V57*Calculateur!X57*VLOOKUP('Données projet'!$B$9,Paramètres!$A$1:$I$89,3,0)*0.475*44/12</f>
        <v>11.778136934771499</v>
      </c>
      <c r="AB57" s="21">
        <f>EXP(-LN(2)/2)*AB56+(1-EXP(-LN(2)/2))/(LN(2)/2)*V57*Y57*VLOOKUP('Données projet'!$B$9,Paramètres!$A$1:$I$89,3,0)*0.475*44/12</f>
        <v>1.8611856824981359</v>
      </c>
      <c r="AC57" s="22">
        <f t="shared" si="3"/>
        <v>41.908659670791074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311</v>
      </c>
      <c r="AG57" s="12">
        <f>VLOOKUP(A57,'Données projet'!$A$61:$I$81,9,0)</f>
        <v>5.875</v>
      </c>
      <c r="AH57" s="12">
        <f t="array" ref="AH57">INDEX(AG:AG,MIN(IF(ISNUMBER(AG57:AG253),ROW(AG57:AG253),"")))</f>
        <v>5.875</v>
      </c>
      <c r="AI57" s="13">
        <f>IF('Données projet'!$A$62&gt;35,AI56+AH57-AQ56,IF(A57&lt;'Données projet'!$A$62,$AF$205^A57,IF(A57='Données projet'!$A$62,'Données projet'!$B$62,AI56+AH57-AQ56)))</f>
        <v>311</v>
      </c>
      <c r="AJ57" s="13">
        <f>AI57*VLOOKUP('Données projet'!$B$10,Paramètres!$A$1:$I$89,3,0)*VLOOKUP('Données projet'!$B$10,Paramètres!$A$1:$I$89,5,0)</f>
        <v>185.97800000000001</v>
      </c>
      <c r="AK57" s="13">
        <f t="shared" si="35"/>
        <v>46.649641523668571</v>
      </c>
      <c r="AL57" s="20">
        <f t="shared" si="4"/>
        <v>405.15980898705612</v>
      </c>
      <c r="AM57" s="59">
        <f t="shared" si="5"/>
        <v>698.49314232038944</v>
      </c>
      <c r="AN57" s="59">
        <f ca="1">AVERAGE(OFFSET($AM$3,0,0,'Données projet'!$E$10+1,1))-AVERAGE(OFFSET($H$3,0,0,'Données projet'!$E$10+1,1))</f>
        <v>186.90544184210381</v>
      </c>
      <c r="AO57" s="59">
        <f t="shared" si="36"/>
        <v>202.05988514450519</v>
      </c>
      <c r="AP57" s="15">
        <f>IF(ISNA(VLOOKUP(A57,'Données projet'!$A$61:$I$81,3,0)),0,VLOOKUP(A57,'Données projet'!$A$61:$I$81,3,0))</f>
        <v>8</v>
      </c>
      <c r="AQ57" s="15">
        <f>IF(ISNA(VLOOKUP(A57,'Données projet'!$A$61:$I$81,4,0)),0,VLOOKUP(A57,'Données projet'!$A$61:$I$81,4,0))</f>
        <v>16</v>
      </c>
      <c r="AR57" s="16">
        <f>IF(ISNA(VLOOKUP(A57,'Données projet'!$A$61:$I$81,5,0)),0%,VLOOKUP(A57,'Données projet'!$A$61:$I$81,5,0)*VLOOKUP('Données projet'!$B$10,Paramètres!$A$1:$I$89,7,0))</f>
        <v>0.33750000000000002</v>
      </c>
      <c r="AS57" s="16">
        <f>IF(ISNA(VLOOKUP(A57,'Données projet'!$A$61:$I$81,6,0)),0%,VLOOKUP(A57,'Données projet'!$A$61:$I$81,6,0)*VLOOKUP('Données projet'!$B$10,Paramètres!$A$1:$I$89,7,0))</f>
        <v>4.5000000000000005E-2</v>
      </c>
      <c r="AT57" s="16">
        <f>IF(ISNA(VLOOKUP(A57,'Données projet'!$A$61:$I$81,7,0)),0%,VLOOKUP(A57,'Données projet'!$A$61:$I$81,7,0))</f>
        <v>0.15</v>
      </c>
      <c r="AU57" s="21">
        <f>EXP(-LN(2)/35)*AU56+(1-EXP(-LN(2)/35))/(LN(2)/35)*AQ57*AR57*VLOOKUP('Données projet'!$B$10,Paramètres!$A$1:$I$89,3,0)*0.475*44/12</f>
        <v>28.269337053521433</v>
      </c>
      <c r="AV57" s="21">
        <f>EXP(-LN(2)/25)*AV56+(1-EXP(-LN(2)/25))/(LN(2)/25)*Calculateur!AQ57*Calculateur!AS57*VLOOKUP('Données projet'!$B$10,Paramètres!$A$1:$I$89,3,0)*0.475*44/12</f>
        <v>11.778136934771499</v>
      </c>
      <c r="AW57" s="21">
        <f>EXP(-LN(2)/2)*AW56+(1-EXP(-LN(2)/2))/(LN(2)/2)*AQ57*AT57*VLOOKUP('Données projet'!$B$10,Paramètres!$A$1:$I$89,3,0)*0.475*44/12</f>
        <v>1.8611856824981359</v>
      </c>
      <c r="AX57" s="21">
        <f t="shared" si="6"/>
        <v>41.908659670791074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-2.8421709430404007E-14</v>
      </c>
      <c r="BE57" s="13">
        <f>BD57*VLOOKUP('Données projet'!$B$11,Paramètres!$A$1:$I$89,3,0)*VLOOKUP('Données projet'!$B$11,Paramètres!$A$1:$I$89,5,0)</f>
        <v>-2.3055690689943732E-14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5.8584049049231908</v>
      </c>
      <c r="BJ57" s="59">
        <f t="shared" si="38"/>
        <v>42.266833200216638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8.0950468983653018E-2</v>
      </c>
      <c r="BS57" s="22">
        <f t="shared" si="9"/>
        <v>8.0950468983653018E-2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0</v>
      </c>
      <c r="CE57" s="59">
        <f t="shared" si="40"/>
        <v>0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0</v>
      </c>
      <c r="CZ57" s="59">
        <f t="shared" si="42"/>
        <v>0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0</v>
      </c>
      <c r="EP57" s="59">
        <f t="shared" si="46"/>
        <v>0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>
        <f>FE57*VLOOKUP('Données projet'!$B$16,Paramètres!$A$1:$I$89,3,0)*VLOOKUP('Données projet'!$B$16,Paramètres!$A$1:$I$89,5,0)</f>
        <v>0</v>
      </c>
      <c r="FG57" s="13" t="e">
        <f t="shared" si="47"/>
        <v>#NUM!</v>
      </c>
      <c r="FH57" s="20" t="e">
        <f t="shared" si="22"/>
        <v>#NUM!</v>
      </c>
      <c r="FI57" s="59" t="e">
        <f t="shared" si="23"/>
        <v>#NUM!</v>
      </c>
      <c r="FJ57" s="59">
        <f ca="1">AVERAGE(OFFSET($FI$3,0,0,'Données projet'!$E$16+1,1))-AVERAGE(OFFSET($H$3,0,0,'Données projet'!$E$16+1,1))</f>
        <v>0</v>
      </c>
      <c r="FK57" s="59">
        <f t="shared" si="48"/>
        <v>0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>
        <f>FZ57*VLOOKUP('Données projet'!$B$17,Paramètres!$A$1:$I$89,3,0)*VLOOKUP('Données projet'!$B$17,Paramètres!$A$1:$I$89,5,0)</f>
        <v>0</v>
      </c>
      <c r="GB57" s="13" t="e">
        <f t="shared" si="49"/>
        <v>#NUM!</v>
      </c>
      <c r="GC57" s="20" t="e">
        <f t="shared" si="25"/>
        <v>#NUM!</v>
      </c>
      <c r="GD57" s="59" t="e">
        <f t="shared" si="26"/>
        <v>#NUM!</v>
      </c>
      <c r="GE57" s="59">
        <f ca="1">AVERAGE(OFFSET($GD$3,0,0,'Données projet'!$E$17+1,1))-AVERAGE(OFFSET($H$3,0,0,'Données projet'!$E$17+1,1))</f>
        <v>0</v>
      </c>
      <c r="GF57" s="59">
        <f t="shared" si="50"/>
        <v>0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projet'!$B$9,Paramètres!$A$1:$I$89,3,0)*VLOOKUP('Données projet'!$B$9,Paramètres!$A$1:$I$89,5,0)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186.90544184210381</v>
      </c>
      <c r="T58" s="59">
        <f t="shared" si="34"/>
        <v>202.05988514450519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27.714992596494916</v>
      </c>
      <c r="AA58" s="21">
        <f>EXP(-LN(2)/25)*AA57+(1-EXP(-LN(2)/25))/(LN(2)/25)*Calculateur!V58*Calculateur!X58*VLOOKUP('Données projet'!$B$9,Paramètres!$A$1:$I$89,3,0)*0.475*44/12</f>
        <v>11.45606316090487</v>
      </c>
      <c r="AB58" s="21">
        <f>EXP(-LN(2)/2)*AB57+(1-EXP(-LN(2)/2))/(LN(2)/2)*V58*Y58*VLOOKUP('Données projet'!$B$9,Paramètres!$A$1:$I$89,3,0)*0.475*44/12</f>
        <v>1.3160570171417445</v>
      </c>
      <c r="AC58" s="22">
        <f t="shared" si="3"/>
        <v>40.487112774541529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2.625</v>
      </c>
      <c r="AI58" s="13">
        <f>IF('Données projet'!$A$62&gt;35,AI57+AH58-AQ57,IF(A58&lt;'Données projet'!$A$62,$AF$205^A58,IF(A58='Données projet'!$A$62,'Données projet'!$B$62,AI57+AH58-AQ57)))</f>
        <v>297.625</v>
      </c>
      <c r="AJ58" s="13">
        <f>AI58*VLOOKUP('Données projet'!$B$10,Paramètres!$A$1:$I$89,3,0)*VLOOKUP('Données projet'!$B$10,Paramètres!$A$1:$I$89,5,0)</f>
        <v>177.97975</v>
      </c>
      <c r="AK58" s="13">
        <f t="shared" si="35"/>
        <v>44.87242292972973</v>
      </c>
      <c r="AL58" s="20">
        <f t="shared" si="4"/>
        <v>388.13420118594587</v>
      </c>
      <c r="AM58" s="59">
        <f t="shared" si="5"/>
        <v>681.46753451927918</v>
      </c>
      <c r="AN58" s="59">
        <f ca="1">AVERAGE(OFFSET($AM$3,0,0,'Données projet'!$E$10+1,1))-AVERAGE(OFFSET($H$3,0,0,'Données projet'!$E$10+1,1))</f>
        <v>186.90544184210381</v>
      </c>
      <c r="AO58" s="59">
        <f t="shared" si="36"/>
        <v>202.05988514450519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27.714992596494916</v>
      </c>
      <c r="AV58" s="21">
        <f>EXP(-LN(2)/25)*AV57+(1-EXP(-LN(2)/25))/(LN(2)/25)*Calculateur!AQ58*Calculateur!AS58*VLOOKUP('Données projet'!$B$10,Paramètres!$A$1:$I$89,3,0)*0.475*44/12</f>
        <v>11.45606316090487</v>
      </c>
      <c r="AW58" s="21">
        <f>EXP(-LN(2)/2)*AW57+(1-EXP(-LN(2)/2))/(LN(2)/2)*AQ58*AT58*VLOOKUP('Données projet'!$B$10,Paramètres!$A$1:$I$89,3,0)*0.475*44/12</f>
        <v>1.3160570171417445</v>
      </c>
      <c r="AX58" s="21">
        <f t="shared" si="6"/>
        <v>40.487112774541529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-2.8421709430404007E-14</v>
      </c>
      <c r="BE58" s="13">
        <f>BD58*VLOOKUP('Données projet'!$B$11,Paramètres!$A$1:$I$89,3,0)*VLOOKUP('Données projet'!$B$11,Paramètres!$A$1:$I$89,5,0)</f>
        <v>-2.3055690689943732E-14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5.8584049049231908</v>
      </c>
      <c r="BJ58" s="59">
        <f t="shared" si="38"/>
        <v>42.266833200216638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5.7240625558572338E-2</v>
      </c>
      <c r="BS58" s="22">
        <f t="shared" si="9"/>
        <v>5.7240625558572338E-2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0</v>
      </c>
      <c r="CE58" s="59">
        <f t="shared" si="40"/>
        <v>0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0</v>
      </c>
      <c r="CZ58" s="59">
        <f t="shared" si="42"/>
        <v>0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0</v>
      </c>
      <c r="EP58" s="59">
        <f t="shared" si="46"/>
        <v>0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>
        <f>FE58*VLOOKUP('Données projet'!$B$16,Paramètres!$A$1:$I$89,3,0)*VLOOKUP('Données projet'!$B$16,Paramètres!$A$1:$I$89,5,0)</f>
        <v>0</v>
      </c>
      <c r="FG58" s="13" t="e">
        <f t="shared" si="47"/>
        <v>#NUM!</v>
      </c>
      <c r="FH58" s="20" t="e">
        <f t="shared" si="22"/>
        <v>#NUM!</v>
      </c>
      <c r="FI58" s="59" t="e">
        <f t="shared" si="23"/>
        <v>#NUM!</v>
      </c>
      <c r="FJ58" s="59">
        <f ca="1">AVERAGE(OFFSET($FI$3,0,0,'Données projet'!$E$16+1,1))-AVERAGE(OFFSET($H$3,0,0,'Données projet'!$E$16+1,1))</f>
        <v>0</v>
      </c>
      <c r="FK58" s="59">
        <f t="shared" si="48"/>
        <v>0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>
        <f>FZ58*VLOOKUP('Données projet'!$B$17,Paramètres!$A$1:$I$89,3,0)*VLOOKUP('Données projet'!$B$17,Paramètres!$A$1:$I$89,5,0)</f>
        <v>0</v>
      </c>
      <c r="GB58" s="13" t="e">
        <f t="shared" si="49"/>
        <v>#NUM!</v>
      </c>
      <c r="GC58" s="20" t="e">
        <f t="shared" si="25"/>
        <v>#NUM!</v>
      </c>
      <c r="GD58" s="59" t="e">
        <f t="shared" si="26"/>
        <v>#NUM!</v>
      </c>
      <c r="GE58" s="59">
        <f ca="1">AVERAGE(OFFSET($GD$3,0,0,'Données projet'!$E$17+1,1))-AVERAGE(OFFSET($H$3,0,0,'Données projet'!$E$17+1,1))</f>
        <v>0</v>
      </c>
      <c r="GF58" s="59">
        <f t="shared" si="50"/>
        <v>0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projet'!$B$9,Paramètres!$A$1:$I$89,3,0)*VLOOKUP('Données projet'!$B$9,Paramètres!$A$1:$I$89,5,0)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186.90544184210381</v>
      </c>
      <c r="T59" s="59">
        <f t="shared" si="34"/>
        <v>202.05988514450519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27.171518496153958</v>
      </c>
      <c r="AA59" s="21">
        <f>EXP(-LN(2)/25)*AA58+(1-EXP(-LN(2)/25))/(LN(2)/25)*Calculateur!V59*Calculateur!X59*VLOOKUP('Données projet'!$B$9,Paramètres!$A$1:$I$89,3,0)*0.475*44/12</f>
        <v>11.142796511321748</v>
      </c>
      <c r="AB59" s="21">
        <f>EXP(-LN(2)/2)*AB58+(1-EXP(-LN(2)/2))/(LN(2)/2)*V59*Y59*VLOOKUP('Données projet'!$B$9,Paramètres!$A$1:$I$89,3,0)*0.475*44/12</f>
        <v>0.93059284124906805</v>
      </c>
      <c r="AC59" s="22">
        <f t="shared" si="3"/>
        <v>39.244907848724772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2.625</v>
      </c>
      <c r="AI59" s="13">
        <f>IF('Données projet'!$A$62&gt;35,AI58+AH59-AQ58,IF(A59&lt;'Données projet'!$A$62,$AF$205^A59,IF(A59='Données projet'!$A$62,'Données projet'!$B$62,AI58+AH59-AQ58)))</f>
        <v>300.25</v>
      </c>
      <c r="AJ59" s="13">
        <f>AI59*VLOOKUP('Données projet'!$B$10,Paramètres!$A$1:$I$89,3,0)*VLOOKUP('Données projet'!$B$10,Paramètres!$A$1:$I$89,5,0)</f>
        <v>179.54950000000002</v>
      </c>
      <c r="AK59" s="13">
        <f t="shared" si="35"/>
        <v>45.221943603548368</v>
      </c>
      <c r="AL59" s="20">
        <f t="shared" si="4"/>
        <v>391.47693094284676</v>
      </c>
      <c r="AM59" s="59">
        <f t="shared" si="5"/>
        <v>684.81026427618008</v>
      </c>
      <c r="AN59" s="59">
        <f ca="1">AVERAGE(OFFSET($AM$3,0,0,'Données projet'!$E$10+1,1))-AVERAGE(OFFSET($H$3,0,0,'Données projet'!$E$10+1,1))</f>
        <v>186.90544184210381</v>
      </c>
      <c r="AO59" s="59">
        <f t="shared" si="36"/>
        <v>202.05988514450519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27.171518496153958</v>
      </c>
      <c r="AV59" s="21">
        <f>EXP(-LN(2)/25)*AV58+(1-EXP(-LN(2)/25))/(LN(2)/25)*Calculateur!AQ59*Calculateur!AS59*VLOOKUP('Données projet'!$B$10,Paramètres!$A$1:$I$89,3,0)*0.475*44/12</f>
        <v>11.142796511321748</v>
      </c>
      <c r="AW59" s="21">
        <f>EXP(-LN(2)/2)*AW58+(1-EXP(-LN(2)/2))/(LN(2)/2)*AQ59*AT59*VLOOKUP('Données projet'!$B$10,Paramètres!$A$1:$I$89,3,0)*0.475*44/12</f>
        <v>0.93059284124906805</v>
      </c>
      <c r="AX59" s="21">
        <f t="shared" si="6"/>
        <v>39.244907848724772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-2.8421709430404007E-14</v>
      </c>
      <c r="BE59" s="13">
        <f>BD59*VLOOKUP('Données projet'!$B$11,Paramètres!$A$1:$I$89,3,0)*VLOOKUP('Données projet'!$B$11,Paramètres!$A$1:$I$89,5,0)</f>
        <v>-2.3055690689943732E-14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5.8584049049231908</v>
      </c>
      <c r="BJ59" s="59">
        <f t="shared" si="38"/>
        <v>42.266833200216638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4.0475234491826509E-2</v>
      </c>
      <c r="BS59" s="22">
        <f t="shared" si="9"/>
        <v>4.0475234491826509E-2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0</v>
      </c>
      <c r="CE59" s="59">
        <f t="shared" si="40"/>
        <v>0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0</v>
      </c>
      <c r="CZ59" s="59">
        <f t="shared" si="42"/>
        <v>0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0</v>
      </c>
      <c r="EP59" s="59">
        <f t="shared" si="46"/>
        <v>0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>
        <f>FE59*VLOOKUP('Données projet'!$B$16,Paramètres!$A$1:$I$89,3,0)*VLOOKUP('Données projet'!$B$16,Paramètres!$A$1:$I$89,5,0)</f>
        <v>0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0</v>
      </c>
      <c r="FK59" s="59">
        <f t="shared" si="48"/>
        <v>0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>
        <f>FZ59*VLOOKUP('Données projet'!$B$17,Paramètres!$A$1:$I$89,3,0)*VLOOKUP('Données projet'!$B$17,Paramètres!$A$1:$I$89,5,0)</f>
        <v>0</v>
      </c>
      <c r="GB59" s="13" t="e">
        <f t="shared" si="49"/>
        <v>#NUM!</v>
      </c>
      <c r="GC59" s="20" t="e">
        <f t="shared" si="25"/>
        <v>#NUM!</v>
      </c>
      <c r="GD59" s="59" t="e">
        <f t="shared" si="26"/>
        <v>#NUM!</v>
      </c>
      <c r="GE59" s="59">
        <f ca="1">AVERAGE(OFFSET($GD$3,0,0,'Données projet'!$E$17+1,1))-AVERAGE(OFFSET($H$3,0,0,'Données projet'!$E$17+1,1))</f>
        <v>0</v>
      </c>
      <c r="GF59" s="59">
        <f t="shared" si="50"/>
        <v>0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projet'!$B$9,Paramètres!$A$1:$I$89,3,0)*VLOOKUP('Données projet'!$B$9,Paramètres!$A$1:$I$89,5,0)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186.90544184210381</v>
      </c>
      <c r="T60" s="59">
        <f t="shared" si="34"/>
        <v>202.05988514450519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26.638701591434213</v>
      </c>
      <c r="AA60" s="21">
        <f>EXP(-LN(2)/25)*AA59+(1-EXP(-LN(2)/25))/(LN(2)/25)*Calculateur!V60*Calculateur!X60*VLOOKUP('Données projet'!$B$9,Paramètres!$A$1:$I$89,3,0)*0.475*44/12</f>
        <v>10.838096154745454</v>
      </c>
      <c r="AB60" s="21">
        <f>EXP(-LN(2)/2)*AB59+(1-EXP(-LN(2)/2))/(LN(2)/2)*V60*Y60*VLOOKUP('Données projet'!$B$9,Paramètres!$A$1:$I$89,3,0)*0.475*44/12</f>
        <v>0.65802850857087236</v>
      </c>
      <c r="AC60" s="22">
        <f t="shared" si="3"/>
        <v>38.134826254750543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2.625</v>
      </c>
      <c r="AI60" s="13">
        <f>IF('Données projet'!$A$62&gt;35,AI59+AH60-AQ59,IF(A60&lt;'Données projet'!$A$62,$AF$205^A60,IF(A60='Données projet'!$A$62,'Données projet'!$B$62,AI59+AH60-AQ59)))</f>
        <v>302.875</v>
      </c>
      <c r="AJ60" s="13">
        <f>AI60*VLOOKUP('Données projet'!$B$10,Paramètres!$A$1:$I$89,3,0)*VLOOKUP('Données projet'!$B$10,Paramètres!$A$1:$I$89,5,0)</f>
        <v>181.11925000000002</v>
      </c>
      <c r="AK60" s="13">
        <f t="shared" si="35"/>
        <v>45.571108763102352</v>
      </c>
      <c r="AL60" s="20">
        <f t="shared" si="4"/>
        <v>394.81904151240332</v>
      </c>
      <c r="AM60" s="59">
        <f t="shared" si="5"/>
        <v>688.15237484573663</v>
      </c>
      <c r="AN60" s="59">
        <f ca="1">AVERAGE(OFFSET($AM$3,0,0,'Données projet'!$E$10+1,1))-AVERAGE(OFFSET($H$3,0,0,'Données projet'!$E$10+1,1))</f>
        <v>186.90544184210381</v>
      </c>
      <c r="AO60" s="59">
        <f t="shared" si="36"/>
        <v>202.05988514450519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26.638701591434213</v>
      </c>
      <c r="AV60" s="21">
        <f>EXP(-LN(2)/25)*AV59+(1-EXP(-LN(2)/25))/(LN(2)/25)*Calculateur!AQ60*Calculateur!AS60*VLOOKUP('Données projet'!$B$10,Paramètres!$A$1:$I$89,3,0)*0.475*44/12</f>
        <v>10.838096154745454</v>
      </c>
      <c r="AW60" s="21">
        <f>EXP(-LN(2)/2)*AW59+(1-EXP(-LN(2)/2))/(LN(2)/2)*AQ60*AT60*VLOOKUP('Données projet'!$B$10,Paramètres!$A$1:$I$89,3,0)*0.475*44/12</f>
        <v>0.65802850857087236</v>
      </c>
      <c r="AX60" s="21">
        <f t="shared" si="6"/>
        <v>38.134826254750543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-2.8421709430404007E-14</v>
      </c>
      <c r="BE60" s="13">
        <f>BD60*VLOOKUP('Données projet'!$B$11,Paramètres!$A$1:$I$89,3,0)*VLOOKUP('Données projet'!$B$11,Paramètres!$A$1:$I$89,5,0)</f>
        <v>-2.3055690689943732E-14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5.8584049049231908</v>
      </c>
      <c r="BJ60" s="59">
        <f t="shared" si="38"/>
        <v>42.266833200216638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2.8620312779286169E-2</v>
      </c>
      <c r="BS60" s="22">
        <f t="shared" si="9"/>
        <v>2.8620312779286169E-2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0</v>
      </c>
      <c r="CE60" s="59">
        <f t="shared" si="40"/>
        <v>0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0</v>
      </c>
      <c r="CZ60" s="59">
        <f t="shared" si="42"/>
        <v>0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0</v>
      </c>
      <c r="EP60" s="59">
        <f t="shared" si="46"/>
        <v>0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>
        <f>FE60*VLOOKUP('Données projet'!$B$16,Paramètres!$A$1:$I$89,3,0)*VLOOKUP('Données projet'!$B$16,Paramètres!$A$1:$I$89,5,0)</f>
        <v>0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0</v>
      </c>
      <c r="FK60" s="59">
        <f t="shared" si="48"/>
        <v>0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>
        <f>FZ60*VLOOKUP('Données projet'!$B$17,Paramètres!$A$1:$I$89,3,0)*VLOOKUP('Données projet'!$B$17,Paramètres!$A$1:$I$89,5,0)</f>
        <v>0</v>
      </c>
      <c r="GB60" s="13" t="e">
        <f t="shared" si="49"/>
        <v>#NUM!</v>
      </c>
      <c r="GC60" s="20" t="e">
        <f t="shared" si="25"/>
        <v>#NUM!</v>
      </c>
      <c r="GD60" s="59" t="e">
        <f t="shared" si="26"/>
        <v>#NUM!</v>
      </c>
      <c r="GE60" s="59">
        <f ca="1">AVERAGE(OFFSET($GD$3,0,0,'Données projet'!$E$17+1,1))-AVERAGE(OFFSET($H$3,0,0,'Données projet'!$E$17+1,1))</f>
        <v>0</v>
      </c>
      <c r="GF60" s="59">
        <f t="shared" si="50"/>
        <v>0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projet'!$B$9,Paramètres!$A$1:$I$89,3,0)*VLOOKUP('Données projet'!$B$9,Paramètres!$A$1:$I$89,5,0)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186.90544184210381</v>
      </c>
      <c r="T61" s="59">
        <f t="shared" si="34"/>
        <v>202.05988514450519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26.1163329012298</v>
      </c>
      <c r="AA61" s="21">
        <f>EXP(-LN(2)/25)*AA60+(1-EXP(-LN(2)/25))/(LN(2)/25)*Calculateur!V61*Calculateur!X61*VLOOKUP('Données projet'!$B$9,Paramètres!$A$1:$I$89,3,0)*0.475*44/12</f>
        <v>10.541727845443233</v>
      </c>
      <c r="AB61" s="21">
        <f>EXP(-LN(2)/2)*AB60+(1-EXP(-LN(2)/2))/(LN(2)/2)*V61*Y61*VLOOKUP('Données projet'!$B$9,Paramètres!$A$1:$I$89,3,0)*0.475*44/12</f>
        <v>0.46529642062453408</v>
      </c>
      <c r="AC61" s="22">
        <f t="shared" si="3"/>
        <v>37.123357167297563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2.625</v>
      </c>
      <c r="AI61" s="13">
        <f>IF('Données projet'!$A$62&gt;35,AI60+AH61-AQ60,IF(A61&lt;'Données projet'!$A$62,$AF$205^A61,IF(A61='Données projet'!$A$62,'Données projet'!$B$62,AI60+AH61-AQ60)))</f>
        <v>305.5</v>
      </c>
      <c r="AJ61" s="13">
        <f>AI61*VLOOKUP('Données projet'!$B$10,Paramètres!$A$1:$I$89,3,0)*VLOOKUP('Données projet'!$B$10,Paramètres!$A$1:$I$89,5,0)</f>
        <v>182.68900000000002</v>
      </c>
      <c r="AK61" s="13">
        <f t="shared" si="35"/>
        <v>45.919921846619154</v>
      </c>
      <c r="AL61" s="20">
        <f t="shared" si="4"/>
        <v>398.16053888286166</v>
      </c>
      <c r="AM61" s="59">
        <f t="shared" si="5"/>
        <v>691.49387221619497</v>
      </c>
      <c r="AN61" s="59">
        <f ca="1">AVERAGE(OFFSET($AM$3,0,0,'Données projet'!$E$10+1,1))-AVERAGE(OFFSET($H$3,0,0,'Données projet'!$E$10+1,1))</f>
        <v>186.90544184210381</v>
      </c>
      <c r="AO61" s="59">
        <f t="shared" si="36"/>
        <v>202.05988514450519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26.1163329012298</v>
      </c>
      <c r="AV61" s="21">
        <f>EXP(-LN(2)/25)*AV60+(1-EXP(-LN(2)/25))/(LN(2)/25)*Calculateur!AQ61*Calculateur!AS61*VLOOKUP('Données projet'!$B$10,Paramètres!$A$1:$I$89,3,0)*0.475*44/12</f>
        <v>10.541727845443233</v>
      </c>
      <c r="AW61" s="21">
        <f>EXP(-LN(2)/2)*AW60+(1-EXP(-LN(2)/2))/(LN(2)/2)*AQ61*AT61*VLOOKUP('Données projet'!$B$10,Paramètres!$A$1:$I$89,3,0)*0.475*44/12</f>
        <v>0.46529642062453408</v>
      </c>
      <c r="AX61" s="21">
        <f t="shared" si="6"/>
        <v>37.123357167297563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-2.8421709430404007E-14</v>
      </c>
      <c r="BE61" s="13">
        <f>BD61*VLOOKUP('Données projet'!$B$11,Paramètres!$A$1:$I$89,3,0)*VLOOKUP('Données projet'!$B$11,Paramètres!$A$1:$I$89,5,0)</f>
        <v>-2.3055690689943732E-14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5.8584049049231908</v>
      </c>
      <c r="BJ61" s="59">
        <f t="shared" si="38"/>
        <v>42.266833200216638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2.0237617245913254E-2</v>
      </c>
      <c r="BS61" s="22">
        <f t="shared" si="9"/>
        <v>2.0237617245913254E-2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0</v>
      </c>
      <c r="CE61" s="59">
        <f t="shared" si="40"/>
        <v>0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0</v>
      </c>
      <c r="CZ61" s="59">
        <f t="shared" si="42"/>
        <v>0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0</v>
      </c>
      <c r="EP61" s="59">
        <f t="shared" si="46"/>
        <v>0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>
        <f>FE61*VLOOKUP('Données projet'!$B$16,Paramètres!$A$1:$I$89,3,0)*VLOOKUP('Données projet'!$B$16,Paramètres!$A$1:$I$89,5,0)</f>
        <v>0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0</v>
      </c>
      <c r="FK61" s="59">
        <f t="shared" si="48"/>
        <v>0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>
        <f>FZ61*VLOOKUP('Données projet'!$B$17,Paramètres!$A$1:$I$89,3,0)*VLOOKUP('Données projet'!$B$17,Paramètres!$A$1:$I$89,5,0)</f>
        <v>0</v>
      </c>
      <c r="GB61" s="13" t="e">
        <f t="shared" si="49"/>
        <v>#NUM!</v>
      </c>
      <c r="GC61" s="20" t="e">
        <f t="shared" si="25"/>
        <v>#NUM!</v>
      </c>
      <c r="GD61" s="59" t="e">
        <f t="shared" si="26"/>
        <v>#NUM!</v>
      </c>
      <c r="GE61" s="59">
        <f ca="1">AVERAGE(OFFSET($GD$3,0,0,'Données projet'!$E$17+1,1))-AVERAGE(OFFSET($H$3,0,0,'Données projet'!$E$17+1,1))</f>
        <v>0</v>
      </c>
      <c r="GF61" s="59">
        <f t="shared" si="50"/>
        <v>0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projet'!$B$9,Paramètres!$A$1:$I$89,3,0)*VLOOKUP('Données projet'!$B$9,Paramètres!$A$1:$I$89,5,0)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186.90544184210381</v>
      </c>
      <c r="T62" s="59">
        <f t="shared" si="34"/>
        <v>202.05988514450519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25.604207542426856</v>
      </c>
      <c r="AA62" s="21">
        <f>EXP(-LN(2)/25)*AA61+(1-EXP(-LN(2)/25))/(LN(2)/25)*Calculateur!V62*Calculateur!X62*VLOOKUP('Données projet'!$B$9,Paramètres!$A$1:$I$89,3,0)*0.475*44/12</f>
        <v>10.253463743144215</v>
      </c>
      <c r="AB62" s="21">
        <f>EXP(-LN(2)/2)*AB61+(1-EXP(-LN(2)/2))/(LN(2)/2)*V62*Y62*VLOOKUP('Données projet'!$B$9,Paramètres!$A$1:$I$89,3,0)*0.475*44/12</f>
        <v>0.32901425428543624</v>
      </c>
      <c r="AC62" s="22">
        <f t="shared" si="3"/>
        <v>36.186685539856512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2.625</v>
      </c>
      <c r="AI62" s="13">
        <f>IF('Données projet'!$A$62&gt;35,AI61+AH62-AQ61,IF(A62&lt;'Données projet'!$A$62,$AF$205^A62,IF(A62='Données projet'!$A$62,'Données projet'!$B$62,AI61+AH62-AQ61)))</f>
        <v>308.125</v>
      </c>
      <c r="AJ62" s="13">
        <f>AI62*VLOOKUP('Données projet'!$B$10,Paramètres!$A$1:$I$89,3,0)*VLOOKUP('Données projet'!$B$10,Paramètres!$A$1:$I$89,5,0)</f>
        <v>184.25875000000002</v>
      </c>
      <c r="AK62" s="13">
        <f t="shared" si="35"/>
        <v>46.26838622983076</v>
      </c>
      <c r="AL62" s="20">
        <f t="shared" si="4"/>
        <v>401.50142893362187</v>
      </c>
      <c r="AM62" s="59">
        <f t="shared" si="5"/>
        <v>694.83476226695518</v>
      </c>
      <c r="AN62" s="59">
        <f ca="1">AVERAGE(OFFSET($AM$3,0,0,'Données projet'!$E$10+1,1))-AVERAGE(OFFSET($H$3,0,0,'Données projet'!$E$10+1,1))</f>
        <v>186.90544184210381</v>
      </c>
      <c r="AO62" s="59">
        <f t="shared" si="36"/>
        <v>202.05988514450519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25.604207542426856</v>
      </c>
      <c r="AV62" s="21">
        <f>EXP(-LN(2)/25)*AV61+(1-EXP(-LN(2)/25))/(LN(2)/25)*Calculateur!AQ62*Calculateur!AS62*VLOOKUP('Données projet'!$B$10,Paramètres!$A$1:$I$89,3,0)*0.475*44/12</f>
        <v>10.253463743144215</v>
      </c>
      <c r="AW62" s="21">
        <f>EXP(-LN(2)/2)*AW61+(1-EXP(-LN(2)/2))/(LN(2)/2)*AQ62*AT62*VLOOKUP('Données projet'!$B$10,Paramètres!$A$1:$I$89,3,0)*0.475*44/12</f>
        <v>0.32901425428543624</v>
      </c>
      <c r="AX62" s="21">
        <f t="shared" si="6"/>
        <v>36.186685539856512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-2.8421709430404007E-14</v>
      </c>
      <c r="BE62" s="13">
        <f>BD62*VLOOKUP('Données projet'!$B$11,Paramètres!$A$1:$I$89,3,0)*VLOOKUP('Données projet'!$B$11,Paramètres!$A$1:$I$89,5,0)</f>
        <v>-2.3055690689943732E-14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5.8584049049231908</v>
      </c>
      <c r="BJ62" s="59">
        <f t="shared" si="38"/>
        <v>42.266833200216638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1.4310156389643084E-2</v>
      </c>
      <c r="BS62" s="22">
        <f t="shared" si="9"/>
        <v>1.4310156389643084E-2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0</v>
      </c>
      <c r="CE62" s="59">
        <f t="shared" si="40"/>
        <v>0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0</v>
      </c>
      <c r="CZ62" s="59">
        <f t="shared" si="42"/>
        <v>0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0</v>
      </c>
      <c r="EP62" s="59">
        <f t="shared" si="46"/>
        <v>0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>
        <f>FE62*VLOOKUP('Données projet'!$B$16,Paramètres!$A$1:$I$89,3,0)*VLOOKUP('Données projet'!$B$16,Paramètres!$A$1:$I$89,5,0)</f>
        <v>0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0</v>
      </c>
      <c r="FK62" s="59">
        <f t="shared" si="48"/>
        <v>0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>
        <f>FZ62*VLOOKUP('Données projet'!$B$17,Paramètres!$A$1:$I$89,3,0)*VLOOKUP('Données projet'!$B$17,Paramètres!$A$1:$I$89,5,0)</f>
        <v>0</v>
      </c>
      <c r="GB62" s="13" t="e">
        <f t="shared" si="49"/>
        <v>#NUM!</v>
      </c>
      <c r="GC62" s="20" t="e">
        <f t="shared" si="25"/>
        <v>#NUM!</v>
      </c>
      <c r="GD62" s="59" t="e">
        <f t="shared" si="26"/>
        <v>#NUM!</v>
      </c>
      <c r="GE62" s="59">
        <f ca="1">AVERAGE(OFFSET($GD$3,0,0,'Données projet'!$E$17+1,1))-AVERAGE(OFFSET($H$3,0,0,'Données projet'!$E$17+1,1))</f>
        <v>0</v>
      </c>
      <c r="GF62" s="59">
        <f t="shared" si="50"/>
        <v>0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projet'!$B$9,Paramètres!$A$1:$I$89,3,0)*VLOOKUP('Données projet'!$B$9,Paramètres!$A$1:$I$89,5,0)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186.90544184210381</v>
      </c>
      <c r="T63" s="59">
        <f t="shared" si="34"/>
        <v>202.05988514450519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25.102124649544415</v>
      </c>
      <c r="AA63" s="21">
        <f>EXP(-LN(2)/25)*AA62+(1-EXP(-LN(2)/25))/(LN(2)/25)*Calculateur!V63*Calculateur!X63*VLOOKUP('Données projet'!$B$9,Paramètres!$A$1:$I$89,3,0)*0.475*44/12</f>
        <v>9.9730822378817123</v>
      </c>
      <c r="AB63" s="21">
        <f>EXP(-LN(2)/2)*AB62+(1-EXP(-LN(2)/2))/(LN(2)/2)*V63*Y63*VLOOKUP('Données projet'!$B$9,Paramètres!$A$1:$I$89,3,0)*0.475*44/12</f>
        <v>0.2326482103122671</v>
      </c>
      <c r="AC63" s="22">
        <f t="shared" si="3"/>
        <v>35.307855097738397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2.625</v>
      </c>
      <c r="AI63" s="13">
        <f>IF('Données projet'!$A$62&gt;35,AI62+AH63-AQ62,IF(A63&lt;'Données projet'!$A$62,$AF$205^A63,IF(A63='Données projet'!$A$62,'Données projet'!$B$62,AI62+AH63-AQ62)))</f>
        <v>310.75</v>
      </c>
      <c r="AJ63" s="13">
        <f>AI63*VLOOKUP('Données projet'!$B$10,Paramètres!$A$1:$I$89,3,0)*VLOOKUP('Données projet'!$B$10,Paramètres!$A$1:$I$89,5,0)</f>
        <v>185.82849999999999</v>
      </c>
      <c r="AK63" s="13">
        <f t="shared" si="35"/>
        <v>46.616505227631926</v>
      </c>
      <c r="AL63" s="20">
        <f t="shared" si="4"/>
        <v>404.84171743812561</v>
      </c>
      <c r="AM63" s="59">
        <f t="shared" si="5"/>
        <v>698.17505077145893</v>
      </c>
      <c r="AN63" s="59">
        <f ca="1">AVERAGE(OFFSET($AM$3,0,0,'Données projet'!$E$10+1,1))-AVERAGE(OFFSET($H$3,0,0,'Données projet'!$E$10+1,1))</f>
        <v>186.90544184210381</v>
      </c>
      <c r="AO63" s="59">
        <f t="shared" si="36"/>
        <v>202.05988514450519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25.102124649544415</v>
      </c>
      <c r="AV63" s="21">
        <f>EXP(-LN(2)/25)*AV62+(1-EXP(-LN(2)/25))/(LN(2)/25)*Calculateur!AQ63*Calculateur!AS63*VLOOKUP('Données projet'!$B$10,Paramètres!$A$1:$I$89,3,0)*0.475*44/12</f>
        <v>9.9730822378817123</v>
      </c>
      <c r="AW63" s="21">
        <f>EXP(-LN(2)/2)*AW62+(1-EXP(-LN(2)/2))/(LN(2)/2)*AQ63*AT63*VLOOKUP('Données projet'!$B$10,Paramètres!$A$1:$I$89,3,0)*0.475*44/12</f>
        <v>0.2326482103122671</v>
      </c>
      <c r="AX63" s="21">
        <f t="shared" si="6"/>
        <v>35.307855097738397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-2.8421709430404007E-14</v>
      </c>
      <c r="BE63" s="13">
        <f>BD63*VLOOKUP('Données projet'!$B$11,Paramètres!$A$1:$I$89,3,0)*VLOOKUP('Données projet'!$B$11,Paramètres!$A$1:$I$89,5,0)</f>
        <v>-2.3055690689943732E-14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5.8584049049231908</v>
      </c>
      <c r="BJ63" s="59">
        <f t="shared" si="38"/>
        <v>42.266833200216638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1.0118808622956627E-2</v>
      </c>
      <c r="BS63" s="22">
        <f t="shared" si="9"/>
        <v>1.0118808622956627E-2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0</v>
      </c>
      <c r="CE63" s="59">
        <f t="shared" si="40"/>
        <v>0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0</v>
      </c>
      <c r="CZ63" s="59">
        <f t="shared" si="42"/>
        <v>0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0</v>
      </c>
      <c r="EP63" s="59">
        <f t="shared" si="46"/>
        <v>0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>
        <f>FE63*VLOOKUP('Données projet'!$B$16,Paramètres!$A$1:$I$89,3,0)*VLOOKUP('Données projet'!$B$16,Paramètres!$A$1:$I$89,5,0)</f>
        <v>0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0</v>
      </c>
      <c r="FK63" s="59">
        <f t="shared" si="48"/>
        <v>0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>
        <f>FZ63*VLOOKUP('Données projet'!$B$17,Paramètres!$A$1:$I$89,3,0)*VLOOKUP('Données projet'!$B$17,Paramètres!$A$1:$I$89,5,0)</f>
        <v>0</v>
      </c>
      <c r="GB63" s="13" t="e">
        <f t="shared" si="49"/>
        <v>#NUM!</v>
      </c>
      <c r="GC63" s="20" t="e">
        <f t="shared" si="25"/>
        <v>#NUM!</v>
      </c>
      <c r="GD63" s="59" t="e">
        <f t="shared" si="26"/>
        <v>#NUM!</v>
      </c>
      <c r="GE63" s="59">
        <f ca="1">AVERAGE(OFFSET($GD$3,0,0,'Données projet'!$E$17+1,1))-AVERAGE(OFFSET($H$3,0,0,'Données projet'!$E$17+1,1))</f>
        <v>0</v>
      </c>
      <c r="GF63" s="59">
        <f t="shared" si="50"/>
        <v>0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projet'!$B$9,Paramètres!$A$1:$I$89,3,0)*VLOOKUP('Données projet'!$B$9,Paramètres!$A$1:$I$89,5,0)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186.90544184210381</v>
      </c>
      <c r="T64" s="59">
        <f t="shared" si="34"/>
        <v>202.05988514450519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24.609887295951072</v>
      </c>
      <c r="AA64" s="21">
        <f>EXP(-LN(2)/25)*AA63+(1-EXP(-LN(2)/25))/(LN(2)/25)*Calculateur!V64*Calculateur!X64*VLOOKUP('Données projet'!$B$9,Paramètres!$A$1:$I$89,3,0)*0.475*44/12</f>
        <v>9.7003677796252354</v>
      </c>
      <c r="AB64" s="21">
        <f>EXP(-LN(2)/2)*AB63+(1-EXP(-LN(2)/2))/(LN(2)/2)*V64*Y64*VLOOKUP('Données projet'!$B$9,Paramètres!$A$1:$I$89,3,0)*0.475*44/12</f>
        <v>0.16450712714271815</v>
      </c>
      <c r="AC64" s="22">
        <f t="shared" si="3"/>
        <v>34.474762202719027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2.625</v>
      </c>
      <c r="AI64" s="13">
        <f>IF('Données projet'!$A$62&gt;35,AI63+AH64-AQ63,IF(A64&lt;'Données projet'!$A$62,$AF$205^A64,IF(A64='Données projet'!$A$62,'Données projet'!$B$62,AI63+AH64-AQ63)))</f>
        <v>313.375</v>
      </c>
      <c r="AJ64" s="13">
        <f>AI64*VLOOKUP('Données projet'!$B$10,Paramètres!$A$1:$I$89,3,0)*VLOOKUP('Données projet'!$B$10,Paramètres!$A$1:$I$89,5,0)</f>
        <v>187.39825000000002</v>
      </c>
      <c r="AK64" s="13">
        <f t="shared" si="35"/>
        <v>46.964282095681376</v>
      </c>
      <c r="AL64" s="20">
        <f t="shared" si="4"/>
        <v>408.18141006664501</v>
      </c>
      <c r="AM64" s="59">
        <f t="shared" si="5"/>
        <v>701.51474339997833</v>
      </c>
      <c r="AN64" s="59">
        <f ca="1">AVERAGE(OFFSET($AM$3,0,0,'Données projet'!$E$10+1,1))-AVERAGE(OFFSET($H$3,0,0,'Données projet'!$E$10+1,1))</f>
        <v>186.90544184210381</v>
      </c>
      <c r="AO64" s="59">
        <f t="shared" si="36"/>
        <v>202.05988514450519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24.609887295951072</v>
      </c>
      <c r="AV64" s="21">
        <f>EXP(-LN(2)/25)*AV63+(1-EXP(-LN(2)/25))/(LN(2)/25)*Calculateur!AQ64*Calculateur!AS64*VLOOKUP('Données projet'!$B$10,Paramètres!$A$1:$I$89,3,0)*0.475*44/12</f>
        <v>9.7003677796252354</v>
      </c>
      <c r="AW64" s="21">
        <f>EXP(-LN(2)/2)*AW63+(1-EXP(-LN(2)/2))/(LN(2)/2)*AQ64*AT64*VLOOKUP('Données projet'!$B$10,Paramètres!$A$1:$I$89,3,0)*0.475*44/12</f>
        <v>0.16450712714271815</v>
      </c>
      <c r="AX64" s="21">
        <f t="shared" si="6"/>
        <v>34.474762202719027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-2.8421709430404007E-14</v>
      </c>
      <c r="BE64" s="13">
        <f>BD64*VLOOKUP('Données projet'!$B$11,Paramètres!$A$1:$I$89,3,0)*VLOOKUP('Données projet'!$B$11,Paramètres!$A$1:$I$89,5,0)</f>
        <v>-2.3055690689943732E-14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5.8584049049231908</v>
      </c>
      <c r="BJ64" s="59">
        <f t="shared" si="38"/>
        <v>42.266833200216638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7.1550781948215422E-3</v>
      </c>
      <c r="BS64" s="22">
        <f t="shared" si="9"/>
        <v>7.1550781948215422E-3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0</v>
      </c>
      <c r="CE64" s="59">
        <f t="shared" si="40"/>
        <v>0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0</v>
      </c>
      <c r="CZ64" s="59">
        <f t="shared" si="42"/>
        <v>0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0</v>
      </c>
      <c r="EP64" s="59">
        <f t="shared" si="46"/>
        <v>0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>
        <f>FE64*VLOOKUP('Données projet'!$B$16,Paramètres!$A$1:$I$89,3,0)*VLOOKUP('Données projet'!$B$16,Paramètres!$A$1:$I$89,5,0)</f>
        <v>0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0</v>
      </c>
      <c r="FK64" s="59">
        <f t="shared" si="48"/>
        <v>0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>
        <f>FZ64*VLOOKUP('Données projet'!$B$17,Paramètres!$A$1:$I$89,3,0)*VLOOKUP('Données projet'!$B$17,Paramètres!$A$1:$I$89,5,0)</f>
        <v>0</v>
      </c>
      <c r="GB64" s="13" t="e">
        <f t="shared" si="49"/>
        <v>#NUM!</v>
      </c>
      <c r="GC64" s="20" t="e">
        <f t="shared" si="25"/>
        <v>#NUM!</v>
      </c>
      <c r="GD64" s="59" t="e">
        <f t="shared" si="26"/>
        <v>#NUM!</v>
      </c>
      <c r="GE64" s="59">
        <f ca="1">AVERAGE(OFFSET($GD$3,0,0,'Données projet'!$E$17+1,1))-AVERAGE(OFFSET($H$3,0,0,'Données projet'!$E$17+1,1))</f>
        <v>0</v>
      </c>
      <c r="GF64" s="59">
        <f t="shared" si="50"/>
        <v>0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projet'!$B$9,Paramètres!$A$1:$I$89,3,0)*VLOOKUP('Données projet'!$B$9,Paramètres!$A$1:$I$89,5,0)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186.90544184210381</v>
      </c>
      <c r="T65" s="59">
        <f t="shared" si="34"/>
        <v>202.05988514450519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projet'!$B$9,Paramètres!$A$1:$I$89,7,0))</f>
        <v>0.36000000000000004</v>
      </c>
      <c r="X65" s="16">
        <f>IF(ISNA(VLOOKUP(A65,'Données projet'!$A$35:$I$55,6,0)),0%,VLOOKUP(A65,'Données projet'!$A$35:$I$55,6,0)*VLOOKUP('Données projet'!$B$9,Paramètres!$A$1:$I$89,7,0))</f>
        <v>4.5000000000000005E-2</v>
      </c>
      <c r="Y65" s="16">
        <f>IF(ISNA(VLOOKUP(A65,'Données projet'!$A$35:$I$55,7,0)),0%,VLOOKUP(A65,'Données projet'!$A$35:$I$55,7,0))</f>
        <v>0.1</v>
      </c>
      <c r="Z65" s="21">
        <f>EXP(-LN(2)/35)*Z64+(1-EXP(-LN(2)/35))/(LN(2)/35)*V65*W65*VLOOKUP('Données projet'!$B$9,Paramètres!$A$1:$I$89,3,0)*0.475*44/12</f>
        <v>114.37146594220621</v>
      </c>
      <c r="AA65" s="21">
        <f>EXP(-LN(2)/25)*AA64+(1-EXP(-LN(2)/25))/(LN(2)/25)*Calculateur!V65*Calculateur!X65*VLOOKUP('Données projet'!$B$9,Paramètres!$A$1:$I$89,3,0)*0.475*44/12</f>
        <v>20.671215446078381</v>
      </c>
      <c r="AB65" s="21">
        <f>EXP(-LN(2)/2)*AB64+(1-EXP(-LN(2)/2))/(LN(2)/2)*V65*Y65*VLOOKUP('Données projet'!$B$9,Paramètres!$A$1:$I$89,3,0)*0.475*44/12</f>
        <v>21.511891385054255</v>
      </c>
      <c r="AC65" s="22">
        <f t="shared" si="3"/>
        <v>156.55457277333886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316</v>
      </c>
      <c r="AG65" s="12">
        <f>VLOOKUP(A65,'Données projet'!$A$61:$I$81,9,0)</f>
        <v>2.625</v>
      </c>
      <c r="AH65" s="12">
        <f t="array" ref="AH65">INDEX(AG:AG,MIN(IF(ISNUMBER(AG65:AG261),ROW(AG65:AG261),"")))</f>
        <v>2.625</v>
      </c>
      <c r="AI65" s="13">
        <f>IF('Données projet'!$A$62&gt;35,AI64+AH65-AQ64,IF(A65&lt;'Données projet'!$A$62,$AF$205^A65,IF(A65='Données projet'!$A$62,'Données projet'!$B$62,AI64+AH65-AQ64)))</f>
        <v>316</v>
      </c>
      <c r="AJ65" s="13">
        <f>AI65*VLOOKUP('Données projet'!$B$10,Paramètres!$A$1:$I$89,3,0)*VLOOKUP('Données projet'!$B$10,Paramètres!$A$1:$I$89,5,0)</f>
        <v>188.96800000000002</v>
      </c>
      <c r="AK65" s="13">
        <f t="shared" si="35"/>
        <v>47.311720031947068</v>
      </c>
      <c r="AL65" s="20">
        <f t="shared" si="4"/>
        <v>411.52051238897451</v>
      </c>
      <c r="AM65" s="59">
        <f t="shared" si="5"/>
        <v>704.85384572230782</v>
      </c>
      <c r="AN65" s="59">
        <f ca="1">AVERAGE(OFFSET($AM$3,0,0,'Données projet'!$E$10+1,1))-AVERAGE(OFFSET($H$3,0,0,'Données projet'!$E$10+1,1))</f>
        <v>186.90544184210381</v>
      </c>
      <c r="AO65" s="59">
        <f t="shared" si="36"/>
        <v>202.05988514450519</v>
      </c>
      <c r="AP65" s="15">
        <f>IF(ISNA(VLOOKUP(A65,'Données projet'!$A$61:$I$81,3,0)),0,VLOOKUP(A65,'Données projet'!$A$61:$I$81,3,0))</f>
        <v>9</v>
      </c>
      <c r="AQ65" s="15">
        <f>IF(ISNA(VLOOKUP(A65,'Données projet'!$A$61:$I$81,4,0)),0,VLOOKUP(A65,'Données projet'!$A$61:$I$81,4,0))</f>
        <v>316</v>
      </c>
      <c r="AR65" s="16">
        <f>IF(ISNA(VLOOKUP(A65,'Données projet'!$A$61:$I$81,5,0)),0%,VLOOKUP(A65,'Données projet'!$A$61:$I$81,5,0)*VLOOKUP('Données projet'!$B$10,Paramètres!$A$1:$I$89,7,0))</f>
        <v>0.36000000000000004</v>
      </c>
      <c r="AS65" s="16">
        <f>IF(ISNA(VLOOKUP(A65,'Données projet'!$A$61:$I$81,6,0)),0%,VLOOKUP(A65,'Données projet'!$A$61:$I$81,6,0)*VLOOKUP('Données projet'!$B$10,Paramètres!$A$1:$I$89,7,0))</f>
        <v>4.5000000000000005E-2</v>
      </c>
      <c r="AT65" s="16">
        <f>IF(ISNA(VLOOKUP(A65,'Données projet'!$A$61:$I$81,7,0)),0%,VLOOKUP(A65,'Données projet'!$A$61:$I$81,7,0))</f>
        <v>0.1</v>
      </c>
      <c r="AU65" s="21">
        <f>EXP(-LN(2)/35)*AU64+(1-EXP(-LN(2)/35))/(LN(2)/35)*AQ65*AR65*VLOOKUP('Données projet'!$B$10,Paramètres!$A$1:$I$89,3,0)*0.475*44/12</f>
        <v>114.37146594220621</v>
      </c>
      <c r="AV65" s="21">
        <f>EXP(-LN(2)/25)*AV64+(1-EXP(-LN(2)/25))/(LN(2)/25)*Calculateur!AQ65*Calculateur!AS65*VLOOKUP('Données projet'!$B$10,Paramètres!$A$1:$I$89,3,0)*0.475*44/12</f>
        <v>20.671215446078381</v>
      </c>
      <c r="AW65" s="21">
        <f>EXP(-LN(2)/2)*AW64+(1-EXP(-LN(2)/2))/(LN(2)/2)*AQ65*AT65*VLOOKUP('Données projet'!$B$10,Paramètres!$A$1:$I$89,3,0)*0.475*44/12</f>
        <v>21.511891385054255</v>
      </c>
      <c r="AX65" s="21">
        <f t="shared" si="6"/>
        <v>156.55457277333886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-2.8421709430404007E-14</v>
      </c>
      <c r="BE65" s="13">
        <f>BD65*VLOOKUP('Données projet'!$B$11,Paramètres!$A$1:$I$89,3,0)*VLOOKUP('Données projet'!$B$11,Paramètres!$A$1:$I$89,5,0)</f>
        <v>-2.3055690689943732E-14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5.8584049049231908</v>
      </c>
      <c r="BJ65" s="59">
        <f t="shared" si="38"/>
        <v>42.266833200216638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5.0594043114783136E-3</v>
      </c>
      <c r="BS65" s="22">
        <f t="shared" si="9"/>
        <v>5.0594043114783136E-3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0</v>
      </c>
      <c r="CE65" s="59">
        <f t="shared" si="40"/>
        <v>0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0</v>
      </c>
      <c r="CZ65" s="59">
        <f t="shared" si="42"/>
        <v>0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0</v>
      </c>
      <c r="EP65" s="59">
        <f t="shared" si="46"/>
        <v>0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>
        <f>FE65*VLOOKUP('Données projet'!$B$16,Paramètres!$A$1:$I$89,3,0)*VLOOKUP('Données projet'!$B$16,Paramètres!$A$1:$I$89,5,0)</f>
        <v>0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0</v>
      </c>
      <c r="FK65" s="59">
        <f t="shared" si="48"/>
        <v>0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>
        <f>FZ65*VLOOKUP('Données projet'!$B$17,Paramètres!$A$1:$I$89,3,0)*VLOOKUP('Données projet'!$B$17,Paramètres!$A$1:$I$89,5,0)</f>
        <v>0</v>
      </c>
      <c r="GB65" s="13" t="e">
        <f t="shared" si="49"/>
        <v>#NUM!</v>
      </c>
      <c r="GC65" s="20" t="e">
        <f t="shared" si="25"/>
        <v>#NUM!</v>
      </c>
      <c r="GD65" s="59" t="e">
        <f t="shared" si="26"/>
        <v>#NUM!</v>
      </c>
      <c r="GE65" s="59">
        <f ca="1">AVERAGE(OFFSET($GD$3,0,0,'Données projet'!$E$17+1,1))-AVERAGE(OFFSET($H$3,0,0,'Données projet'!$E$17+1,1))</f>
        <v>0</v>
      </c>
      <c r="GF65" s="59">
        <f t="shared" si="50"/>
        <v>0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186.90544184210381</v>
      </c>
      <c r="T66" s="59">
        <f t="shared" si="34"/>
        <v>202.05988514450519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112.12871125478557</v>
      </c>
      <c r="AA66" s="21">
        <f>EXP(-LN(2)/25)*AA65+(1-EXP(-LN(2)/25))/(LN(2)/25)*Calculateur!V66*Calculateur!X66*VLOOKUP('Données projet'!$B$9,Paramètres!$A$1:$I$89,3,0)*0.475*44/12</f>
        <v>20.105959972653391</v>
      </c>
      <c r="AB66" s="21">
        <f>EXP(-LN(2)/2)*AB65+(1-EXP(-LN(2)/2))/(LN(2)/2)*V66*Y66*VLOOKUP('Données projet'!$B$9,Paramètres!$A$1:$I$89,3,0)*0.475*44/12</f>
        <v>15.211204274520338</v>
      </c>
      <c r="AC66" s="22">
        <f t="shared" si="3"/>
        <v>147.44587550195928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186.90544184210381</v>
      </c>
      <c r="AO66" s="59">
        <f t="shared" si="36"/>
        <v>202.05988514450519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112.12871125478557</v>
      </c>
      <c r="AV66" s="21">
        <f>EXP(-LN(2)/25)*AV65+(1-EXP(-LN(2)/25))/(LN(2)/25)*Calculateur!AQ66*Calculateur!AS66*VLOOKUP('Données projet'!$B$10,Paramètres!$A$1:$I$89,3,0)*0.475*44/12</f>
        <v>20.105959972653391</v>
      </c>
      <c r="AW66" s="21">
        <f>EXP(-LN(2)/2)*AW65+(1-EXP(-LN(2)/2))/(LN(2)/2)*AQ66*AT66*VLOOKUP('Données projet'!$B$10,Paramètres!$A$1:$I$89,3,0)*0.475*44/12</f>
        <v>15.211204274520338</v>
      </c>
      <c r="AX66" s="21">
        <f t="shared" si="6"/>
        <v>147.44587550195928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-2.8421709430404007E-14</v>
      </c>
      <c r="BE66" s="13">
        <f>BD66*VLOOKUP('Données projet'!$B$11,Paramètres!$A$1:$I$89,3,0)*VLOOKUP('Données projet'!$B$11,Paramètres!$A$1:$I$89,5,0)</f>
        <v>-2.3055690689943732E-14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5.8584049049231908</v>
      </c>
      <c r="BJ66" s="59">
        <f t="shared" si="38"/>
        <v>42.266833200216638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3.5775390974107711E-3</v>
      </c>
      <c r="BS66" s="22">
        <f t="shared" si="9"/>
        <v>3.5775390974107711E-3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0</v>
      </c>
      <c r="CE66" s="59">
        <f t="shared" si="40"/>
        <v>0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0</v>
      </c>
      <c r="CZ66" s="59">
        <f t="shared" si="42"/>
        <v>0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0</v>
      </c>
      <c r="EP66" s="59">
        <f t="shared" si="46"/>
        <v>0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0</v>
      </c>
      <c r="FK66" s="59">
        <f t="shared" si="48"/>
        <v>0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>
        <f>FZ66*VLOOKUP('Données projet'!$B$17,Paramètres!$A$1:$I$89,3,0)*VLOOKUP('Données projet'!$B$17,Paramètres!$A$1:$I$89,5,0)</f>
        <v>0</v>
      </c>
      <c r="GB66" s="13" t="e">
        <f t="shared" si="49"/>
        <v>#NUM!</v>
      </c>
      <c r="GC66" s="20" t="e">
        <f t="shared" si="25"/>
        <v>#NUM!</v>
      </c>
      <c r="GD66" s="59" t="e">
        <f t="shared" si="26"/>
        <v>#NUM!</v>
      </c>
      <c r="GE66" s="59">
        <f ca="1">AVERAGE(OFFSET($GD$3,0,0,'Données projet'!$E$17+1,1))-AVERAGE(OFFSET($H$3,0,0,'Données projet'!$E$17+1,1))</f>
        <v>0</v>
      </c>
      <c r="GF66" s="59">
        <f t="shared" si="50"/>
        <v>0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186.90544184210381</v>
      </c>
      <c r="T67" s="59">
        <f t="shared" si="34"/>
        <v>202.05988514450519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109.92993561883996</v>
      </c>
      <c r="AA67" s="21">
        <f>EXP(-LN(2)/25)*AA66+(1-EXP(-LN(2)/25))/(LN(2)/25)*Calculateur!V67*Calculateur!X67*VLOOKUP('Données projet'!$B$9,Paramètres!$A$1:$I$89,3,0)*0.475*44/12</f>
        <v>19.556161439874703</v>
      </c>
      <c r="AB67" s="21">
        <f>EXP(-LN(2)/2)*AB66+(1-EXP(-LN(2)/2))/(LN(2)/2)*V67*Y67*VLOOKUP('Données projet'!$B$9,Paramètres!$A$1:$I$89,3,0)*0.475*44/12</f>
        <v>10.75594569252713</v>
      </c>
      <c r="AC67" s="22">
        <f t="shared" si="3"/>
        <v>140.2420427512418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186.90544184210381</v>
      </c>
      <c r="AO67" s="59">
        <f t="shared" si="36"/>
        <v>202.05988514450519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109.92993561883996</v>
      </c>
      <c r="AV67" s="21">
        <f>EXP(-LN(2)/25)*AV66+(1-EXP(-LN(2)/25))/(LN(2)/25)*Calculateur!AQ67*Calculateur!AS67*VLOOKUP('Données projet'!$B$10,Paramètres!$A$1:$I$89,3,0)*0.475*44/12</f>
        <v>19.556161439874703</v>
      </c>
      <c r="AW67" s="21">
        <f>EXP(-LN(2)/2)*AW66+(1-EXP(-LN(2)/2))/(LN(2)/2)*AQ67*AT67*VLOOKUP('Données projet'!$B$10,Paramètres!$A$1:$I$89,3,0)*0.475*44/12</f>
        <v>10.75594569252713</v>
      </c>
      <c r="AX67" s="21">
        <f t="shared" si="6"/>
        <v>140.2420427512418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-2.8421709430404007E-14</v>
      </c>
      <c r="BE67" s="13">
        <f>BD67*VLOOKUP('Données projet'!$B$11,Paramètres!$A$1:$I$89,3,0)*VLOOKUP('Données projet'!$B$11,Paramètres!$A$1:$I$89,5,0)</f>
        <v>-2.3055690689943732E-14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5.8584049049231908</v>
      </c>
      <c r="BJ67" s="59">
        <f t="shared" si="38"/>
        <v>42.266833200216638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2.5297021557391568E-3</v>
      </c>
      <c r="BS67" s="22">
        <f t="shared" si="9"/>
        <v>2.5297021557391568E-3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0</v>
      </c>
      <c r="CE67" s="59">
        <f t="shared" si="40"/>
        <v>0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0</v>
      </c>
      <c r="CZ67" s="59">
        <f t="shared" si="42"/>
        <v>0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0</v>
      </c>
      <c r="EP67" s="59">
        <f t="shared" si="46"/>
        <v>0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0</v>
      </c>
      <c r="FK67" s="59">
        <f t="shared" si="48"/>
        <v>0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>
        <f>FZ67*VLOOKUP('Données projet'!$B$17,Paramètres!$A$1:$I$89,3,0)*VLOOKUP('Données projet'!$B$17,Paramètres!$A$1:$I$89,5,0)</f>
        <v>0</v>
      </c>
      <c r="GB67" s="13" t="e">
        <f t="shared" si="49"/>
        <v>#NUM!</v>
      </c>
      <c r="GC67" s="20" t="e">
        <f t="shared" si="25"/>
        <v>#NUM!</v>
      </c>
      <c r="GD67" s="59" t="e">
        <f t="shared" si="26"/>
        <v>#NUM!</v>
      </c>
      <c r="GE67" s="59">
        <f ca="1">AVERAGE(OFFSET($GD$3,0,0,'Données projet'!$E$17+1,1))-AVERAGE(OFFSET($H$3,0,0,'Données projet'!$E$17+1,1))</f>
        <v>0</v>
      </c>
      <c r="GF67" s="59">
        <f t="shared" si="50"/>
        <v>0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186.90544184210381</v>
      </c>
      <c r="T68" s="59">
        <f t="shared" si="34"/>
        <v>202.05988514450519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107.77427663199454</v>
      </c>
      <c r="AA68" s="21">
        <f>EXP(-LN(2)/25)*AA67+(1-EXP(-LN(2)/25))/(LN(2)/25)*Calculateur!V68*Calculateur!X68*VLOOKUP('Données projet'!$B$9,Paramètres!$A$1:$I$89,3,0)*0.475*44/12</f>
        <v>19.021397176887497</v>
      </c>
      <c r="AB68" s="21">
        <f>EXP(-LN(2)/2)*AB67+(1-EXP(-LN(2)/2))/(LN(2)/2)*V68*Y68*VLOOKUP('Données projet'!$B$9,Paramètres!$A$1:$I$89,3,0)*0.475*44/12</f>
        <v>7.6056021372601696</v>
      </c>
      <c r="AC68" s="22">
        <f t="shared" ref="AC68:AC131" si="57">SUM(Z68:AB68)</f>
        <v>134.40127594614222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186.90544184210381</v>
      </c>
      <c r="AO68" s="59">
        <f t="shared" si="36"/>
        <v>202.05988514450519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107.77427663199454</v>
      </c>
      <c r="AV68" s="21">
        <f>EXP(-LN(2)/25)*AV67+(1-EXP(-LN(2)/25))/(LN(2)/25)*Calculateur!AQ68*Calculateur!AS68*VLOOKUP('Données projet'!$B$10,Paramètres!$A$1:$I$89,3,0)*0.475*44/12</f>
        <v>19.021397176887497</v>
      </c>
      <c r="AW68" s="21">
        <f>EXP(-LN(2)/2)*AW67+(1-EXP(-LN(2)/2))/(LN(2)/2)*AQ68*AT68*VLOOKUP('Données projet'!$B$10,Paramètres!$A$1:$I$89,3,0)*0.475*44/12</f>
        <v>7.6056021372601696</v>
      </c>
      <c r="AX68" s="21">
        <f t="shared" ref="AX68:AX131" si="60">SUM(AU68:AW68)</f>
        <v>134.40127594614222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-2.8421709430404007E-14</v>
      </c>
      <c r="BE68" s="13">
        <f>BD68*VLOOKUP('Données projet'!$B$11,Paramètres!$A$1:$I$89,3,0)*VLOOKUP('Données projet'!$B$11,Paramètres!$A$1:$I$89,5,0)</f>
        <v>-2.3055690689943732E-14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5.8584049049231908</v>
      </c>
      <c r="BJ68" s="59">
        <f t="shared" si="38"/>
        <v>42.266833200216638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1.7887695487053855E-3</v>
      </c>
      <c r="BS68" s="22">
        <f t="shared" ref="BS68:BS131" si="63">SUM(BP68:BR68)</f>
        <v>1.7887695487053855E-3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0</v>
      </c>
      <c r="CE68" s="59">
        <f t="shared" si="40"/>
        <v>0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0</v>
      </c>
      <c r="CZ68" s="59">
        <f t="shared" si="42"/>
        <v>0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0</v>
      </c>
      <c r="EP68" s="59">
        <f t="shared" si="46"/>
        <v>0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0</v>
      </c>
      <c r="FK68" s="59">
        <f t="shared" si="48"/>
        <v>0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>
        <f>FZ68*VLOOKUP('Données projet'!$B$17,Paramètres!$A$1:$I$89,3,0)*VLOOKUP('Données projet'!$B$17,Paramètres!$A$1:$I$89,5,0)</f>
        <v>0</v>
      </c>
      <c r="GB68" s="13" t="e">
        <f t="shared" si="49"/>
        <v>#NUM!</v>
      </c>
      <c r="GC68" s="20" t="e">
        <f t="shared" ref="GC68:GC131" si="79">(GA68+GB68)*0.475*44/12</f>
        <v>#NUM!</v>
      </c>
      <c r="GD68" s="59" t="e">
        <f t="shared" ref="GD68:GD131" si="80">GC68+(FU68+FV68)*44/12</f>
        <v>#NUM!</v>
      </c>
      <c r="GE68" s="59">
        <f ca="1">AVERAGE(OFFSET($GD$3,0,0,'Données projet'!$E$17+1,1))-AVERAGE(OFFSET($H$3,0,0,'Données projet'!$E$17+1,1))</f>
        <v>0</v>
      </c>
      <c r="GF68" s="59">
        <f t="shared" si="50"/>
        <v>0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186.90544184210381</v>
      </c>
      <c r="T69" s="59">
        <f t="shared" ref="T69:T132" si="88">$T$3</f>
        <v>202.05988514450519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105.660888803059</v>
      </c>
      <c r="AA69" s="21">
        <f>EXP(-LN(2)/25)*AA68+(1-EXP(-LN(2)/25))/(LN(2)/25)*Calculateur!V69*Calculateur!X69*VLOOKUP('Données projet'!$B$9,Paramètres!$A$1:$I$89,3,0)*0.475*44/12</f>
        <v>18.501256070793705</v>
      </c>
      <c r="AB69" s="21">
        <f>EXP(-LN(2)/2)*AB68+(1-EXP(-LN(2)/2))/(LN(2)/2)*V69*Y69*VLOOKUP('Données projet'!$B$9,Paramètres!$A$1:$I$89,3,0)*0.475*44/12</f>
        <v>5.3779728462635656</v>
      </c>
      <c r="AC69" s="22">
        <f t="shared" si="57"/>
        <v>129.54011772011626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186.90544184210381</v>
      </c>
      <c r="AO69" s="59">
        <f t="shared" ref="AO69:AO132" si="90">$AO$3</f>
        <v>202.05988514450519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105.660888803059</v>
      </c>
      <c r="AV69" s="21">
        <f>EXP(-LN(2)/25)*AV68+(1-EXP(-LN(2)/25))/(LN(2)/25)*Calculateur!AQ69*Calculateur!AS69*VLOOKUP('Données projet'!$B$10,Paramètres!$A$1:$I$89,3,0)*0.475*44/12</f>
        <v>18.501256070793705</v>
      </c>
      <c r="AW69" s="21">
        <f>EXP(-LN(2)/2)*AW68+(1-EXP(-LN(2)/2))/(LN(2)/2)*AQ69*AT69*VLOOKUP('Données projet'!$B$10,Paramètres!$A$1:$I$89,3,0)*0.475*44/12</f>
        <v>5.3779728462635656</v>
      </c>
      <c r="AX69" s="21">
        <f t="shared" si="60"/>
        <v>129.54011772011626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-2.8421709430404007E-14</v>
      </c>
      <c r="BE69" s="13">
        <f>BD69*VLOOKUP('Données projet'!$B$11,Paramètres!$A$1:$I$89,3,0)*VLOOKUP('Données projet'!$B$11,Paramètres!$A$1:$I$89,5,0)</f>
        <v>-2.3055690689943732E-14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5.8584049049231908</v>
      </c>
      <c r="BJ69" s="59">
        <f t="shared" ref="BJ69:BJ132" si="92">$BJ$3</f>
        <v>42.266833200216638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1.2648510778695784E-3</v>
      </c>
      <c r="BS69" s="22">
        <f t="shared" si="63"/>
        <v>1.2648510778695784E-3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0</v>
      </c>
      <c r="CE69" s="59">
        <f t="shared" ref="CE69:CE132" si="94">$CE$3</f>
        <v>0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0</v>
      </c>
      <c r="CZ69" s="59">
        <f t="shared" ref="CZ69:CZ132" si="96">$CZ$3</f>
        <v>0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0</v>
      </c>
      <c r="EP69" s="59">
        <f t="shared" ref="EP69:EP132" si="100">$EP$3</f>
        <v>0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0</v>
      </c>
      <c r="FK69" s="59">
        <f t="shared" ref="FK69:FK132" si="102">$FK$3</f>
        <v>0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>
        <f>FZ69*VLOOKUP('Données projet'!$B$17,Paramètres!$A$1:$I$89,3,0)*VLOOKUP('Données projet'!$B$17,Paramètres!$A$1:$I$89,5,0)</f>
        <v>0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0</v>
      </c>
      <c r="GF69" s="59">
        <f t="shared" ref="GF69:GF132" si="104">$GF$3</f>
        <v>0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186.90544184210381</v>
      </c>
      <c r="T70" s="59">
        <f t="shared" si="88"/>
        <v>202.05988514450519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103.58894322040959</v>
      </c>
      <c r="AA70" s="21">
        <f>EXP(-LN(2)/25)*AA69+(1-EXP(-LN(2)/25))/(LN(2)/25)*Calculateur!V70*Calculateur!X70*VLOOKUP('Données projet'!$B$9,Paramètres!$A$1:$I$89,3,0)*0.475*44/12</f>
        <v>17.99533825059908</v>
      </c>
      <c r="AB70" s="21">
        <f>EXP(-LN(2)/2)*AB69+(1-EXP(-LN(2)/2))/(LN(2)/2)*V70*Y70*VLOOKUP('Données projet'!$B$9,Paramètres!$A$1:$I$89,3,0)*0.475*44/12</f>
        <v>3.8028010686300857</v>
      </c>
      <c r="AC70" s="22">
        <f t="shared" si="57"/>
        <v>125.38708253963875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186.90544184210381</v>
      </c>
      <c r="AO70" s="59">
        <f t="shared" si="90"/>
        <v>202.05988514450519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103.58894322040959</v>
      </c>
      <c r="AV70" s="21">
        <f>EXP(-LN(2)/25)*AV69+(1-EXP(-LN(2)/25))/(LN(2)/25)*Calculateur!AQ70*Calculateur!AS70*VLOOKUP('Données projet'!$B$10,Paramètres!$A$1:$I$89,3,0)*0.475*44/12</f>
        <v>17.99533825059908</v>
      </c>
      <c r="AW70" s="21">
        <f>EXP(-LN(2)/2)*AW69+(1-EXP(-LN(2)/2))/(LN(2)/2)*AQ70*AT70*VLOOKUP('Données projet'!$B$10,Paramètres!$A$1:$I$89,3,0)*0.475*44/12</f>
        <v>3.8028010686300857</v>
      </c>
      <c r="AX70" s="21">
        <f t="shared" si="60"/>
        <v>125.38708253963875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-2.8421709430404007E-14</v>
      </c>
      <c r="BE70" s="13">
        <f>BD70*VLOOKUP('Données projet'!$B$11,Paramètres!$A$1:$I$89,3,0)*VLOOKUP('Données projet'!$B$11,Paramètres!$A$1:$I$89,5,0)</f>
        <v>-2.3055690689943732E-14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5.8584049049231908</v>
      </c>
      <c r="BJ70" s="59">
        <f t="shared" si="92"/>
        <v>42.266833200216638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8.9438477435269277E-4</v>
      </c>
      <c r="BS70" s="22">
        <f t="shared" si="63"/>
        <v>8.9438477435269277E-4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0</v>
      </c>
      <c r="CE70" s="59">
        <f t="shared" si="94"/>
        <v>0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0</v>
      </c>
      <c r="CZ70" s="59">
        <f t="shared" si="96"/>
        <v>0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0</v>
      </c>
      <c r="EP70" s="59">
        <f t="shared" si="100"/>
        <v>0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0</v>
      </c>
      <c r="FK70" s="59">
        <f t="shared" si="102"/>
        <v>0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>
        <f>FZ70*VLOOKUP('Données projet'!$B$17,Paramètres!$A$1:$I$89,3,0)*VLOOKUP('Données projet'!$B$17,Paramètres!$A$1:$I$89,5,0)</f>
        <v>0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0</v>
      </c>
      <c r="GF70" s="59">
        <f t="shared" si="104"/>
        <v>0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186.90544184210381</v>
      </c>
      <c r="T71" s="59">
        <f t="shared" si="88"/>
        <v>202.05988514450519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101.55762722687392</v>
      </c>
      <c r="AA71" s="21">
        <f>EXP(-LN(2)/25)*AA70+(1-EXP(-LN(2)/25))/(LN(2)/25)*Calculateur!V71*Calculateur!X71*VLOOKUP('Données projet'!$B$9,Paramètres!$A$1:$I$89,3,0)*0.475*44/12</f>
        <v>17.503254779802738</v>
      </c>
      <c r="AB71" s="21">
        <f>EXP(-LN(2)/2)*AB70+(1-EXP(-LN(2)/2))/(LN(2)/2)*V71*Y71*VLOOKUP('Données projet'!$B$9,Paramètres!$A$1:$I$89,3,0)*0.475*44/12</f>
        <v>2.6889864231317833</v>
      </c>
      <c r="AC71" s="22">
        <f t="shared" si="57"/>
        <v>121.74986842980843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186.90544184210381</v>
      </c>
      <c r="AO71" s="59">
        <f t="shared" si="90"/>
        <v>202.05988514450519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101.55762722687392</v>
      </c>
      <c r="AV71" s="21">
        <f>EXP(-LN(2)/25)*AV70+(1-EXP(-LN(2)/25))/(LN(2)/25)*Calculateur!AQ71*Calculateur!AS71*VLOOKUP('Données projet'!$B$10,Paramètres!$A$1:$I$89,3,0)*0.475*44/12</f>
        <v>17.503254779802738</v>
      </c>
      <c r="AW71" s="21">
        <f>EXP(-LN(2)/2)*AW70+(1-EXP(-LN(2)/2))/(LN(2)/2)*AQ71*AT71*VLOOKUP('Données projet'!$B$10,Paramètres!$A$1:$I$89,3,0)*0.475*44/12</f>
        <v>2.6889864231317833</v>
      </c>
      <c r="AX71" s="21">
        <f t="shared" si="60"/>
        <v>121.74986842980843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-2.8421709430404007E-14</v>
      </c>
      <c r="BE71" s="13">
        <f>BD71*VLOOKUP('Données projet'!$B$11,Paramètres!$A$1:$I$89,3,0)*VLOOKUP('Données projet'!$B$11,Paramètres!$A$1:$I$89,5,0)</f>
        <v>-2.3055690689943732E-14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5.8584049049231908</v>
      </c>
      <c r="BJ71" s="59">
        <f t="shared" si="92"/>
        <v>42.266833200216638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6.324255389347892E-4</v>
      </c>
      <c r="BS71" s="22">
        <f t="shared" si="63"/>
        <v>6.324255389347892E-4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0</v>
      </c>
      <c r="CE71" s="59">
        <f t="shared" si="94"/>
        <v>0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0</v>
      </c>
      <c r="CZ71" s="59">
        <f t="shared" si="96"/>
        <v>0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0</v>
      </c>
      <c r="EP71" s="59">
        <f t="shared" si="100"/>
        <v>0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0</v>
      </c>
      <c r="FK71" s="59">
        <f t="shared" si="102"/>
        <v>0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>
        <f>FZ71*VLOOKUP('Données projet'!$B$17,Paramètres!$A$1:$I$89,3,0)*VLOOKUP('Données projet'!$B$17,Paramètres!$A$1:$I$89,5,0)</f>
        <v>0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0</v>
      </c>
      <c r="GF71" s="59">
        <f t="shared" si="104"/>
        <v>0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186.90544184210381</v>
      </c>
      <c r="T72" s="59">
        <f t="shared" si="88"/>
        <v>202.05988514450519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99.566144100991067</v>
      </c>
      <c r="AA72" s="21">
        <f>EXP(-LN(2)/25)*AA71+(1-EXP(-LN(2)/25))/(LN(2)/25)*Calculateur!V72*Calculateur!X72*VLOOKUP('Données projet'!$B$9,Paramètres!$A$1:$I$89,3,0)*0.475*44/12</f>
        <v>17.024627357392866</v>
      </c>
      <c r="AB72" s="21">
        <f>EXP(-LN(2)/2)*AB71+(1-EXP(-LN(2)/2))/(LN(2)/2)*V72*Y72*VLOOKUP('Données projet'!$B$9,Paramètres!$A$1:$I$89,3,0)*0.475*44/12</f>
        <v>1.9014005343150431</v>
      </c>
      <c r="AC72" s="22">
        <f t="shared" si="57"/>
        <v>118.49217199269897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186.90544184210381</v>
      </c>
      <c r="AO72" s="59">
        <f t="shared" si="90"/>
        <v>202.05988514450519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99.566144100991067</v>
      </c>
      <c r="AV72" s="21">
        <f>EXP(-LN(2)/25)*AV71+(1-EXP(-LN(2)/25))/(LN(2)/25)*Calculateur!AQ72*Calculateur!AS72*VLOOKUP('Données projet'!$B$10,Paramètres!$A$1:$I$89,3,0)*0.475*44/12</f>
        <v>17.024627357392866</v>
      </c>
      <c r="AW72" s="21">
        <f>EXP(-LN(2)/2)*AW71+(1-EXP(-LN(2)/2))/(LN(2)/2)*AQ72*AT72*VLOOKUP('Données projet'!$B$10,Paramètres!$A$1:$I$89,3,0)*0.475*44/12</f>
        <v>1.9014005343150431</v>
      </c>
      <c r="AX72" s="21">
        <f t="shared" si="60"/>
        <v>118.49217199269897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-2.8421709430404007E-14</v>
      </c>
      <c r="BE72" s="13">
        <f>BD72*VLOOKUP('Données projet'!$B$11,Paramètres!$A$1:$I$89,3,0)*VLOOKUP('Données projet'!$B$11,Paramètres!$A$1:$I$89,5,0)</f>
        <v>-2.3055690689943732E-14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5.8584049049231908</v>
      </c>
      <c r="BJ72" s="59">
        <f t="shared" si="92"/>
        <v>42.266833200216638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4.4719238717634639E-4</v>
      </c>
      <c r="BS72" s="22">
        <f t="shared" si="63"/>
        <v>4.4719238717634639E-4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0</v>
      </c>
      <c r="CE72" s="59">
        <f t="shared" si="94"/>
        <v>0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0</v>
      </c>
      <c r="CZ72" s="59">
        <f t="shared" si="96"/>
        <v>0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0</v>
      </c>
      <c r="EP72" s="59">
        <f t="shared" si="100"/>
        <v>0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0</v>
      </c>
      <c r="FK72" s="59">
        <f t="shared" si="102"/>
        <v>0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>
        <f>FZ72*VLOOKUP('Données projet'!$B$17,Paramètres!$A$1:$I$89,3,0)*VLOOKUP('Données projet'!$B$17,Paramètres!$A$1:$I$89,5,0)</f>
        <v>0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0</v>
      </c>
      <c r="GF72" s="59">
        <f t="shared" si="104"/>
        <v>0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186.90544184210381</v>
      </c>
      <c r="T73" s="59">
        <f t="shared" si="88"/>
        <v>202.05988514450519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97.613712744522005</v>
      </c>
      <c r="AA73" s="21">
        <f>EXP(-LN(2)/25)*AA72+(1-EXP(-LN(2)/25))/(LN(2)/25)*Calculateur!V73*Calculateur!X73*VLOOKUP('Données projet'!$B$9,Paramètres!$A$1:$I$89,3,0)*0.475*44/12</f>
        <v>16.559088027018717</v>
      </c>
      <c r="AB73" s="21">
        <f>EXP(-LN(2)/2)*AB72+(1-EXP(-LN(2)/2))/(LN(2)/2)*V73*Y73*VLOOKUP('Données projet'!$B$9,Paramètres!$A$1:$I$89,3,0)*0.475*44/12</f>
        <v>1.3444932115658919</v>
      </c>
      <c r="AC73" s="22">
        <f t="shared" si="57"/>
        <v>115.51729398310661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186.90544184210381</v>
      </c>
      <c r="AO73" s="59">
        <f t="shared" si="90"/>
        <v>202.05988514450519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97.613712744522005</v>
      </c>
      <c r="AV73" s="21">
        <f>EXP(-LN(2)/25)*AV72+(1-EXP(-LN(2)/25))/(LN(2)/25)*Calculateur!AQ73*Calculateur!AS73*VLOOKUP('Données projet'!$B$10,Paramètres!$A$1:$I$89,3,0)*0.475*44/12</f>
        <v>16.559088027018717</v>
      </c>
      <c r="AW73" s="21">
        <f>EXP(-LN(2)/2)*AW72+(1-EXP(-LN(2)/2))/(LN(2)/2)*AQ73*AT73*VLOOKUP('Données projet'!$B$10,Paramètres!$A$1:$I$89,3,0)*0.475*44/12</f>
        <v>1.3444932115658919</v>
      </c>
      <c r="AX73" s="21">
        <f t="shared" si="60"/>
        <v>115.51729398310661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-2.8421709430404007E-14</v>
      </c>
      <c r="BE73" s="13">
        <f>BD73*VLOOKUP('Données projet'!$B$11,Paramètres!$A$1:$I$89,3,0)*VLOOKUP('Données projet'!$B$11,Paramètres!$A$1:$I$89,5,0)</f>
        <v>-2.3055690689943732E-14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5.8584049049231908</v>
      </c>
      <c r="BJ73" s="59">
        <f t="shared" si="92"/>
        <v>42.266833200216638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3.162127694673946E-4</v>
      </c>
      <c r="BS73" s="22">
        <f t="shared" si="63"/>
        <v>3.162127694673946E-4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0</v>
      </c>
      <c r="CE73" s="59">
        <f t="shared" si="94"/>
        <v>0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0</v>
      </c>
      <c r="CZ73" s="59">
        <f t="shared" si="96"/>
        <v>0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0</v>
      </c>
      <c r="EP73" s="59">
        <f t="shared" si="100"/>
        <v>0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0</v>
      </c>
      <c r="FK73" s="59">
        <f t="shared" si="102"/>
        <v>0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>
        <f>FZ73*VLOOKUP('Données projet'!$B$17,Paramètres!$A$1:$I$89,3,0)*VLOOKUP('Données projet'!$B$17,Paramètres!$A$1:$I$89,5,0)</f>
        <v>0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0</v>
      </c>
      <c r="GF73" s="59">
        <f t="shared" si="104"/>
        <v>0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186.90544184210381</v>
      </c>
      <c r="T74" s="59">
        <f t="shared" si="88"/>
        <v>202.05988514450519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95.699567376087771</v>
      </c>
      <c r="AA74" s="21">
        <f>EXP(-LN(2)/25)*AA73+(1-EXP(-LN(2)/25))/(LN(2)/25)*Calculateur!V74*Calculateur!X74*VLOOKUP('Données projet'!$B$9,Paramètres!$A$1:$I$89,3,0)*0.475*44/12</f>
        <v>16.106278894115299</v>
      </c>
      <c r="AB74" s="21">
        <f>EXP(-LN(2)/2)*AB73+(1-EXP(-LN(2)/2))/(LN(2)/2)*V74*Y74*VLOOKUP('Données projet'!$B$9,Paramètres!$A$1:$I$89,3,0)*0.475*44/12</f>
        <v>0.95070026715752165</v>
      </c>
      <c r="AC74" s="22">
        <f t="shared" si="57"/>
        <v>112.75654653736058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186.90544184210381</v>
      </c>
      <c r="AO74" s="59">
        <f t="shared" si="90"/>
        <v>202.05988514450519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95.699567376087771</v>
      </c>
      <c r="AV74" s="21">
        <f>EXP(-LN(2)/25)*AV73+(1-EXP(-LN(2)/25))/(LN(2)/25)*Calculateur!AQ74*Calculateur!AS74*VLOOKUP('Données projet'!$B$10,Paramètres!$A$1:$I$89,3,0)*0.475*44/12</f>
        <v>16.106278894115299</v>
      </c>
      <c r="AW74" s="21">
        <f>EXP(-LN(2)/2)*AW73+(1-EXP(-LN(2)/2))/(LN(2)/2)*AQ74*AT74*VLOOKUP('Données projet'!$B$10,Paramètres!$A$1:$I$89,3,0)*0.475*44/12</f>
        <v>0.95070026715752165</v>
      </c>
      <c r="AX74" s="21">
        <f t="shared" si="60"/>
        <v>112.75654653736058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-2.8421709430404007E-14</v>
      </c>
      <c r="BE74" s="13">
        <f>BD74*VLOOKUP('Données projet'!$B$11,Paramètres!$A$1:$I$89,3,0)*VLOOKUP('Données projet'!$B$11,Paramètres!$A$1:$I$89,5,0)</f>
        <v>-2.3055690689943732E-14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5.8584049049231908</v>
      </c>
      <c r="BJ74" s="59">
        <f t="shared" si="92"/>
        <v>42.266833200216638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2.2359619358817319E-4</v>
      </c>
      <c r="BS74" s="22">
        <f t="shared" si="63"/>
        <v>2.2359619358817319E-4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0</v>
      </c>
      <c r="CE74" s="59">
        <f t="shared" si="94"/>
        <v>0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0</v>
      </c>
      <c r="CZ74" s="59">
        <f t="shared" si="96"/>
        <v>0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0</v>
      </c>
      <c r="EP74" s="59">
        <f t="shared" si="100"/>
        <v>0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0</v>
      </c>
      <c r="FK74" s="59">
        <f t="shared" si="102"/>
        <v>0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>
        <f>FZ74*VLOOKUP('Données projet'!$B$17,Paramètres!$A$1:$I$89,3,0)*VLOOKUP('Données projet'!$B$17,Paramètres!$A$1:$I$89,5,0)</f>
        <v>0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0</v>
      </c>
      <c r="GF74" s="59">
        <f t="shared" si="104"/>
        <v>0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186.90544184210381</v>
      </c>
      <c r="T75" s="59">
        <f t="shared" si="88"/>
        <v>202.05988514450519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93.822957230815135</v>
      </c>
      <c r="AA75" s="21">
        <f>EXP(-LN(2)/25)*AA74+(1-EXP(-LN(2)/25))/(LN(2)/25)*Calculateur!V75*Calculateur!X75*VLOOKUP('Données projet'!$B$9,Paramètres!$A$1:$I$89,3,0)*0.475*44/12</f>
        <v>15.665851850763321</v>
      </c>
      <c r="AB75" s="21">
        <f>EXP(-LN(2)/2)*AB74+(1-EXP(-LN(2)/2))/(LN(2)/2)*V75*Y75*VLOOKUP('Données projet'!$B$9,Paramètres!$A$1:$I$89,3,0)*0.475*44/12</f>
        <v>0.67224660578294593</v>
      </c>
      <c r="AC75" s="22">
        <f t="shared" si="57"/>
        <v>110.1610556873614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186.90544184210381</v>
      </c>
      <c r="AO75" s="59">
        <f t="shared" si="90"/>
        <v>202.05988514450519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93.822957230815135</v>
      </c>
      <c r="AV75" s="21">
        <f>EXP(-LN(2)/25)*AV74+(1-EXP(-LN(2)/25))/(LN(2)/25)*Calculateur!AQ75*Calculateur!AS75*VLOOKUP('Données projet'!$B$10,Paramètres!$A$1:$I$89,3,0)*0.475*44/12</f>
        <v>15.665851850763321</v>
      </c>
      <c r="AW75" s="21">
        <f>EXP(-LN(2)/2)*AW74+(1-EXP(-LN(2)/2))/(LN(2)/2)*AQ75*AT75*VLOOKUP('Données projet'!$B$10,Paramètres!$A$1:$I$89,3,0)*0.475*44/12</f>
        <v>0.67224660578294593</v>
      </c>
      <c r="AX75" s="21">
        <f t="shared" si="60"/>
        <v>110.1610556873614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-2.8421709430404007E-14</v>
      </c>
      <c r="BE75" s="13">
        <f>BD75*VLOOKUP('Données projet'!$B$11,Paramètres!$A$1:$I$89,3,0)*VLOOKUP('Données projet'!$B$11,Paramètres!$A$1:$I$89,5,0)</f>
        <v>-2.3055690689943732E-14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5.8584049049231908</v>
      </c>
      <c r="BJ75" s="59">
        <f t="shared" si="92"/>
        <v>42.266833200216638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1.581063847336973E-4</v>
      </c>
      <c r="BS75" s="22">
        <f t="shared" si="63"/>
        <v>1.581063847336973E-4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0</v>
      </c>
      <c r="CE75" s="59">
        <f t="shared" si="94"/>
        <v>0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0</v>
      </c>
      <c r="CZ75" s="59">
        <f t="shared" si="96"/>
        <v>0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0</v>
      </c>
      <c r="EP75" s="59">
        <f t="shared" si="100"/>
        <v>0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0</v>
      </c>
      <c r="FK75" s="59">
        <f t="shared" si="102"/>
        <v>0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>
        <f>FZ75*VLOOKUP('Données projet'!$B$17,Paramètres!$A$1:$I$89,3,0)*VLOOKUP('Données projet'!$B$17,Paramètres!$A$1:$I$89,5,0)</f>
        <v>0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0</v>
      </c>
      <c r="GF75" s="59">
        <f t="shared" si="104"/>
        <v>0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186.90544184210381</v>
      </c>
      <c r="T76" s="59">
        <f t="shared" si="88"/>
        <v>202.05988514450519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91.983146265872122</v>
      </c>
      <c r="AA76" s="21">
        <f>EXP(-LN(2)/25)*AA75+(1-EXP(-LN(2)/25))/(LN(2)/25)*Calculateur!V76*Calculateur!X76*VLOOKUP('Données projet'!$B$9,Paramètres!$A$1:$I$89,3,0)*0.475*44/12</f>
        <v>15.237468308072854</v>
      </c>
      <c r="AB76" s="21">
        <f>EXP(-LN(2)/2)*AB75+(1-EXP(-LN(2)/2))/(LN(2)/2)*V76*Y76*VLOOKUP('Données projet'!$B$9,Paramètres!$A$1:$I$89,3,0)*0.475*44/12</f>
        <v>0.47535013357876083</v>
      </c>
      <c r="AC76" s="22">
        <f t="shared" si="57"/>
        <v>107.69596470752373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186.90544184210381</v>
      </c>
      <c r="AO76" s="59">
        <f t="shared" si="90"/>
        <v>202.05988514450519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91.983146265872122</v>
      </c>
      <c r="AV76" s="21">
        <f>EXP(-LN(2)/25)*AV75+(1-EXP(-LN(2)/25))/(LN(2)/25)*Calculateur!AQ76*Calculateur!AS76*VLOOKUP('Données projet'!$B$10,Paramètres!$A$1:$I$89,3,0)*0.475*44/12</f>
        <v>15.237468308072854</v>
      </c>
      <c r="AW76" s="21">
        <f>EXP(-LN(2)/2)*AW75+(1-EXP(-LN(2)/2))/(LN(2)/2)*AQ76*AT76*VLOOKUP('Données projet'!$B$10,Paramètres!$A$1:$I$89,3,0)*0.475*44/12</f>
        <v>0.47535013357876083</v>
      </c>
      <c r="AX76" s="21">
        <f t="shared" si="60"/>
        <v>107.69596470752373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-2.8421709430404007E-14</v>
      </c>
      <c r="BE76" s="13">
        <f>BD76*VLOOKUP('Données projet'!$B$11,Paramètres!$A$1:$I$89,3,0)*VLOOKUP('Données projet'!$B$11,Paramètres!$A$1:$I$89,5,0)</f>
        <v>-2.3055690689943732E-14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5.8584049049231908</v>
      </c>
      <c r="BJ76" s="59">
        <f t="shared" si="92"/>
        <v>42.266833200216638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1.117980967940866E-4</v>
      </c>
      <c r="BS76" s="22">
        <f t="shared" si="63"/>
        <v>1.117980967940866E-4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0</v>
      </c>
      <c r="CE76" s="59">
        <f t="shared" si="94"/>
        <v>0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0</v>
      </c>
      <c r="CZ76" s="59">
        <f t="shared" si="96"/>
        <v>0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0</v>
      </c>
      <c r="EP76" s="59">
        <f t="shared" si="100"/>
        <v>0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0</v>
      </c>
      <c r="FK76" s="59">
        <f t="shared" si="102"/>
        <v>0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>
        <f>FZ76*VLOOKUP('Données projet'!$B$17,Paramètres!$A$1:$I$89,3,0)*VLOOKUP('Données projet'!$B$17,Paramètres!$A$1:$I$89,5,0)</f>
        <v>0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0</v>
      </c>
      <c r="GF76" s="59">
        <f t="shared" si="104"/>
        <v>0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186.90544184210381</v>
      </c>
      <c r="T77" s="59">
        <f t="shared" si="88"/>
        <v>202.05988514450519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90.179412871777771</v>
      </c>
      <c r="AA77" s="21">
        <f>EXP(-LN(2)/25)*AA76+(1-EXP(-LN(2)/25))/(LN(2)/25)*Calculateur!V77*Calculateur!X77*VLOOKUP('Données projet'!$B$9,Paramètres!$A$1:$I$89,3,0)*0.475*44/12</f>
        <v>14.820798935884969</v>
      </c>
      <c r="AB77" s="21">
        <f>EXP(-LN(2)/2)*AB76+(1-EXP(-LN(2)/2))/(LN(2)/2)*V77*Y77*VLOOKUP('Données projet'!$B$9,Paramètres!$A$1:$I$89,3,0)*0.475*44/12</f>
        <v>0.33612330289147296</v>
      </c>
      <c r="AC77" s="22">
        <f t="shared" si="57"/>
        <v>105.33633511055422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186.90544184210381</v>
      </c>
      <c r="AO77" s="59">
        <f t="shared" si="90"/>
        <v>202.05988514450519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90.179412871777771</v>
      </c>
      <c r="AV77" s="21">
        <f>EXP(-LN(2)/25)*AV76+(1-EXP(-LN(2)/25))/(LN(2)/25)*Calculateur!AQ77*Calculateur!AS77*VLOOKUP('Données projet'!$B$10,Paramètres!$A$1:$I$89,3,0)*0.475*44/12</f>
        <v>14.820798935884969</v>
      </c>
      <c r="AW77" s="21">
        <f>EXP(-LN(2)/2)*AW76+(1-EXP(-LN(2)/2))/(LN(2)/2)*AQ77*AT77*VLOOKUP('Données projet'!$B$10,Paramètres!$A$1:$I$89,3,0)*0.475*44/12</f>
        <v>0.33612330289147296</v>
      </c>
      <c r="AX77" s="21">
        <f t="shared" si="60"/>
        <v>105.33633511055422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-2.8421709430404007E-14</v>
      </c>
      <c r="BE77" s="13">
        <f>BD77*VLOOKUP('Données projet'!$B$11,Paramètres!$A$1:$I$89,3,0)*VLOOKUP('Données projet'!$B$11,Paramètres!$A$1:$I$89,5,0)</f>
        <v>-2.3055690689943732E-14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5.8584049049231908</v>
      </c>
      <c r="BJ77" s="59">
        <f t="shared" si="92"/>
        <v>42.266833200216638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7.905319236684865E-5</v>
      </c>
      <c r="BS77" s="22">
        <f t="shared" si="63"/>
        <v>7.905319236684865E-5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0</v>
      </c>
      <c r="CE77" s="59">
        <f t="shared" si="94"/>
        <v>0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0</v>
      </c>
      <c r="CZ77" s="59">
        <f t="shared" si="96"/>
        <v>0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0</v>
      </c>
      <c r="EP77" s="59">
        <f t="shared" si="100"/>
        <v>0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0</v>
      </c>
      <c r="FK77" s="59">
        <f t="shared" si="102"/>
        <v>0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>
        <f>FZ77*VLOOKUP('Données projet'!$B$17,Paramètres!$A$1:$I$89,3,0)*VLOOKUP('Données projet'!$B$17,Paramètres!$A$1:$I$89,5,0)</f>
        <v>0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0</v>
      </c>
      <c r="GF77" s="59">
        <f t="shared" si="104"/>
        <v>0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186.90544184210381</v>
      </c>
      <c r="T78" s="59">
        <f t="shared" si="88"/>
        <v>202.05988514450519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88.411049589372865</v>
      </c>
      <c r="AA78" s="21">
        <f>EXP(-LN(2)/25)*AA77+(1-EXP(-LN(2)/25))/(LN(2)/25)*Calculateur!V78*Calculateur!X78*VLOOKUP('Données projet'!$B$9,Paramètres!$A$1:$I$89,3,0)*0.475*44/12</f>
        <v>14.415523409591252</v>
      </c>
      <c r="AB78" s="21">
        <f>EXP(-LN(2)/2)*AB77+(1-EXP(-LN(2)/2))/(LN(2)/2)*V78*Y78*VLOOKUP('Données projet'!$B$9,Paramètres!$A$1:$I$89,3,0)*0.475*44/12</f>
        <v>0.23767506678938041</v>
      </c>
      <c r="AC78" s="22">
        <f t="shared" si="57"/>
        <v>103.06424806575349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186.90544184210381</v>
      </c>
      <c r="AO78" s="59">
        <f t="shared" si="90"/>
        <v>202.05988514450519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88.411049589372865</v>
      </c>
      <c r="AV78" s="21">
        <f>EXP(-LN(2)/25)*AV77+(1-EXP(-LN(2)/25))/(LN(2)/25)*Calculateur!AQ78*Calculateur!AS78*VLOOKUP('Données projet'!$B$10,Paramètres!$A$1:$I$89,3,0)*0.475*44/12</f>
        <v>14.415523409591252</v>
      </c>
      <c r="AW78" s="21">
        <f>EXP(-LN(2)/2)*AW77+(1-EXP(-LN(2)/2))/(LN(2)/2)*AQ78*AT78*VLOOKUP('Données projet'!$B$10,Paramètres!$A$1:$I$89,3,0)*0.475*44/12</f>
        <v>0.23767506678938041</v>
      </c>
      <c r="AX78" s="21">
        <f t="shared" si="60"/>
        <v>103.06424806575349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-2.8421709430404007E-14</v>
      </c>
      <c r="BE78" s="13">
        <f>BD78*VLOOKUP('Données projet'!$B$11,Paramètres!$A$1:$I$89,3,0)*VLOOKUP('Données projet'!$B$11,Paramètres!$A$1:$I$89,5,0)</f>
        <v>-2.3055690689943732E-14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5.8584049049231908</v>
      </c>
      <c r="BJ78" s="59">
        <f t="shared" si="92"/>
        <v>42.266833200216638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5.5899048397043298E-5</v>
      </c>
      <c r="BS78" s="22">
        <f t="shared" si="63"/>
        <v>5.5899048397043298E-5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0</v>
      </c>
      <c r="CE78" s="59">
        <f t="shared" si="94"/>
        <v>0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0</v>
      </c>
      <c r="CZ78" s="59">
        <f t="shared" si="96"/>
        <v>0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0</v>
      </c>
      <c r="EP78" s="59">
        <f t="shared" si="100"/>
        <v>0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0</v>
      </c>
      <c r="FK78" s="59">
        <f t="shared" si="102"/>
        <v>0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>
        <f>FZ78*VLOOKUP('Données projet'!$B$17,Paramètres!$A$1:$I$89,3,0)*VLOOKUP('Données projet'!$B$17,Paramètres!$A$1:$I$89,5,0)</f>
        <v>0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0</v>
      </c>
      <c r="GF78" s="59">
        <f t="shared" si="104"/>
        <v>0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0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186.90544184210381</v>
      </c>
      <c r="T79" s="59">
        <f t="shared" si="88"/>
        <v>202.05988514450519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86.677362832340819</v>
      </c>
      <c r="AA79" s="21">
        <f>EXP(-LN(2)/25)*AA78+(1-EXP(-LN(2)/25))/(LN(2)/25)*Calculateur!V79*Calculateur!X79*VLOOKUP('Données projet'!$B$9,Paramètres!$A$1:$I$89,3,0)*0.475*44/12</f>
        <v>14.02133016387655</v>
      </c>
      <c r="AB79" s="21">
        <f>EXP(-LN(2)/2)*AB78+(1-EXP(-LN(2)/2))/(LN(2)/2)*V79*Y79*VLOOKUP('Données projet'!$B$9,Paramètres!$A$1:$I$89,3,0)*0.475*44/12</f>
        <v>0.16806165144573648</v>
      </c>
      <c r="AC79" s="22">
        <f t="shared" si="57"/>
        <v>100.86675464766311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186.90544184210381</v>
      </c>
      <c r="AO79" s="59">
        <f t="shared" si="90"/>
        <v>202.05988514450519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86.677362832340819</v>
      </c>
      <c r="AV79" s="21">
        <f>EXP(-LN(2)/25)*AV78+(1-EXP(-LN(2)/25))/(LN(2)/25)*Calculateur!AQ79*Calculateur!AS79*VLOOKUP('Données projet'!$B$10,Paramètres!$A$1:$I$89,3,0)*0.475*44/12</f>
        <v>14.02133016387655</v>
      </c>
      <c r="AW79" s="21">
        <f>EXP(-LN(2)/2)*AW78+(1-EXP(-LN(2)/2))/(LN(2)/2)*AQ79*AT79*VLOOKUP('Données projet'!$B$10,Paramètres!$A$1:$I$89,3,0)*0.475*44/12</f>
        <v>0.16806165144573648</v>
      </c>
      <c r="AX79" s="21">
        <f t="shared" si="60"/>
        <v>100.86675464766311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-2.8421709430404007E-14</v>
      </c>
      <c r="BE79" s="13">
        <f>BD79*VLOOKUP('Données projet'!$B$11,Paramètres!$A$1:$I$89,3,0)*VLOOKUP('Données projet'!$B$11,Paramètres!$A$1:$I$89,5,0)</f>
        <v>-2.3055690689943732E-14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5.8584049049231908</v>
      </c>
      <c r="BJ79" s="59">
        <f t="shared" si="92"/>
        <v>42.266833200216638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3.9526596183424325E-5</v>
      </c>
      <c r="BS79" s="22">
        <f t="shared" si="63"/>
        <v>3.9526596183424325E-5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0</v>
      </c>
      <c r="CE79" s="59">
        <f t="shared" si="94"/>
        <v>0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0</v>
      </c>
      <c r="CZ79" s="59">
        <f t="shared" si="96"/>
        <v>0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0</v>
      </c>
      <c r="EP79" s="59">
        <f t="shared" si="100"/>
        <v>0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0</v>
      </c>
      <c r="FK79" s="59">
        <f t="shared" si="102"/>
        <v>0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>
        <f>FZ79*VLOOKUP('Données projet'!$B$17,Paramètres!$A$1:$I$89,3,0)*VLOOKUP('Données projet'!$B$17,Paramètres!$A$1:$I$89,5,0)</f>
        <v>0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0</v>
      </c>
      <c r="GF79" s="59">
        <f t="shared" si="104"/>
        <v>0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0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186.90544184210381</v>
      </c>
      <c r="T80" s="59">
        <f t="shared" si="88"/>
        <v>202.05988514450519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84.977672615169666</v>
      </c>
      <c r="AA80" s="21">
        <f>EXP(-LN(2)/25)*AA79+(1-EXP(-LN(2)/25))/(LN(2)/25)*Calculateur!V80*Calculateur!X80*VLOOKUP('Données projet'!$B$9,Paramètres!$A$1:$I$89,3,0)*0.475*44/12</f>
        <v>13.63791615319564</v>
      </c>
      <c r="AB80" s="21">
        <f>EXP(-LN(2)/2)*AB79+(1-EXP(-LN(2)/2))/(LN(2)/2)*V80*Y80*VLOOKUP('Données projet'!$B$9,Paramètres!$A$1:$I$89,3,0)*0.475*44/12</f>
        <v>0.11883753339469021</v>
      </c>
      <c r="AC80" s="22">
        <f t="shared" si="57"/>
        <v>98.73442630176001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186.90544184210381</v>
      </c>
      <c r="AO80" s="59">
        <f t="shared" si="90"/>
        <v>202.05988514450519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84.977672615169666</v>
      </c>
      <c r="AV80" s="21">
        <f>EXP(-LN(2)/25)*AV79+(1-EXP(-LN(2)/25))/(LN(2)/25)*Calculateur!AQ80*Calculateur!AS80*VLOOKUP('Données projet'!$B$10,Paramètres!$A$1:$I$89,3,0)*0.475*44/12</f>
        <v>13.63791615319564</v>
      </c>
      <c r="AW80" s="21">
        <f>EXP(-LN(2)/2)*AW79+(1-EXP(-LN(2)/2))/(LN(2)/2)*AQ80*AT80*VLOOKUP('Données projet'!$B$10,Paramètres!$A$1:$I$89,3,0)*0.475*44/12</f>
        <v>0.11883753339469021</v>
      </c>
      <c r="AX80" s="21">
        <f t="shared" si="60"/>
        <v>98.73442630176001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-2.8421709430404007E-14</v>
      </c>
      <c r="BE80" s="13">
        <f>BD80*VLOOKUP('Données projet'!$B$11,Paramètres!$A$1:$I$89,3,0)*VLOOKUP('Données projet'!$B$11,Paramètres!$A$1:$I$89,5,0)</f>
        <v>-2.3055690689943732E-14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5.8584049049231908</v>
      </c>
      <c r="BJ80" s="59">
        <f t="shared" si="92"/>
        <v>42.266833200216638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2.7949524198521649E-5</v>
      </c>
      <c r="BS80" s="22">
        <f t="shared" si="63"/>
        <v>2.7949524198521649E-5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0</v>
      </c>
      <c r="CE80" s="59">
        <f t="shared" si="94"/>
        <v>0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0</v>
      </c>
      <c r="CZ80" s="59">
        <f t="shared" si="96"/>
        <v>0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0</v>
      </c>
      <c r="EP80" s="59">
        <f t="shared" si="100"/>
        <v>0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0</v>
      </c>
      <c r="FK80" s="59">
        <f t="shared" si="102"/>
        <v>0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>
        <f>FZ80*VLOOKUP('Données projet'!$B$17,Paramètres!$A$1:$I$89,3,0)*VLOOKUP('Données projet'!$B$17,Paramètres!$A$1:$I$89,5,0)</f>
        <v>0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0</v>
      </c>
      <c r="GF80" s="59">
        <f t="shared" si="104"/>
        <v>0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0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186.90544184210381</v>
      </c>
      <c r="T81" s="59">
        <f t="shared" si="88"/>
        <v>202.05988514450519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83.311312286448569</v>
      </c>
      <c r="AA81" s="21">
        <f>EXP(-LN(2)/25)*AA80+(1-EXP(-LN(2)/25))/(LN(2)/25)*Calculateur!V81*Calculateur!X81*VLOOKUP('Données projet'!$B$9,Paramètres!$A$1:$I$89,3,0)*0.475*44/12</f>
        <v>13.264986618799664</v>
      </c>
      <c r="AB81" s="21">
        <f>EXP(-LN(2)/2)*AB80+(1-EXP(-LN(2)/2))/(LN(2)/2)*V81*Y81*VLOOKUP('Données projet'!$B$9,Paramètres!$A$1:$I$89,3,0)*0.475*44/12</f>
        <v>8.4030825722868241E-2</v>
      </c>
      <c r="AC81" s="22">
        <f t="shared" si="57"/>
        <v>96.6603297309711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186.90544184210381</v>
      </c>
      <c r="AO81" s="59">
        <f t="shared" si="90"/>
        <v>202.05988514450519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83.311312286448569</v>
      </c>
      <c r="AV81" s="21">
        <f>EXP(-LN(2)/25)*AV80+(1-EXP(-LN(2)/25))/(LN(2)/25)*Calculateur!AQ81*Calculateur!AS81*VLOOKUP('Données projet'!$B$10,Paramètres!$A$1:$I$89,3,0)*0.475*44/12</f>
        <v>13.264986618799664</v>
      </c>
      <c r="AW81" s="21">
        <f>EXP(-LN(2)/2)*AW80+(1-EXP(-LN(2)/2))/(LN(2)/2)*AQ81*AT81*VLOOKUP('Données projet'!$B$10,Paramètres!$A$1:$I$89,3,0)*0.475*44/12</f>
        <v>8.4030825722868241E-2</v>
      </c>
      <c r="AX81" s="21">
        <f t="shared" si="60"/>
        <v>96.6603297309711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-2.8421709430404007E-14</v>
      </c>
      <c r="BE81" s="13">
        <f>BD81*VLOOKUP('Données projet'!$B$11,Paramètres!$A$1:$I$89,3,0)*VLOOKUP('Données projet'!$B$11,Paramètres!$A$1:$I$89,5,0)</f>
        <v>-2.3055690689943732E-14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5.8584049049231908</v>
      </c>
      <c r="BJ81" s="59">
        <f t="shared" si="92"/>
        <v>42.266833200216638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1.9763298091712163E-5</v>
      </c>
      <c r="BS81" s="22">
        <f t="shared" si="63"/>
        <v>1.9763298091712163E-5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0</v>
      </c>
      <c r="CE81" s="59">
        <f t="shared" si="94"/>
        <v>0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0</v>
      </c>
      <c r="CZ81" s="59">
        <f t="shared" si="96"/>
        <v>0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0</v>
      </c>
      <c r="EP81" s="59">
        <f t="shared" si="100"/>
        <v>0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0</v>
      </c>
      <c r="FK81" s="59">
        <f t="shared" si="102"/>
        <v>0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>
        <f>FZ81*VLOOKUP('Données projet'!$B$17,Paramètres!$A$1:$I$89,3,0)*VLOOKUP('Données projet'!$B$17,Paramètres!$A$1:$I$89,5,0)</f>
        <v>0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0</v>
      </c>
      <c r="GF81" s="59">
        <f t="shared" si="104"/>
        <v>0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0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186.90544184210381</v>
      </c>
      <c r="T82" s="59">
        <f t="shared" si="88"/>
        <v>202.05988514450519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81.677628267394255</v>
      </c>
      <c r="AA82" s="21">
        <f>EXP(-LN(2)/25)*AA81+(1-EXP(-LN(2)/25))/(LN(2)/25)*Calculateur!V82*Calculateur!X82*VLOOKUP('Données projet'!$B$9,Paramètres!$A$1:$I$89,3,0)*0.475*44/12</f>
        <v>12.902254862133258</v>
      </c>
      <c r="AB82" s="21">
        <f>EXP(-LN(2)/2)*AB81+(1-EXP(-LN(2)/2))/(LN(2)/2)*V82*Y82*VLOOKUP('Données projet'!$B$9,Paramètres!$A$1:$I$89,3,0)*0.475*44/12</f>
        <v>5.9418766697345103E-2</v>
      </c>
      <c r="AC82" s="22">
        <f t="shared" si="57"/>
        <v>94.639301896224865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186.90544184210381</v>
      </c>
      <c r="AO82" s="59">
        <f t="shared" si="90"/>
        <v>202.05988514450519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81.677628267394255</v>
      </c>
      <c r="AV82" s="21">
        <f>EXP(-LN(2)/25)*AV81+(1-EXP(-LN(2)/25))/(LN(2)/25)*Calculateur!AQ82*Calculateur!AS82*VLOOKUP('Données projet'!$B$10,Paramètres!$A$1:$I$89,3,0)*0.475*44/12</f>
        <v>12.902254862133258</v>
      </c>
      <c r="AW82" s="21">
        <f>EXP(-LN(2)/2)*AW81+(1-EXP(-LN(2)/2))/(LN(2)/2)*AQ82*AT82*VLOOKUP('Données projet'!$B$10,Paramètres!$A$1:$I$89,3,0)*0.475*44/12</f>
        <v>5.9418766697345103E-2</v>
      </c>
      <c r="AX82" s="21">
        <f t="shared" si="60"/>
        <v>94.639301896224865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-2.8421709430404007E-14</v>
      </c>
      <c r="BE82" s="13">
        <f>BD82*VLOOKUP('Données projet'!$B$11,Paramètres!$A$1:$I$89,3,0)*VLOOKUP('Données projet'!$B$11,Paramètres!$A$1:$I$89,5,0)</f>
        <v>-2.3055690689943732E-14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5.8584049049231908</v>
      </c>
      <c r="BJ82" s="59">
        <f t="shared" si="92"/>
        <v>42.266833200216638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1.3974762099260825E-5</v>
      </c>
      <c r="BS82" s="22">
        <f t="shared" si="63"/>
        <v>1.3974762099260825E-5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0</v>
      </c>
      <c r="CE82" s="59">
        <f t="shared" si="94"/>
        <v>0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0</v>
      </c>
      <c r="CZ82" s="59">
        <f t="shared" si="96"/>
        <v>0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0</v>
      </c>
      <c r="EP82" s="59">
        <f t="shared" si="100"/>
        <v>0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0</v>
      </c>
      <c r="FK82" s="59">
        <f t="shared" si="102"/>
        <v>0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>
        <f>FZ82*VLOOKUP('Données projet'!$B$17,Paramètres!$A$1:$I$89,3,0)*VLOOKUP('Données projet'!$B$17,Paramètres!$A$1:$I$89,5,0)</f>
        <v>0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0</v>
      </c>
      <c r="GF82" s="59">
        <f t="shared" si="104"/>
        <v>0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0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186.90544184210381</v>
      </c>
      <c r="T83" s="59">
        <f t="shared" si="88"/>
        <v>202.05988514450519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80.075979795504736</v>
      </c>
      <c r="AA83" s="21">
        <f>EXP(-LN(2)/25)*AA82+(1-EXP(-LN(2)/25))/(LN(2)/25)*Calculateur!V83*Calculateur!X83*VLOOKUP('Données projet'!$B$9,Paramètres!$A$1:$I$89,3,0)*0.475*44/12</f>
        <v>12.54944202442813</v>
      </c>
      <c r="AB83" s="21">
        <f>EXP(-LN(2)/2)*AB82+(1-EXP(-LN(2)/2))/(LN(2)/2)*V83*Y83*VLOOKUP('Données projet'!$B$9,Paramètres!$A$1:$I$89,3,0)*0.475*44/12</f>
        <v>4.201541286143412E-2</v>
      </c>
      <c r="AC83" s="22">
        <f t="shared" si="57"/>
        <v>92.667437232794299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186.90544184210381</v>
      </c>
      <c r="AO83" s="59">
        <f t="shared" si="90"/>
        <v>202.05988514450519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80.075979795504736</v>
      </c>
      <c r="AV83" s="21">
        <f>EXP(-LN(2)/25)*AV82+(1-EXP(-LN(2)/25))/(LN(2)/25)*Calculateur!AQ83*Calculateur!AS83*VLOOKUP('Données projet'!$B$10,Paramètres!$A$1:$I$89,3,0)*0.475*44/12</f>
        <v>12.54944202442813</v>
      </c>
      <c r="AW83" s="21">
        <f>EXP(-LN(2)/2)*AW82+(1-EXP(-LN(2)/2))/(LN(2)/2)*AQ83*AT83*VLOOKUP('Données projet'!$B$10,Paramètres!$A$1:$I$89,3,0)*0.475*44/12</f>
        <v>4.201541286143412E-2</v>
      </c>
      <c r="AX83" s="21">
        <f t="shared" si="60"/>
        <v>92.667437232794299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-2.8421709430404007E-14</v>
      </c>
      <c r="BE83" s="13">
        <f>BD83*VLOOKUP('Données projet'!$B$11,Paramètres!$A$1:$I$89,3,0)*VLOOKUP('Données projet'!$B$11,Paramètres!$A$1:$I$89,5,0)</f>
        <v>-2.3055690689943732E-14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5.8584049049231908</v>
      </c>
      <c r="BJ83" s="59">
        <f t="shared" si="92"/>
        <v>42.266833200216638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9.8816490458560813E-6</v>
      </c>
      <c r="BS83" s="22">
        <f t="shared" si="63"/>
        <v>9.8816490458560813E-6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0</v>
      </c>
      <c r="CE83" s="59">
        <f t="shared" si="94"/>
        <v>0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0</v>
      </c>
      <c r="CZ83" s="59">
        <f t="shared" si="96"/>
        <v>0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0</v>
      </c>
      <c r="EP83" s="59">
        <f t="shared" si="100"/>
        <v>0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0</v>
      </c>
      <c r="FK83" s="59">
        <f t="shared" si="102"/>
        <v>0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>
        <f>FZ83*VLOOKUP('Données projet'!$B$17,Paramètres!$A$1:$I$89,3,0)*VLOOKUP('Données projet'!$B$17,Paramètres!$A$1:$I$89,5,0)</f>
        <v>0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0</v>
      </c>
      <c r="GF83" s="59">
        <f t="shared" si="104"/>
        <v>0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0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186.90544184210381</v>
      </c>
      <c r="T84" s="59">
        <f t="shared" si="88"/>
        <v>202.05988514450519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78.505738673239861</v>
      </c>
      <c r="AA84" s="21">
        <f>EXP(-LN(2)/25)*AA83+(1-EXP(-LN(2)/25))/(LN(2)/25)*Calculateur!V84*Calculateur!X84*VLOOKUP('Données projet'!$B$9,Paramètres!$A$1:$I$89,3,0)*0.475*44/12</f>
        <v>12.206276872323668</v>
      </c>
      <c r="AB84" s="21">
        <f>EXP(-LN(2)/2)*AB83+(1-EXP(-LN(2)/2))/(LN(2)/2)*V84*Y84*VLOOKUP('Données projet'!$B$9,Paramètres!$A$1:$I$89,3,0)*0.475*44/12</f>
        <v>2.9709383348672552E-2</v>
      </c>
      <c r="AC84" s="22">
        <f t="shared" si="57"/>
        <v>90.741724928912205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186.90544184210381</v>
      </c>
      <c r="AO84" s="59">
        <f t="shared" si="90"/>
        <v>202.05988514450519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78.505738673239861</v>
      </c>
      <c r="AV84" s="21">
        <f>EXP(-LN(2)/25)*AV83+(1-EXP(-LN(2)/25))/(LN(2)/25)*Calculateur!AQ84*Calculateur!AS84*VLOOKUP('Données projet'!$B$10,Paramètres!$A$1:$I$89,3,0)*0.475*44/12</f>
        <v>12.206276872323668</v>
      </c>
      <c r="AW84" s="21">
        <f>EXP(-LN(2)/2)*AW83+(1-EXP(-LN(2)/2))/(LN(2)/2)*AQ84*AT84*VLOOKUP('Données projet'!$B$10,Paramètres!$A$1:$I$89,3,0)*0.475*44/12</f>
        <v>2.9709383348672552E-2</v>
      </c>
      <c r="AX84" s="21">
        <f t="shared" si="60"/>
        <v>90.741724928912205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-2.8421709430404007E-14</v>
      </c>
      <c r="BE84" s="13">
        <f>BD84*VLOOKUP('Données projet'!$B$11,Paramètres!$A$1:$I$89,3,0)*VLOOKUP('Données projet'!$B$11,Paramètres!$A$1:$I$89,5,0)</f>
        <v>-2.3055690689943732E-14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5.8584049049231908</v>
      </c>
      <c r="BJ84" s="59">
        <f t="shared" si="92"/>
        <v>42.266833200216638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6.9873810496304123E-6</v>
      </c>
      <c r="BS84" s="22">
        <f t="shared" si="63"/>
        <v>6.9873810496304123E-6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0</v>
      </c>
      <c r="CE84" s="59">
        <f t="shared" si="94"/>
        <v>0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0</v>
      </c>
      <c r="CZ84" s="59">
        <f t="shared" si="96"/>
        <v>0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0</v>
      </c>
      <c r="EP84" s="59">
        <f t="shared" si="100"/>
        <v>0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0</v>
      </c>
      <c r="FK84" s="59">
        <f t="shared" si="102"/>
        <v>0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0</v>
      </c>
      <c r="GF84" s="59">
        <f t="shared" si="104"/>
        <v>0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0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186.90544184210381</v>
      </c>
      <c r="T85" s="59">
        <f t="shared" si="88"/>
        <v>202.05988514450519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76.966289021630089</v>
      </c>
      <c r="AA85" s="21">
        <f>EXP(-LN(2)/25)*AA84+(1-EXP(-LN(2)/25))/(LN(2)/25)*Calculateur!V85*Calculateur!X85*VLOOKUP('Données projet'!$B$9,Paramètres!$A$1:$I$89,3,0)*0.475*44/12</f>
        <v>11.872495589349775</v>
      </c>
      <c r="AB85" s="21">
        <f>EXP(-LN(2)/2)*AB84+(1-EXP(-LN(2)/2))/(LN(2)/2)*V85*Y85*VLOOKUP('Données projet'!$B$9,Paramètres!$A$1:$I$89,3,0)*0.475*44/12</f>
        <v>2.100770643071706E-2</v>
      </c>
      <c r="AC85" s="22">
        <f t="shared" si="57"/>
        <v>88.859792317410594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186.90544184210381</v>
      </c>
      <c r="AO85" s="59">
        <f t="shared" si="90"/>
        <v>202.05988514450519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76.966289021630089</v>
      </c>
      <c r="AV85" s="21">
        <f>EXP(-LN(2)/25)*AV84+(1-EXP(-LN(2)/25))/(LN(2)/25)*Calculateur!AQ85*Calculateur!AS85*VLOOKUP('Données projet'!$B$10,Paramètres!$A$1:$I$89,3,0)*0.475*44/12</f>
        <v>11.872495589349775</v>
      </c>
      <c r="AW85" s="21">
        <f>EXP(-LN(2)/2)*AW84+(1-EXP(-LN(2)/2))/(LN(2)/2)*AQ85*AT85*VLOOKUP('Données projet'!$B$10,Paramètres!$A$1:$I$89,3,0)*0.475*44/12</f>
        <v>2.100770643071706E-2</v>
      </c>
      <c r="AX85" s="21">
        <f t="shared" si="60"/>
        <v>88.859792317410594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-2.8421709430404007E-14</v>
      </c>
      <c r="BE85" s="13">
        <f>BD85*VLOOKUP('Données projet'!$B$11,Paramètres!$A$1:$I$89,3,0)*VLOOKUP('Données projet'!$B$11,Paramètres!$A$1:$I$89,5,0)</f>
        <v>-2.3055690689943732E-14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5.8584049049231908</v>
      </c>
      <c r="BJ85" s="59">
        <f t="shared" si="92"/>
        <v>42.266833200216638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4.9408245229280406E-6</v>
      </c>
      <c r="BS85" s="22">
        <f t="shared" si="63"/>
        <v>4.9408245229280406E-6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0</v>
      </c>
      <c r="CE85" s="59">
        <f t="shared" si="94"/>
        <v>0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0</v>
      </c>
      <c r="CZ85" s="59">
        <f t="shared" si="96"/>
        <v>0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0</v>
      </c>
      <c r="EP85" s="59">
        <f t="shared" si="100"/>
        <v>0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0</v>
      </c>
      <c r="FK85" s="59">
        <f t="shared" si="102"/>
        <v>0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0</v>
      </c>
      <c r="GF85" s="59">
        <f t="shared" si="104"/>
        <v>0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0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186.90544184210381</v>
      </c>
      <c r="T86" s="59">
        <f t="shared" si="88"/>
        <v>202.05988514450519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75.457027038716816</v>
      </c>
      <c r="AA86" s="21">
        <f>EXP(-LN(2)/25)*AA85+(1-EXP(-LN(2)/25))/(LN(2)/25)*Calculateur!V86*Calculateur!X86*VLOOKUP('Données projet'!$B$9,Paramètres!$A$1:$I$89,3,0)*0.475*44/12</f>
        <v>11.547841573111597</v>
      </c>
      <c r="AB86" s="21">
        <f>EXP(-LN(2)/2)*AB85+(1-EXP(-LN(2)/2))/(LN(2)/2)*V86*Y86*VLOOKUP('Données projet'!$B$9,Paramètres!$A$1:$I$89,3,0)*0.475*44/12</f>
        <v>1.4854691674336276E-2</v>
      </c>
      <c r="AC86" s="22">
        <f t="shared" si="57"/>
        <v>87.019723303502744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186.90544184210381</v>
      </c>
      <c r="AO86" s="59">
        <f t="shared" si="90"/>
        <v>202.05988514450519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75.457027038716816</v>
      </c>
      <c r="AV86" s="21">
        <f>EXP(-LN(2)/25)*AV85+(1-EXP(-LN(2)/25))/(LN(2)/25)*Calculateur!AQ86*Calculateur!AS86*VLOOKUP('Données projet'!$B$10,Paramètres!$A$1:$I$89,3,0)*0.475*44/12</f>
        <v>11.547841573111597</v>
      </c>
      <c r="AW86" s="21">
        <f>EXP(-LN(2)/2)*AW85+(1-EXP(-LN(2)/2))/(LN(2)/2)*AQ86*AT86*VLOOKUP('Données projet'!$B$10,Paramètres!$A$1:$I$89,3,0)*0.475*44/12</f>
        <v>1.4854691674336276E-2</v>
      </c>
      <c r="AX86" s="21">
        <f t="shared" si="60"/>
        <v>87.019723303502744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-2.8421709430404007E-14</v>
      </c>
      <c r="BE86" s="13">
        <f>BD86*VLOOKUP('Données projet'!$B$11,Paramètres!$A$1:$I$89,3,0)*VLOOKUP('Données projet'!$B$11,Paramètres!$A$1:$I$89,5,0)</f>
        <v>-2.3055690689943732E-14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5.8584049049231908</v>
      </c>
      <c r="BJ86" s="59">
        <f t="shared" si="92"/>
        <v>42.266833200216638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3.4936905248152061E-6</v>
      </c>
      <c r="BS86" s="22">
        <f t="shared" si="63"/>
        <v>3.4936905248152061E-6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0</v>
      </c>
      <c r="CE86" s="59">
        <f t="shared" si="94"/>
        <v>0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0</v>
      </c>
      <c r="CZ86" s="59">
        <f t="shared" si="96"/>
        <v>0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0</v>
      </c>
      <c r="EP86" s="59">
        <f t="shared" si="100"/>
        <v>0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0</v>
      </c>
      <c r="FK86" s="59">
        <f t="shared" si="102"/>
        <v>0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0</v>
      </c>
      <c r="GF86" s="59">
        <f t="shared" si="104"/>
        <v>0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0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186.90544184210381</v>
      </c>
      <c r="T87" s="59">
        <f t="shared" si="88"/>
        <v>202.05988514450519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73.97736076272956</v>
      </c>
      <c r="AA87" s="21">
        <f>EXP(-LN(2)/25)*AA86+(1-EXP(-LN(2)/25))/(LN(2)/25)*Calculateur!V87*Calculateur!X87*VLOOKUP('Données projet'!$B$9,Paramètres!$A$1:$I$89,3,0)*0.475*44/12</f>
        <v>11.232065238020265</v>
      </c>
      <c r="AB87" s="21">
        <f>EXP(-LN(2)/2)*AB86+(1-EXP(-LN(2)/2))/(LN(2)/2)*V87*Y87*VLOOKUP('Données projet'!$B$9,Paramètres!$A$1:$I$89,3,0)*0.475*44/12</f>
        <v>1.050385321535853E-2</v>
      </c>
      <c r="AC87" s="22">
        <f t="shared" si="57"/>
        <v>85.219929853965183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186.90544184210381</v>
      </c>
      <c r="AO87" s="59">
        <f t="shared" si="90"/>
        <v>202.05988514450519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73.97736076272956</v>
      </c>
      <c r="AV87" s="21">
        <f>EXP(-LN(2)/25)*AV86+(1-EXP(-LN(2)/25))/(LN(2)/25)*Calculateur!AQ87*Calculateur!AS87*VLOOKUP('Données projet'!$B$10,Paramètres!$A$1:$I$89,3,0)*0.475*44/12</f>
        <v>11.232065238020265</v>
      </c>
      <c r="AW87" s="21">
        <f>EXP(-LN(2)/2)*AW86+(1-EXP(-LN(2)/2))/(LN(2)/2)*AQ87*AT87*VLOOKUP('Données projet'!$B$10,Paramètres!$A$1:$I$89,3,0)*0.475*44/12</f>
        <v>1.050385321535853E-2</v>
      </c>
      <c r="AX87" s="21">
        <f t="shared" si="60"/>
        <v>85.219929853965183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-2.8421709430404007E-14</v>
      </c>
      <c r="BE87" s="13">
        <f>BD87*VLOOKUP('Données projet'!$B$11,Paramètres!$A$1:$I$89,3,0)*VLOOKUP('Données projet'!$B$11,Paramètres!$A$1:$I$89,5,0)</f>
        <v>-2.3055690689943732E-14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5.8584049049231908</v>
      </c>
      <c r="BJ87" s="59">
        <f t="shared" si="92"/>
        <v>42.266833200216638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2.4704122614640203E-6</v>
      </c>
      <c r="BS87" s="22">
        <f t="shared" si="63"/>
        <v>2.4704122614640203E-6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0</v>
      </c>
      <c r="CE87" s="59">
        <f t="shared" si="94"/>
        <v>0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0</v>
      </c>
      <c r="CZ87" s="59">
        <f t="shared" si="96"/>
        <v>0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0</v>
      </c>
      <c r="EP87" s="59">
        <f t="shared" si="100"/>
        <v>0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0</v>
      </c>
      <c r="FK87" s="59">
        <f t="shared" si="102"/>
        <v>0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0</v>
      </c>
      <c r="GF87" s="59">
        <f t="shared" si="104"/>
        <v>0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0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186.90544184210381</v>
      </c>
      <c r="T88" s="59">
        <f t="shared" si="88"/>
        <v>202.05988514450519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72.526709839907099</v>
      </c>
      <c r="AA88" s="21">
        <f>EXP(-LN(2)/25)*AA87+(1-EXP(-LN(2)/25))/(LN(2)/25)*Calculateur!V88*Calculateur!X88*VLOOKUP('Données projet'!$B$9,Paramètres!$A$1:$I$89,3,0)*0.475*44/12</f>
        <v>10.924923823417961</v>
      </c>
      <c r="AB88" s="21">
        <f>EXP(-LN(2)/2)*AB87+(1-EXP(-LN(2)/2))/(LN(2)/2)*V88*Y88*VLOOKUP('Données projet'!$B$9,Paramètres!$A$1:$I$89,3,0)*0.475*44/12</f>
        <v>7.4273458371681379E-3</v>
      </c>
      <c r="AC88" s="22">
        <f t="shared" si="57"/>
        <v>83.459061009162227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186.90544184210381</v>
      </c>
      <c r="AO88" s="59">
        <f t="shared" si="90"/>
        <v>202.05988514450519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72.526709839907099</v>
      </c>
      <c r="AV88" s="21">
        <f>EXP(-LN(2)/25)*AV87+(1-EXP(-LN(2)/25))/(LN(2)/25)*Calculateur!AQ88*Calculateur!AS88*VLOOKUP('Données projet'!$B$10,Paramètres!$A$1:$I$89,3,0)*0.475*44/12</f>
        <v>10.924923823417961</v>
      </c>
      <c r="AW88" s="21">
        <f>EXP(-LN(2)/2)*AW87+(1-EXP(-LN(2)/2))/(LN(2)/2)*AQ88*AT88*VLOOKUP('Données projet'!$B$10,Paramètres!$A$1:$I$89,3,0)*0.475*44/12</f>
        <v>7.4273458371681379E-3</v>
      </c>
      <c r="AX88" s="21">
        <f t="shared" si="60"/>
        <v>83.459061009162227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-2.8421709430404007E-14</v>
      </c>
      <c r="BE88" s="13">
        <f>BD88*VLOOKUP('Données projet'!$B$11,Paramètres!$A$1:$I$89,3,0)*VLOOKUP('Données projet'!$B$11,Paramètres!$A$1:$I$89,5,0)</f>
        <v>-2.3055690689943732E-14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5.8584049049231908</v>
      </c>
      <c r="BJ88" s="59">
        <f t="shared" si="92"/>
        <v>42.266833200216638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1.7468452624076031E-6</v>
      </c>
      <c r="BS88" s="22">
        <f t="shared" si="63"/>
        <v>1.7468452624076031E-6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0</v>
      </c>
      <c r="CE88" s="59">
        <f t="shared" si="94"/>
        <v>0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0</v>
      </c>
      <c r="CZ88" s="59">
        <f t="shared" si="96"/>
        <v>0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0</v>
      </c>
      <c r="EP88" s="59">
        <f t="shared" si="100"/>
        <v>0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0</v>
      </c>
      <c r="FK88" s="59">
        <f t="shared" si="102"/>
        <v>0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0</v>
      </c>
      <c r="GF88" s="59">
        <f t="shared" si="104"/>
        <v>0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0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186.90544184210381</v>
      </c>
      <c r="T89" s="59">
        <f t="shared" si="88"/>
        <v>202.05988514450519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71.104505296871494</v>
      </c>
      <c r="AA89" s="21">
        <f>EXP(-LN(2)/25)*AA88+(1-EXP(-LN(2)/25))/(LN(2)/25)*Calculateur!V89*Calculateur!X89*VLOOKUP('Données projet'!$B$9,Paramètres!$A$1:$I$89,3,0)*0.475*44/12</f>
        <v>10.626181206949822</v>
      </c>
      <c r="AB89" s="21">
        <f>EXP(-LN(2)/2)*AB88+(1-EXP(-LN(2)/2))/(LN(2)/2)*V89*Y89*VLOOKUP('Données projet'!$B$9,Paramètres!$A$1:$I$89,3,0)*0.475*44/12</f>
        <v>5.2519266076792651E-3</v>
      </c>
      <c r="AC89" s="22">
        <f t="shared" si="57"/>
        <v>81.735938430429002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186.90544184210381</v>
      </c>
      <c r="AO89" s="59">
        <f t="shared" si="90"/>
        <v>202.05988514450519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71.104505296871494</v>
      </c>
      <c r="AV89" s="21">
        <f>EXP(-LN(2)/25)*AV88+(1-EXP(-LN(2)/25))/(LN(2)/25)*Calculateur!AQ89*Calculateur!AS89*VLOOKUP('Données projet'!$B$10,Paramètres!$A$1:$I$89,3,0)*0.475*44/12</f>
        <v>10.626181206949822</v>
      </c>
      <c r="AW89" s="21">
        <f>EXP(-LN(2)/2)*AW88+(1-EXP(-LN(2)/2))/(LN(2)/2)*AQ89*AT89*VLOOKUP('Données projet'!$B$10,Paramètres!$A$1:$I$89,3,0)*0.475*44/12</f>
        <v>5.2519266076792651E-3</v>
      </c>
      <c r="AX89" s="21">
        <f t="shared" si="60"/>
        <v>81.735938430429002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-2.8421709430404007E-14</v>
      </c>
      <c r="BE89" s="13">
        <f>BD89*VLOOKUP('Données projet'!$B$11,Paramètres!$A$1:$I$89,3,0)*VLOOKUP('Données projet'!$B$11,Paramètres!$A$1:$I$89,5,0)</f>
        <v>-2.3055690689943732E-14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5.8584049049231908</v>
      </c>
      <c r="BJ89" s="59">
        <f t="shared" si="92"/>
        <v>42.266833200216638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1.2352061307320102E-6</v>
      </c>
      <c r="BS89" s="22">
        <f t="shared" si="63"/>
        <v>1.2352061307320102E-6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0</v>
      </c>
      <c r="CE89" s="59">
        <f t="shared" si="94"/>
        <v>0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0</v>
      </c>
      <c r="CZ89" s="59">
        <f t="shared" si="96"/>
        <v>0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0</v>
      </c>
      <c r="EP89" s="59">
        <f t="shared" si="100"/>
        <v>0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0</v>
      </c>
      <c r="FK89" s="59">
        <f t="shared" si="102"/>
        <v>0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0</v>
      </c>
      <c r="GF89" s="59">
        <f t="shared" si="104"/>
        <v>0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0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186.90544184210381</v>
      </c>
      <c r="T90" s="59">
        <f t="shared" si="88"/>
        <v>202.05988514450519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69.710189317465691</v>
      </c>
      <c r="AA90" s="21">
        <f>EXP(-LN(2)/25)*AA89+(1-EXP(-LN(2)/25))/(LN(2)/25)*Calculateur!V90*Calculateur!X90*VLOOKUP('Données projet'!$B$9,Paramètres!$A$1:$I$89,3,0)*0.475*44/12</f>
        <v>10.335607723039196</v>
      </c>
      <c r="AB90" s="21">
        <f>EXP(-LN(2)/2)*AB89+(1-EXP(-LN(2)/2))/(LN(2)/2)*V90*Y90*VLOOKUP('Données projet'!$B$9,Paramètres!$A$1:$I$89,3,0)*0.475*44/12</f>
        <v>3.7136729185840689E-3</v>
      </c>
      <c r="AC90" s="22">
        <f t="shared" si="57"/>
        <v>80.049510713423459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186.90544184210381</v>
      </c>
      <c r="AO90" s="59">
        <f t="shared" si="90"/>
        <v>202.05988514450519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69.710189317465691</v>
      </c>
      <c r="AV90" s="21">
        <f>EXP(-LN(2)/25)*AV89+(1-EXP(-LN(2)/25))/(LN(2)/25)*Calculateur!AQ90*Calculateur!AS90*VLOOKUP('Données projet'!$B$10,Paramètres!$A$1:$I$89,3,0)*0.475*44/12</f>
        <v>10.335607723039196</v>
      </c>
      <c r="AW90" s="21">
        <f>EXP(-LN(2)/2)*AW89+(1-EXP(-LN(2)/2))/(LN(2)/2)*AQ90*AT90*VLOOKUP('Données projet'!$B$10,Paramètres!$A$1:$I$89,3,0)*0.475*44/12</f>
        <v>3.7136729185840689E-3</v>
      </c>
      <c r="AX90" s="21">
        <f t="shared" si="60"/>
        <v>80.049510713423459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-2.8421709430404007E-14</v>
      </c>
      <c r="BE90" s="13">
        <f>BD90*VLOOKUP('Données projet'!$B$11,Paramètres!$A$1:$I$89,3,0)*VLOOKUP('Données projet'!$B$11,Paramètres!$A$1:$I$89,5,0)</f>
        <v>-2.3055690689943732E-14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5.8584049049231908</v>
      </c>
      <c r="BJ90" s="59">
        <f t="shared" si="92"/>
        <v>42.266833200216638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8.7342263120380154E-7</v>
      </c>
      <c r="BS90" s="22">
        <f t="shared" si="63"/>
        <v>8.7342263120380154E-7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0</v>
      </c>
      <c r="CE90" s="59">
        <f t="shared" si="94"/>
        <v>0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0</v>
      </c>
      <c r="CZ90" s="59">
        <f t="shared" si="96"/>
        <v>0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0</v>
      </c>
      <c r="EP90" s="59">
        <f t="shared" si="100"/>
        <v>0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0</v>
      </c>
      <c r="FK90" s="59">
        <f t="shared" si="102"/>
        <v>0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0</v>
      </c>
      <c r="GF90" s="59">
        <f t="shared" si="104"/>
        <v>0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0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186.90544184210381</v>
      </c>
      <c r="T91" s="59">
        <f t="shared" si="88"/>
        <v>202.05988514450519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68.343215023967275</v>
      </c>
      <c r="AA91" s="21">
        <f>EXP(-LN(2)/25)*AA90+(1-EXP(-LN(2)/25))/(LN(2)/25)*Calculateur!V91*Calculateur!X91*VLOOKUP('Données projet'!$B$9,Paramètres!$A$1:$I$89,3,0)*0.475*44/12</f>
        <v>10.052979986326701</v>
      </c>
      <c r="AB91" s="21">
        <f>EXP(-LN(2)/2)*AB90+(1-EXP(-LN(2)/2))/(LN(2)/2)*V91*Y91*VLOOKUP('Données projet'!$B$9,Paramètres!$A$1:$I$89,3,0)*0.475*44/12</f>
        <v>2.6259633038396325E-3</v>
      </c>
      <c r="AC91" s="22">
        <f t="shared" si="57"/>
        <v>78.398820973597822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186.90544184210381</v>
      </c>
      <c r="AO91" s="59">
        <f t="shared" si="90"/>
        <v>202.05988514450519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68.343215023967275</v>
      </c>
      <c r="AV91" s="21">
        <f>EXP(-LN(2)/25)*AV90+(1-EXP(-LN(2)/25))/(LN(2)/25)*Calculateur!AQ91*Calculateur!AS91*VLOOKUP('Données projet'!$B$10,Paramètres!$A$1:$I$89,3,0)*0.475*44/12</f>
        <v>10.052979986326701</v>
      </c>
      <c r="AW91" s="21">
        <f>EXP(-LN(2)/2)*AW90+(1-EXP(-LN(2)/2))/(LN(2)/2)*AQ91*AT91*VLOOKUP('Données projet'!$B$10,Paramètres!$A$1:$I$89,3,0)*0.475*44/12</f>
        <v>2.6259633038396325E-3</v>
      </c>
      <c r="AX91" s="21">
        <f t="shared" si="60"/>
        <v>78.398820973597822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-2.8421709430404007E-14</v>
      </c>
      <c r="BE91" s="13">
        <f>BD91*VLOOKUP('Données projet'!$B$11,Paramètres!$A$1:$I$89,3,0)*VLOOKUP('Données projet'!$B$11,Paramètres!$A$1:$I$89,5,0)</f>
        <v>-2.3055690689943732E-14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5.8584049049231908</v>
      </c>
      <c r="BJ91" s="59">
        <f t="shared" si="92"/>
        <v>42.266833200216638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6.1760306536600508E-7</v>
      </c>
      <c r="BS91" s="22">
        <f t="shared" si="63"/>
        <v>6.1760306536600508E-7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0</v>
      </c>
      <c r="CE91" s="59">
        <f t="shared" si="94"/>
        <v>0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0</v>
      </c>
      <c r="CZ91" s="59">
        <f t="shared" si="96"/>
        <v>0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0</v>
      </c>
      <c r="EP91" s="59">
        <f t="shared" si="100"/>
        <v>0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0</v>
      </c>
      <c r="FK91" s="59">
        <f t="shared" si="102"/>
        <v>0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0</v>
      </c>
      <c r="GF91" s="59">
        <f t="shared" si="104"/>
        <v>0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0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186.90544184210381</v>
      </c>
      <c r="T92" s="59">
        <f t="shared" si="88"/>
        <v>202.05988514450519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67.003046262592363</v>
      </c>
      <c r="AA92" s="21">
        <f>EXP(-LN(2)/25)*AA91+(1-EXP(-LN(2)/25))/(LN(2)/25)*Calculateur!V92*Calculateur!X92*VLOOKUP('Données projet'!$B$9,Paramètres!$A$1:$I$89,3,0)*0.475*44/12</f>
        <v>9.7780807199373569</v>
      </c>
      <c r="AB92" s="21">
        <f>EXP(-LN(2)/2)*AB91+(1-EXP(-LN(2)/2))/(LN(2)/2)*V92*Y92*VLOOKUP('Données projet'!$B$9,Paramètres!$A$1:$I$89,3,0)*0.475*44/12</f>
        <v>1.8568364592920345E-3</v>
      </c>
      <c r="AC92" s="22">
        <f t="shared" si="57"/>
        <v>76.78298381898901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186.90544184210381</v>
      </c>
      <c r="AO92" s="59">
        <f t="shared" si="90"/>
        <v>202.05988514450519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67.003046262592363</v>
      </c>
      <c r="AV92" s="21">
        <f>EXP(-LN(2)/25)*AV91+(1-EXP(-LN(2)/25))/(LN(2)/25)*Calculateur!AQ92*Calculateur!AS92*VLOOKUP('Données projet'!$B$10,Paramètres!$A$1:$I$89,3,0)*0.475*44/12</f>
        <v>9.7780807199373569</v>
      </c>
      <c r="AW92" s="21">
        <f>EXP(-LN(2)/2)*AW91+(1-EXP(-LN(2)/2))/(LN(2)/2)*AQ92*AT92*VLOOKUP('Données projet'!$B$10,Paramètres!$A$1:$I$89,3,0)*0.475*44/12</f>
        <v>1.8568364592920345E-3</v>
      </c>
      <c r="AX92" s="21">
        <f t="shared" si="60"/>
        <v>76.78298381898901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-2.8421709430404007E-14</v>
      </c>
      <c r="BE92" s="13">
        <f>BD92*VLOOKUP('Données projet'!$B$11,Paramètres!$A$1:$I$89,3,0)*VLOOKUP('Données projet'!$B$11,Paramètres!$A$1:$I$89,5,0)</f>
        <v>-2.3055690689943732E-14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5.8584049049231908</v>
      </c>
      <c r="BJ92" s="59">
        <f t="shared" si="92"/>
        <v>42.266833200216638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4.3671131560190077E-7</v>
      </c>
      <c r="BS92" s="22">
        <f t="shared" si="63"/>
        <v>4.3671131560190077E-7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0</v>
      </c>
      <c r="CE92" s="59">
        <f t="shared" si="94"/>
        <v>0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0</v>
      </c>
      <c r="CZ92" s="59">
        <f t="shared" si="96"/>
        <v>0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0</v>
      </c>
      <c r="EP92" s="59">
        <f t="shared" si="100"/>
        <v>0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0</v>
      </c>
      <c r="FK92" s="59">
        <f t="shared" si="102"/>
        <v>0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0</v>
      </c>
      <c r="GF92" s="59">
        <f t="shared" si="104"/>
        <v>0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0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186.90544184210381</v>
      </c>
      <c r="T93" s="59">
        <f t="shared" si="88"/>
        <v>202.05988514450519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65.68915739320579</v>
      </c>
      <c r="AA93" s="21">
        <f>EXP(-LN(2)/25)*AA92+(1-EXP(-LN(2)/25))/(LN(2)/25)*Calculateur!V93*Calculateur!X93*VLOOKUP('Données projet'!$B$9,Paramètres!$A$1:$I$89,3,0)*0.475*44/12</f>
        <v>9.5106985884437538</v>
      </c>
      <c r="AB93" s="21">
        <f>EXP(-LN(2)/2)*AB92+(1-EXP(-LN(2)/2))/(LN(2)/2)*V93*Y93*VLOOKUP('Données projet'!$B$9,Paramètres!$A$1:$I$89,3,0)*0.475*44/12</f>
        <v>1.3129816519198163E-3</v>
      </c>
      <c r="AC93" s="22">
        <f t="shared" si="57"/>
        <v>75.20116896330147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186.90544184210381</v>
      </c>
      <c r="AO93" s="59">
        <f t="shared" si="90"/>
        <v>202.05988514450519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65.68915739320579</v>
      </c>
      <c r="AV93" s="21">
        <f>EXP(-LN(2)/25)*AV92+(1-EXP(-LN(2)/25))/(LN(2)/25)*Calculateur!AQ93*Calculateur!AS93*VLOOKUP('Données projet'!$B$10,Paramètres!$A$1:$I$89,3,0)*0.475*44/12</f>
        <v>9.5106985884437538</v>
      </c>
      <c r="AW93" s="21">
        <f>EXP(-LN(2)/2)*AW92+(1-EXP(-LN(2)/2))/(LN(2)/2)*AQ93*AT93*VLOOKUP('Données projet'!$B$10,Paramètres!$A$1:$I$89,3,0)*0.475*44/12</f>
        <v>1.3129816519198163E-3</v>
      </c>
      <c r="AX93" s="21">
        <f t="shared" si="60"/>
        <v>75.20116896330147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-2.8421709430404007E-14</v>
      </c>
      <c r="BE93" s="13">
        <f>BD93*VLOOKUP('Données projet'!$B$11,Paramètres!$A$1:$I$89,3,0)*VLOOKUP('Données projet'!$B$11,Paramètres!$A$1:$I$89,5,0)</f>
        <v>-2.3055690689943732E-14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5.8584049049231908</v>
      </c>
      <c r="BJ93" s="59">
        <f t="shared" si="92"/>
        <v>42.266833200216638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3.0880153268300254E-7</v>
      </c>
      <c r="BS93" s="22">
        <f t="shared" si="63"/>
        <v>3.0880153268300254E-7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0</v>
      </c>
      <c r="CE93" s="59">
        <f t="shared" si="94"/>
        <v>0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0</v>
      </c>
      <c r="CZ93" s="59">
        <f t="shared" si="96"/>
        <v>0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0</v>
      </c>
      <c r="EP93" s="59">
        <f t="shared" si="100"/>
        <v>0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0</v>
      </c>
      <c r="FK93" s="59">
        <f t="shared" si="102"/>
        <v>0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0</v>
      </c>
      <c r="GF93" s="59">
        <f t="shared" si="104"/>
        <v>0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0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186.90544184210381</v>
      </c>
      <c r="T94" s="59">
        <f t="shared" si="88"/>
        <v>202.05988514450519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64.4010330831548</v>
      </c>
      <c r="AA94" s="21">
        <f>EXP(-LN(2)/25)*AA93+(1-EXP(-LN(2)/25))/(LN(2)/25)*Calculateur!V94*Calculateur!X94*VLOOKUP('Données projet'!$B$9,Paramètres!$A$1:$I$89,3,0)*0.475*44/12</f>
        <v>9.2506280353968577</v>
      </c>
      <c r="AB94" s="21">
        <f>EXP(-LN(2)/2)*AB93+(1-EXP(-LN(2)/2))/(LN(2)/2)*V94*Y94*VLOOKUP('Données projet'!$B$9,Paramètres!$A$1:$I$89,3,0)*0.475*44/12</f>
        <v>9.2841822964601724E-4</v>
      </c>
      <c r="AC94" s="22">
        <f t="shared" si="57"/>
        <v>73.652589536781306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186.90544184210381</v>
      </c>
      <c r="AO94" s="59">
        <f t="shared" si="90"/>
        <v>202.05988514450519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64.4010330831548</v>
      </c>
      <c r="AV94" s="21">
        <f>EXP(-LN(2)/25)*AV93+(1-EXP(-LN(2)/25))/(LN(2)/25)*Calculateur!AQ94*Calculateur!AS94*VLOOKUP('Données projet'!$B$10,Paramètres!$A$1:$I$89,3,0)*0.475*44/12</f>
        <v>9.2506280353968577</v>
      </c>
      <c r="AW94" s="21">
        <f>EXP(-LN(2)/2)*AW93+(1-EXP(-LN(2)/2))/(LN(2)/2)*AQ94*AT94*VLOOKUP('Données projet'!$B$10,Paramètres!$A$1:$I$89,3,0)*0.475*44/12</f>
        <v>9.2841822964601724E-4</v>
      </c>
      <c r="AX94" s="21">
        <f t="shared" si="60"/>
        <v>73.652589536781306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-2.8421709430404007E-14</v>
      </c>
      <c r="BE94" s="13">
        <f>BD94*VLOOKUP('Données projet'!$B$11,Paramètres!$A$1:$I$89,3,0)*VLOOKUP('Données projet'!$B$11,Paramètres!$A$1:$I$89,5,0)</f>
        <v>-2.3055690689943732E-14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5.8584049049231908</v>
      </c>
      <c r="BJ94" s="59">
        <f t="shared" si="92"/>
        <v>42.266833200216638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2.1835565780095038E-7</v>
      </c>
      <c r="BS94" s="22">
        <f t="shared" si="63"/>
        <v>2.1835565780095038E-7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0</v>
      </c>
      <c r="CE94" s="59">
        <f t="shared" si="94"/>
        <v>0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0</v>
      </c>
      <c r="CZ94" s="59">
        <f t="shared" si="96"/>
        <v>0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0</v>
      </c>
      <c r="EP94" s="59">
        <f t="shared" si="100"/>
        <v>0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0</v>
      </c>
      <c r="FK94" s="59">
        <f t="shared" si="102"/>
        <v>0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0</v>
      </c>
      <c r="GF94" s="59">
        <f t="shared" si="104"/>
        <v>0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0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186.90544184210381</v>
      </c>
      <c r="T95" s="59">
        <f t="shared" si="88"/>
        <v>202.05988514450519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63.138168105145667</v>
      </c>
      <c r="AA95" s="21">
        <f>EXP(-LN(2)/25)*AA94+(1-EXP(-LN(2)/25))/(LN(2)/25)*Calculateur!V95*Calculateur!X95*VLOOKUP('Données projet'!$B$9,Paramètres!$A$1:$I$89,3,0)*0.475*44/12</f>
        <v>8.9976691252995451</v>
      </c>
      <c r="AB95" s="21">
        <f>EXP(-LN(2)/2)*AB94+(1-EXP(-LN(2)/2))/(LN(2)/2)*V95*Y95*VLOOKUP('Données projet'!$B$9,Paramètres!$A$1:$I$89,3,0)*0.475*44/12</f>
        <v>6.5649082595990813E-4</v>
      </c>
      <c r="AC95" s="22">
        <f t="shared" si="57"/>
        <v>72.136493721271179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186.90544184210381</v>
      </c>
      <c r="AO95" s="59">
        <f t="shared" si="90"/>
        <v>202.05988514450519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63.138168105145667</v>
      </c>
      <c r="AV95" s="21">
        <f>EXP(-LN(2)/25)*AV94+(1-EXP(-LN(2)/25))/(LN(2)/25)*Calculateur!AQ95*Calculateur!AS95*VLOOKUP('Données projet'!$B$10,Paramètres!$A$1:$I$89,3,0)*0.475*44/12</f>
        <v>8.9976691252995451</v>
      </c>
      <c r="AW95" s="21">
        <f>EXP(-LN(2)/2)*AW94+(1-EXP(-LN(2)/2))/(LN(2)/2)*AQ95*AT95*VLOOKUP('Données projet'!$B$10,Paramètres!$A$1:$I$89,3,0)*0.475*44/12</f>
        <v>6.5649082595990813E-4</v>
      </c>
      <c r="AX95" s="21">
        <f t="shared" si="60"/>
        <v>72.136493721271179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-2.8421709430404007E-14</v>
      </c>
      <c r="BE95" s="13">
        <f>BD95*VLOOKUP('Données projet'!$B$11,Paramètres!$A$1:$I$89,3,0)*VLOOKUP('Données projet'!$B$11,Paramètres!$A$1:$I$89,5,0)</f>
        <v>-2.3055690689943732E-14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5.8584049049231908</v>
      </c>
      <c r="BJ95" s="59">
        <f t="shared" si="92"/>
        <v>42.266833200216638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1.5440076634150127E-7</v>
      </c>
      <c r="BS95" s="22">
        <f t="shared" si="63"/>
        <v>1.5440076634150127E-7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0</v>
      </c>
      <c r="CE95" s="59">
        <f t="shared" si="94"/>
        <v>0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0</v>
      </c>
      <c r="CZ95" s="59">
        <f t="shared" si="96"/>
        <v>0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0</v>
      </c>
      <c r="EP95" s="59">
        <f t="shared" si="100"/>
        <v>0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0</v>
      </c>
      <c r="FK95" s="59">
        <f t="shared" si="102"/>
        <v>0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0</v>
      </c>
      <c r="GF95" s="59">
        <f t="shared" si="104"/>
        <v>0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0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186.90544184210381</v>
      </c>
      <c r="T96" s="59">
        <f t="shared" si="88"/>
        <v>202.05988514450519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61.90006713908371</v>
      </c>
      <c r="AA96" s="21">
        <f>EXP(-LN(2)/25)*AA95+(1-EXP(-LN(2)/25))/(LN(2)/25)*Calculateur!V96*Calculateur!X96*VLOOKUP('Données projet'!$B$9,Paramètres!$A$1:$I$89,3,0)*0.475*44/12</f>
        <v>8.7516273899013743</v>
      </c>
      <c r="AB96" s="21">
        <f>EXP(-LN(2)/2)*AB95+(1-EXP(-LN(2)/2))/(LN(2)/2)*V96*Y96*VLOOKUP('Données projet'!$B$9,Paramètres!$A$1:$I$89,3,0)*0.475*44/12</f>
        <v>4.6420911482300862E-4</v>
      </c>
      <c r="AC96" s="22">
        <f t="shared" si="57"/>
        <v>70.652158738099914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186.90544184210381</v>
      </c>
      <c r="AO96" s="59">
        <f t="shared" si="90"/>
        <v>202.05988514450519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61.90006713908371</v>
      </c>
      <c r="AV96" s="21">
        <f>EXP(-LN(2)/25)*AV95+(1-EXP(-LN(2)/25))/(LN(2)/25)*Calculateur!AQ96*Calculateur!AS96*VLOOKUP('Données projet'!$B$10,Paramètres!$A$1:$I$89,3,0)*0.475*44/12</f>
        <v>8.7516273899013743</v>
      </c>
      <c r="AW96" s="21">
        <f>EXP(-LN(2)/2)*AW95+(1-EXP(-LN(2)/2))/(LN(2)/2)*AQ96*AT96*VLOOKUP('Données projet'!$B$10,Paramètres!$A$1:$I$89,3,0)*0.475*44/12</f>
        <v>4.6420911482300862E-4</v>
      </c>
      <c r="AX96" s="21">
        <f t="shared" si="60"/>
        <v>70.652158738099914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-2.8421709430404007E-14</v>
      </c>
      <c r="BE96" s="13">
        <f>BD96*VLOOKUP('Données projet'!$B$11,Paramètres!$A$1:$I$89,3,0)*VLOOKUP('Données projet'!$B$11,Paramètres!$A$1:$I$89,5,0)</f>
        <v>-2.3055690689943732E-14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5.8584049049231908</v>
      </c>
      <c r="BJ96" s="59">
        <f t="shared" si="92"/>
        <v>42.266833200216638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1.0917782890047519E-7</v>
      </c>
      <c r="BS96" s="22">
        <f t="shared" si="63"/>
        <v>1.0917782890047519E-7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0</v>
      </c>
      <c r="CE96" s="59">
        <f t="shared" si="94"/>
        <v>0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0</v>
      </c>
      <c r="CZ96" s="59">
        <f t="shared" si="96"/>
        <v>0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0</v>
      </c>
      <c r="EP96" s="59">
        <f t="shared" si="100"/>
        <v>0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0</v>
      </c>
      <c r="FK96" s="59">
        <f t="shared" si="102"/>
        <v>0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0</v>
      </c>
      <c r="GF96" s="59">
        <f t="shared" si="104"/>
        <v>0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0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186.90544184210381</v>
      </c>
      <c r="T97" s="59">
        <f t="shared" si="88"/>
        <v>202.05988514450519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60.686244577799208</v>
      </c>
      <c r="AA97" s="21">
        <f>EXP(-LN(2)/25)*AA96+(1-EXP(-LN(2)/25))/(LN(2)/25)*Calculateur!V97*Calculateur!X97*VLOOKUP('Données projet'!$B$9,Paramètres!$A$1:$I$89,3,0)*0.475*44/12</f>
        <v>8.5123136786964384</v>
      </c>
      <c r="AB97" s="21">
        <f>EXP(-LN(2)/2)*AB96+(1-EXP(-LN(2)/2))/(LN(2)/2)*V97*Y97*VLOOKUP('Données projet'!$B$9,Paramètres!$A$1:$I$89,3,0)*0.475*44/12</f>
        <v>3.2824541297995407E-4</v>
      </c>
      <c r="AC97" s="22">
        <f t="shared" si="57"/>
        <v>69.198886501908618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186.90544184210381</v>
      </c>
      <c r="AO97" s="59">
        <f t="shared" si="90"/>
        <v>202.05988514450519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60.686244577799208</v>
      </c>
      <c r="AV97" s="21">
        <f>EXP(-LN(2)/25)*AV96+(1-EXP(-LN(2)/25))/(LN(2)/25)*Calculateur!AQ97*Calculateur!AS97*VLOOKUP('Données projet'!$B$10,Paramètres!$A$1:$I$89,3,0)*0.475*44/12</f>
        <v>8.5123136786964384</v>
      </c>
      <c r="AW97" s="21">
        <f>EXP(-LN(2)/2)*AW96+(1-EXP(-LN(2)/2))/(LN(2)/2)*AQ97*AT97*VLOOKUP('Données projet'!$B$10,Paramètres!$A$1:$I$89,3,0)*0.475*44/12</f>
        <v>3.2824541297995407E-4</v>
      </c>
      <c r="AX97" s="21">
        <f t="shared" si="60"/>
        <v>69.198886501908618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-2.8421709430404007E-14</v>
      </c>
      <c r="BE97" s="13">
        <f>BD97*VLOOKUP('Données projet'!$B$11,Paramètres!$A$1:$I$89,3,0)*VLOOKUP('Données projet'!$B$11,Paramètres!$A$1:$I$89,5,0)</f>
        <v>-2.3055690689943732E-14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5.8584049049231908</v>
      </c>
      <c r="BJ97" s="59">
        <f t="shared" si="92"/>
        <v>42.266833200216638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7.7200383170750635E-8</v>
      </c>
      <c r="BS97" s="22">
        <f t="shared" si="63"/>
        <v>7.7200383170750635E-8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0</v>
      </c>
      <c r="CE97" s="59">
        <f t="shared" si="94"/>
        <v>0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0</v>
      </c>
      <c r="CZ97" s="59">
        <f t="shared" si="96"/>
        <v>0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0</v>
      </c>
      <c r="EP97" s="59">
        <f t="shared" si="100"/>
        <v>0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0</v>
      </c>
      <c r="FK97" s="59">
        <f t="shared" si="102"/>
        <v>0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0</v>
      </c>
      <c r="GF97" s="59">
        <f t="shared" si="104"/>
        <v>0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0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186.90544184210381</v>
      </c>
      <c r="T98" s="59">
        <f t="shared" si="88"/>
        <v>202.05988514450519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59.496224336582834</v>
      </c>
      <c r="AA98" s="21">
        <f>EXP(-LN(2)/25)*AA97+(1-EXP(-LN(2)/25))/(LN(2)/25)*Calculateur!V98*Calculateur!X98*VLOOKUP('Données projet'!$B$9,Paramètres!$A$1:$I$89,3,0)*0.475*44/12</f>
        <v>8.2795440135093639</v>
      </c>
      <c r="AB98" s="21">
        <f>EXP(-LN(2)/2)*AB97+(1-EXP(-LN(2)/2))/(LN(2)/2)*V98*Y98*VLOOKUP('Données projet'!$B$9,Paramètres!$A$1:$I$89,3,0)*0.475*44/12</f>
        <v>2.3210455741150431E-4</v>
      </c>
      <c r="AC98" s="22">
        <f t="shared" si="57"/>
        <v>67.776000454649605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186.90544184210381</v>
      </c>
      <c r="AO98" s="59">
        <f t="shared" si="90"/>
        <v>202.05988514450519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59.496224336582834</v>
      </c>
      <c r="AV98" s="21">
        <f>EXP(-LN(2)/25)*AV97+(1-EXP(-LN(2)/25))/(LN(2)/25)*Calculateur!AQ98*Calculateur!AS98*VLOOKUP('Données projet'!$B$10,Paramètres!$A$1:$I$89,3,0)*0.475*44/12</f>
        <v>8.2795440135093639</v>
      </c>
      <c r="AW98" s="21">
        <f>EXP(-LN(2)/2)*AW97+(1-EXP(-LN(2)/2))/(LN(2)/2)*AQ98*AT98*VLOOKUP('Données projet'!$B$10,Paramètres!$A$1:$I$89,3,0)*0.475*44/12</f>
        <v>2.3210455741150431E-4</v>
      </c>
      <c r="AX98" s="21">
        <f t="shared" si="60"/>
        <v>67.776000454649605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-2.8421709430404007E-14</v>
      </c>
      <c r="BE98" s="13">
        <f>BD98*VLOOKUP('Données projet'!$B$11,Paramètres!$A$1:$I$89,3,0)*VLOOKUP('Données projet'!$B$11,Paramètres!$A$1:$I$89,5,0)</f>
        <v>-2.3055690689943732E-14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5.8584049049231908</v>
      </c>
      <c r="BJ98" s="59">
        <f t="shared" si="92"/>
        <v>42.266833200216638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5.4588914450237596E-8</v>
      </c>
      <c r="BS98" s="22">
        <f t="shared" si="63"/>
        <v>5.4588914450237596E-8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0</v>
      </c>
      <c r="CE98" s="59">
        <f t="shared" si="94"/>
        <v>0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0</v>
      </c>
      <c r="CZ98" s="59">
        <f t="shared" si="96"/>
        <v>0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0</v>
      </c>
      <c r="EP98" s="59">
        <f t="shared" si="100"/>
        <v>0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0</v>
      </c>
      <c r="FK98" s="59">
        <f t="shared" si="102"/>
        <v>0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0</v>
      </c>
      <c r="GF98" s="59">
        <f t="shared" si="104"/>
        <v>0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0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186.90544184210381</v>
      </c>
      <c r="T99" s="59">
        <f t="shared" si="88"/>
        <v>202.05988514450519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58.329539666456036</v>
      </c>
      <c r="AA99" s="21">
        <f>EXP(-LN(2)/25)*AA98+(1-EXP(-LN(2)/25))/(LN(2)/25)*Calculateur!V99*Calculateur!X99*VLOOKUP('Données projet'!$B$9,Paramètres!$A$1:$I$89,3,0)*0.475*44/12</f>
        <v>8.0531394470576529</v>
      </c>
      <c r="AB99" s="21">
        <f>EXP(-LN(2)/2)*AB98+(1-EXP(-LN(2)/2))/(LN(2)/2)*V99*Y99*VLOOKUP('Données projet'!$B$9,Paramètres!$A$1:$I$89,3,0)*0.475*44/12</f>
        <v>1.6412270648997703E-4</v>
      </c>
      <c r="AC99" s="22">
        <f t="shared" si="57"/>
        <v>66.382843236220182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186.90544184210381</v>
      </c>
      <c r="AO99" s="59">
        <f t="shared" si="90"/>
        <v>202.05988514450519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58.329539666456036</v>
      </c>
      <c r="AV99" s="21">
        <f>EXP(-LN(2)/25)*AV98+(1-EXP(-LN(2)/25))/(LN(2)/25)*Calculateur!AQ99*Calculateur!AS99*VLOOKUP('Données projet'!$B$10,Paramètres!$A$1:$I$89,3,0)*0.475*44/12</f>
        <v>8.0531394470576529</v>
      </c>
      <c r="AW99" s="21">
        <f>EXP(-LN(2)/2)*AW98+(1-EXP(-LN(2)/2))/(LN(2)/2)*AQ99*AT99*VLOOKUP('Données projet'!$B$10,Paramètres!$A$1:$I$89,3,0)*0.475*44/12</f>
        <v>1.6412270648997703E-4</v>
      </c>
      <c r="AX99" s="21">
        <f t="shared" si="60"/>
        <v>66.382843236220182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-2.8421709430404007E-14</v>
      </c>
      <c r="BE99" s="13">
        <f>BD99*VLOOKUP('Données projet'!$B$11,Paramètres!$A$1:$I$89,3,0)*VLOOKUP('Données projet'!$B$11,Paramètres!$A$1:$I$89,5,0)</f>
        <v>-2.3055690689943732E-14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5.8584049049231908</v>
      </c>
      <c r="BJ99" s="59">
        <f t="shared" si="92"/>
        <v>42.266833200216638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3.8600191585375317E-8</v>
      </c>
      <c r="BS99" s="22">
        <f t="shared" si="63"/>
        <v>3.8600191585375317E-8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0</v>
      </c>
      <c r="CE99" s="59">
        <f t="shared" si="94"/>
        <v>0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0</v>
      </c>
      <c r="CZ99" s="59">
        <f t="shared" si="96"/>
        <v>0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0</v>
      </c>
      <c r="EP99" s="59">
        <f t="shared" si="100"/>
        <v>0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0</v>
      </c>
      <c r="FK99" s="59">
        <f t="shared" si="102"/>
        <v>0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0</v>
      </c>
      <c r="GF99" s="59">
        <f t="shared" si="104"/>
        <v>0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0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186.90544184210381</v>
      </c>
      <c r="T100" s="59">
        <f t="shared" si="88"/>
        <v>202.05988514450519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57.185732971103043</v>
      </c>
      <c r="AA100" s="21">
        <f>EXP(-LN(2)/25)*AA99+(1-EXP(-LN(2)/25))/(LN(2)/25)*Calculateur!V100*Calculateur!X100*VLOOKUP('Données projet'!$B$9,Paramètres!$A$1:$I$89,3,0)*0.475*44/12</f>
        <v>7.8329259253816632</v>
      </c>
      <c r="AB100" s="21">
        <f>EXP(-LN(2)/2)*AB99+(1-EXP(-LN(2)/2))/(LN(2)/2)*V100*Y100*VLOOKUP('Données projet'!$B$9,Paramètres!$A$1:$I$89,3,0)*0.475*44/12</f>
        <v>1.1605227870575215E-4</v>
      </c>
      <c r="AC100" s="22">
        <f t="shared" si="57"/>
        <v>65.018774948763408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186.90544184210381</v>
      </c>
      <c r="AO100" s="59">
        <f t="shared" si="90"/>
        <v>202.05988514450519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57.185732971103043</v>
      </c>
      <c r="AV100" s="21">
        <f>EXP(-LN(2)/25)*AV99+(1-EXP(-LN(2)/25))/(LN(2)/25)*Calculateur!AQ100*Calculateur!AS100*VLOOKUP('Données projet'!$B$10,Paramètres!$A$1:$I$89,3,0)*0.475*44/12</f>
        <v>7.8329259253816632</v>
      </c>
      <c r="AW100" s="21">
        <f>EXP(-LN(2)/2)*AW99+(1-EXP(-LN(2)/2))/(LN(2)/2)*AQ100*AT100*VLOOKUP('Données projet'!$B$10,Paramètres!$A$1:$I$89,3,0)*0.475*44/12</f>
        <v>1.1605227870575215E-4</v>
      </c>
      <c r="AX100" s="21">
        <f t="shared" si="60"/>
        <v>65.018774948763408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-2.8421709430404007E-14</v>
      </c>
      <c r="BE100" s="13">
        <f>BD100*VLOOKUP('Données projet'!$B$11,Paramètres!$A$1:$I$89,3,0)*VLOOKUP('Données projet'!$B$11,Paramètres!$A$1:$I$89,5,0)</f>
        <v>-2.3055690689943732E-14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5.8584049049231908</v>
      </c>
      <c r="BJ100" s="59">
        <f t="shared" si="92"/>
        <v>42.266833200216638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2.7294457225118798E-8</v>
      </c>
      <c r="BS100" s="22">
        <f t="shared" si="63"/>
        <v>2.7294457225118798E-8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0</v>
      </c>
      <c r="CE100" s="59">
        <f t="shared" si="94"/>
        <v>0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0</v>
      </c>
      <c r="CZ100" s="59">
        <f t="shared" si="96"/>
        <v>0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0</v>
      </c>
      <c r="EP100" s="59">
        <f t="shared" si="100"/>
        <v>0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0</v>
      </c>
      <c r="FK100" s="59">
        <f t="shared" si="102"/>
        <v>0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0</v>
      </c>
      <c r="GF100" s="59">
        <f t="shared" si="104"/>
        <v>0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0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186.90544184210381</v>
      </c>
      <c r="T101" s="59">
        <f t="shared" si="88"/>
        <v>202.05988514450519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56.064355627392729</v>
      </c>
      <c r="AA101" s="21">
        <f>EXP(-LN(2)/25)*AA100+(1-EXP(-LN(2)/25))/(LN(2)/25)*Calculateur!V101*Calculateur!X101*VLOOKUP('Données projet'!$B$9,Paramètres!$A$1:$I$89,3,0)*0.475*44/12</f>
        <v>7.6187341540364297</v>
      </c>
      <c r="AB101" s="21">
        <f>EXP(-LN(2)/2)*AB100+(1-EXP(-LN(2)/2))/(LN(2)/2)*V101*Y101*VLOOKUP('Données projet'!$B$9,Paramètres!$A$1:$I$89,3,0)*0.475*44/12</f>
        <v>8.2061353244988517E-5</v>
      </c>
      <c r="AC101" s="22">
        <f t="shared" si="57"/>
        <v>63.683171842782407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186.90544184210381</v>
      </c>
      <c r="AO101" s="59">
        <f t="shared" si="90"/>
        <v>202.05988514450519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56.064355627392729</v>
      </c>
      <c r="AV101" s="21">
        <f>EXP(-LN(2)/25)*AV100+(1-EXP(-LN(2)/25))/(LN(2)/25)*Calculateur!AQ101*Calculateur!AS101*VLOOKUP('Données projet'!$B$10,Paramètres!$A$1:$I$89,3,0)*0.475*44/12</f>
        <v>7.6187341540364297</v>
      </c>
      <c r="AW101" s="21">
        <f>EXP(-LN(2)/2)*AW100+(1-EXP(-LN(2)/2))/(LN(2)/2)*AQ101*AT101*VLOOKUP('Données projet'!$B$10,Paramètres!$A$1:$I$89,3,0)*0.475*44/12</f>
        <v>8.2061353244988517E-5</v>
      </c>
      <c r="AX101" s="21">
        <f t="shared" si="60"/>
        <v>63.683171842782407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-2.8421709430404007E-14</v>
      </c>
      <c r="BE101" s="13">
        <f>BD101*VLOOKUP('Données projet'!$B$11,Paramètres!$A$1:$I$89,3,0)*VLOOKUP('Données projet'!$B$11,Paramètres!$A$1:$I$89,5,0)</f>
        <v>-2.3055690689943732E-14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5.8584049049231908</v>
      </c>
      <c r="BJ101" s="59">
        <f t="shared" si="92"/>
        <v>42.266833200216638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1.9300095792687659E-8</v>
      </c>
      <c r="BS101" s="22">
        <f t="shared" si="63"/>
        <v>1.9300095792687659E-8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0</v>
      </c>
      <c r="CE101" s="59">
        <f t="shared" si="94"/>
        <v>0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0</v>
      </c>
      <c r="CZ101" s="59">
        <f t="shared" si="96"/>
        <v>0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0</v>
      </c>
      <c r="EP101" s="59">
        <f t="shared" si="100"/>
        <v>0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0</v>
      </c>
      <c r="FK101" s="59">
        <f t="shared" si="102"/>
        <v>0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0</v>
      </c>
      <c r="GF101" s="59">
        <f t="shared" si="104"/>
        <v>0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0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186.90544184210381</v>
      </c>
      <c r="T102" s="59">
        <f t="shared" si="88"/>
        <v>202.05988514450519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54.964967809419925</v>
      </c>
      <c r="AA102" s="21">
        <f>EXP(-LN(2)/25)*AA101+(1-EXP(-LN(2)/25))/(LN(2)/25)*Calculateur!V102*Calculateur!X102*VLOOKUP('Données projet'!$B$9,Paramètres!$A$1:$I$89,3,0)*0.475*44/12</f>
        <v>7.4103994679424874</v>
      </c>
      <c r="AB102" s="21">
        <f>EXP(-LN(2)/2)*AB101+(1-EXP(-LN(2)/2))/(LN(2)/2)*V102*Y102*VLOOKUP('Données projet'!$B$9,Paramètres!$A$1:$I$89,3,0)*0.475*44/12</f>
        <v>5.8026139352876077E-5</v>
      </c>
      <c r="AC102" s="22">
        <f t="shared" si="57"/>
        <v>62.375425303501764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186.90544184210381</v>
      </c>
      <c r="AO102" s="59">
        <f t="shared" si="90"/>
        <v>202.05988514450519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54.964967809419925</v>
      </c>
      <c r="AV102" s="21">
        <f>EXP(-LN(2)/25)*AV101+(1-EXP(-LN(2)/25))/(LN(2)/25)*Calculateur!AQ102*Calculateur!AS102*VLOOKUP('Données projet'!$B$10,Paramètres!$A$1:$I$89,3,0)*0.475*44/12</f>
        <v>7.4103994679424874</v>
      </c>
      <c r="AW102" s="21">
        <f>EXP(-LN(2)/2)*AW101+(1-EXP(-LN(2)/2))/(LN(2)/2)*AQ102*AT102*VLOOKUP('Données projet'!$B$10,Paramètres!$A$1:$I$89,3,0)*0.475*44/12</f>
        <v>5.8026139352876077E-5</v>
      </c>
      <c r="AX102" s="21">
        <f t="shared" si="60"/>
        <v>62.375425303501764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-2.8421709430404007E-14</v>
      </c>
      <c r="BE102" s="13">
        <f>BD102*VLOOKUP('Données projet'!$B$11,Paramètres!$A$1:$I$89,3,0)*VLOOKUP('Données projet'!$B$11,Paramètres!$A$1:$I$89,5,0)</f>
        <v>-2.3055690689943732E-14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5.8584049049231908</v>
      </c>
      <c r="BJ102" s="59">
        <f t="shared" si="92"/>
        <v>42.266833200216638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1.3647228612559399E-8</v>
      </c>
      <c r="BS102" s="22">
        <f t="shared" si="63"/>
        <v>1.3647228612559399E-8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0</v>
      </c>
      <c r="CE102" s="59">
        <f t="shared" si="94"/>
        <v>0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0</v>
      </c>
      <c r="CZ102" s="59">
        <f t="shared" si="96"/>
        <v>0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0</v>
      </c>
      <c r="EP102" s="59">
        <f t="shared" si="100"/>
        <v>0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0</v>
      </c>
      <c r="FK102" s="59">
        <f t="shared" si="102"/>
        <v>0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0</v>
      </c>
      <c r="GF102" s="59">
        <f t="shared" si="104"/>
        <v>0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0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186.90544184210381</v>
      </c>
      <c r="T103" s="59">
        <f t="shared" si="88"/>
        <v>202.05988514450519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53.887138315997213</v>
      </c>
      <c r="AA103" s="21">
        <f>EXP(-LN(2)/25)*AA102+(1-EXP(-LN(2)/25))/(LN(2)/25)*Calculateur!V103*Calculateur!X103*VLOOKUP('Données projet'!$B$9,Paramètres!$A$1:$I$89,3,0)*0.475*44/12</f>
        <v>7.2077617047956286</v>
      </c>
      <c r="AB103" s="21">
        <f>EXP(-LN(2)/2)*AB102+(1-EXP(-LN(2)/2))/(LN(2)/2)*V103*Y103*VLOOKUP('Données projet'!$B$9,Paramètres!$A$1:$I$89,3,0)*0.475*44/12</f>
        <v>4.1030676622494258E-5</v>
      </c>
      <c r="AC103" s="22">
        <f t="shared" si="57"/>
        <v>61.094941051469462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186.90544184210381</v>
      </c>
      <c r="AO103" s="59">
        <f t="shared" si="90"/>
        <v>202.05988514450519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53.887138315997213</v>
      </c>
      <c r="AV103" s="21">
        <f>EXP(-LN(2)/25)*AV102+(1-EXP(-LN(2)/25))/(LN(2)/25)*Calculateur!AQ103*Calculateur!AS103*VLOOKUP('Données projet'!$B$10,Paramètres!$A$1:$I$89,3,0)*0.475*44/12</f>
        <v>7.2077617047956286</v>
      </c>
      <c r="AW103" s="21">
        <f>EXP(-LN(2)/2)*AW102+(1-EXP(-LN(2)/2))/(LN(2)/2)*AQ103*AT103*VLOOKUP('Données projet'!$B$10,Paramètres!$A$1:$I$89,3,0)*0.475*44/12</f>
        <v>4.1030676622494258E-5</v>
      </c>
      <c r="AX103" s="21">
        <f t="shared" si="60"/>
        <v>61.094941051469462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-2.8421709430404007E-14</v>
      </c>
      <c r="BE103" s="13">
        <f>BD103*VLOOKUP('Données projet'!$B$11,Paramètres!$A$1:$I$89,3,0)*VLOOKUP('Données projet'!$B$11,Paramètres!$A$1:$I$89,5,0)</f>
        <v>-2.3055690689943732E-14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5.8584049049231908</v>
      </c>
      <c r="BJ103" s="59">
        <f t="shared" si="92"/>
        <v>42.266833200216638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9.6500478963438294E-9</v>
      </c>
      <c r="BS103" s="22">
        <f t="shared" si="63"/>
        <v>9.6500478963438294E-9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0</v>
      </c>
      <c r="CE103" s="59">
        <f t="shared" si="94"/>
        <v>0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0</v>
      </c>
      <c r="CZ103" s="59">
        <f t="shared" si="96"/>
        <v>0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0</v>
      </c>
      <c r="EP103" s="59">
        <f t="shared" si="100"/>
        <v>0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0</v>
      </c>
      <c r="FK103" s="59">
        <f t="shared" si="102"/>
        <v>0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0</v>
      </c>
      <c r="GF103" s="59">
        <f t="shared" si="104"/>
        <v>0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0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186.90544184210381</v>
      </c>
      <c r="T104" s="59">
        <f t="shared" si="88"/>
        <v>202.05988514450519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52.830444401529441</v>
      </c>
      <c r="AA104" s="21">
        <f>EXP(-LN(2)/25)*AA103+(1-EXP(-LN(2)/25))/(LN(2)/25)*Calculateur!V104*Calculateur!X104*VLOOKUP('Données projet'!$B$9,Paramètres!$A$1:$I$89,3,0)*0.475*44/12</f>
        <v>7.0106650819382779</v>
      </c>
      <c r="AB104" s="21">
        <f>EXP(-LN(2)/2)*AB103+(1-EXP(-LN(2)/2))/(LN(2)/2)*V104*Y104*VLOOKUP('Données projet'!$B$9,Paramètres!$A$1:$I$89,3,0)*0.475*44/12</f>
        <v>2.9013069676438039E-5</v>
      </c>
      <c r="AC104" s="22">
        <f t="shared" si="57"/>
        <v>59.841138496537397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186.90544184210381</v>
      </c>
      <c r="AO104" s="59">
        <f t="shared" si="90"/>
        <v>202.05988514450519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52.830444401529441</v>
      </c>
      <c r="AV104" s="21">
        <f>EXP(-LN(2)/25)*AV103+(1-EXP(-LN(2)/25))/(LN(2)/25)*Calculateur!AQ104*Calculateur!AS104*VLOOKUP('Données projet'!$B$10,Paramètres!$A$1:$I$89,3,0)*0.475*44/12</f>
        <v>7.0106650819382779</v>
      </c>
      <c r="AW104" s="21">
        <f>EXP(-LN(2)/2)*AW103+(1-EXP(-LN(2)/2))/(LN(2)/2)*AQ104*AT104*VLOOKUP('Données projet'!$B$10,Paramètres!$A$1:$I$89,3,0)*0.475*44/12</f>
        <v>2.9013069676438039E-5</v>
      </c>
      <c r="AX104" s="21">
        <f t="shared" si="60"/>
        <v>59.841138496537397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-2.3055690689943732E-14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5.8584049049231908</v>
      </c>
      <c r="BJ104" s="59">
        <f t="shared" si="92"/>
        <v>42.266833200216638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6.8236143062796995E-9</v>
      </c>
      <c r="BS104" s="22">
        <f t="shared" si="63"/>
        <v>6.8236143062796995E-9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0</v>
      </c>
      <c r="CE104" s="59">
        <f t="shared" si="94"/>
        <v>0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0</v>
      </c>
      <c r="CZ104" s="59">
        <f t="shared" si="96"/>
        <v>0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0</v>
      </c>
      <c r="EP104" s="59">
        <f t="shared" si="100"/>
        <v>0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0</v>
      </c>
      <c r="FK104" s="59">
        <f t="shared" si="102"/>
        <v>0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0</v>
      </c>
      <c r="GF104" s="59">
        <f t="shared" si="104"/>
        <v>0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0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186.90544184210381</v>
      </c>
      <c r="T105" s="59">
        <f t="shared" si="88"/>
        <v>202.05988514450519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51.794471610204738</v>
      </c>
      <c r="AA105" s="21">
        <f>EXP(-LN(2)/25)*AA104+(1-EXP(-LN(2)/25))/(LN(2)/25)*Calculateur!V105*Calculateur!X105*VLOOKUP('Données projet'!$B$9,Paramètres!$A$1:$I$89,3,0)*0.475*44/12</f>
        <v>6.8189580765978217</v>
      </c>
      <c r="AB105" s="21">
        <f>EXP(-LN(2)/2)*AB104+(1-EXP(-LN(2)/2))/(LN(2)/2)*V105*Y105*VLOOKUP('Données projet'!$B$9,Paramètres!$A$1:$I$89,3,0)*0.475*44/12</f>
        <v>2.0515338311247129E-5</v>
      </c>
      <c r="AC105" s="22">
        <f t="shared" si="57"/>
        <v>58.613450202140875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186.90544184210381</v>
      </c>
      <c r="AO105" s="59">
        <f t="shared" si="90"/>
        <v>202.05988514450519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51.794471610204738</v>
      </c>
      <c r="AV105" s="21">
        <f>EXP(-LN(2)/25)*AV104+(1-EXP(-LN(2)/25))/(LN(2)/25)*Calculateur!AQ105*Calculateur!AS105*VLOOKUP('Données projet'!$B$10,Paramètres!$A$1:$I$89,3,0)*0.475*44/12</f>
        <v>6.8189580765978217</v>
      </c>
      <c r="AW105" s="21">
        <f>EXP(-LN(2)/2)*AW104+(1-EXP(-LN(2)/2))/(LN(2)/2)*AQ105*AT105*VLOOKUP('Données projet'!$B$10,Paramètres!$A$1:$I$89,3,0)*0.475*44/12</f>
        <v>2.0515338311247129E-5</v>
      </c>
      <c r="AX105" s="21">
        <f t="shared" si="60"/>
        <v>58.613450202140875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-2.3055690689943732E-14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5.8584049049231908</v>
      </c>
      <c r="BJ105" s="59">
        <f t="shared" si="92"/>
        <v>42.266833200216638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4.8250239481719147E-9</v>
      </c>
      <c r="BS105" s="22">
        <f t="shared" si="63"/>
        <v>4.8250239481719147E-9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0</v>
      </c>
      <c r="CE105" s="59">
        <f t="shared" si="94"/>
        <v>0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0</v>
      </c>
      <c r="CZ105" s="59">
        <f t="shared" si="96"/>
        <v>0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0</v>
      </c>
      <c r="EP105" s="59">
        <f t="shared" si="100"/>
        <v>0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0</v>
      </c>
      <c r="FK105" s="59">
        <f t="shared" si="102"/>
        <v>0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0</v>
      </c>
      <c r="GF105" s="59">
        <f t="shared" si="104"/>
        <v>0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0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186.90544184210381</v>
      </c>
      <c r="T106" s="59">
        <f t="shared" si="88"/>
        <v>202.05988514450519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50.778813613436903</v>
      </c>
      <c r="AA106" s="21">
        <f>EXP(-LN(2)/25)*AA105+(1-EXP(-LN(2)/25))/(LN(2)/25)*Calculateur!V106*Calculateur!X106*VLOOKUP('Données projet'!$B$9,Paramètres!$A$1:$I$89,3,0)*0.475*44/12</f>
        <v>6.6324933093998339</v>
      </c>
      <c r="AB106" s="21">
        <f>EXP(-LN(2)/2)*AB105+(1-EXP(-LN(2)/2))/(LN(2)/2)*V106*Y106*VLOOKUP('Données projet'!$B$9,Paramètres!$A$1:$I$89,3,0)*0.475*44/12</f>
        <v>1.4506534838219019E-5</v>
      </c>
      <c r="AC106" s="22">
        <f t="shared" si="57"/>
        <v>57.411321429371576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186.90544184210381</v>
      </c>
      <c r="AO106" s="59">
        <f t="shared" si="90"/>
        <v>202.05988514450519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50.778813613436903</v>
      </c>
      <c r="AV106" s="21">
        <f>EXP(-LN(2)/25)*AV105+(1-EXP(-LN(2)/25))/(LN(2)/25)*Calculateur!AQ106*Calculateur!AS106*VLOOKUP('Données projet'!$B$10,Paramètres!$A$1:$I$89,3,0)*0.475*44/12</f>
        <v>6.6324933093998339</v>
      </c>
      <c r="AW106" s="21">
        <f>EXP(-LN(2)/2)*AW105+(1-EXP(-LN(2)/2))/(LN(2)/2)*AQ106*AT106*VLOOKUP('Données projet'!$B$10,Paramètres!$A$1:$I$89,3,0)*0.475*44/12</f>
        <v>1.4506534838219019E-5</v>
      </c>
      <c r="AX106" s="21">
        <f t="shared" si="60"/>
        <v>57.411321429371576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-2.3055690689943732E-14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5.8584049049231908</v>
      </c>
      <c r="BJ106" s="59">
        <f t="shared" si="92"/>
        <v>42.266833200216638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3.4118071531398498E-9</v>
      </c>
      <c r="BS106" s="22">
        <f t="shared" si="63"/>
        <v>3.4118071531398498E-9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0</v>
      </c>
      <c r="CE106" s="59">
        <f t="shared" si="94"/>
        <v>0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0</v>
      </c>
      <c r="CZ106" s="59">
        <f t="shared" si="96"/>
        <v>0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0</v>
      </c>
      <c r="EP106" s="59">
        <f t="shared" si="100"/>
        <v>0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0</v>
      </c>
      <c r="FK106" s="59">
        <f t="shared" si="102"/>
        <v>0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0</v>
      </c>
      <c r="GF106" s="59">
        <f t="shared" si="104"/>
        <v>0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0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186.90544184210381</v>
      </c>
      <c r="T107" s="59">
        <f t="shared" si="88"/>
        <v>202.05988514450519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49.783072050495477</v>
      </c>
      <c r="AA107" s="21">
        <f>EXP(-LN(2)/25)*AA106+(1-EXP(-LN(2)/25))/(LN(2)/25)*Calculateur!V107*Calculateur!X107*VLOOKUP('Données projet'!$B$9,Paramètres!$A$1:$I$89,3,0)*0.475*44/12</f>
        <v>6.4511274310666309</v>
      </c>
      <c r="AB107" s="21">
        <f>EXP(-LN(2)/2)*AB106+(1-EXP(-LN(2)/2))/(LN(2)/2)*V107*Y107*VLOOKUP('Données projet'!$B$9,Paramètres!$A$1:$I$89,3,0)*0.475*44/12</f>
        <v>1.0257669155623565E-5</v>
      </c>
      <c r="AC107" s="22">
        <f t="shared" si="57"/>
        <v>56.234209739231261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186.90544184210381</v>
      </c>
      <c r="AO107" s="59">
        <f t="shared" si="90"/>
        <v>202.05988514450519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49.783072050495477</v>
      </c>
      <c r="AV107" s="21">
        <f>EXP(-LN(2)/25)*AV106+(1-EXP(-LN(2)/25))/(LN(2)/25)*Calculateur!AQ107*Calculateur!AS107*VLOOKUP('Données projet'!$B$10,Paramètres!$A$1:$I$89,3,0)*0.475*44/12</f>
        <v>6.4511274310666309</v>
      </c>
      <c r="AW107" s="21">
        <f>EXP(-LN(2)/2)*AW106+(1-EXP(-LN(2)/2))/(LN(2)/2)*AQ107*AT107*VLOOKUP('Données projet'!$B$10,Paramètres!$A$1:$I$89,3,0)*0.475*44/12</f>
        <v>1.0257669155623565E-5</v>
      </c>
      <c r="AX107" s="21">
        <f t="shared" si="60"/>
        <v>56.234209739231261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-2.3055690689943732E-14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5.8584049049231908</v>
      </c>
      <c r="BJ107" s="59">
        <f t="shared" si="92"/>
        <v>42.266833200216638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2.4125119740859573E-9</v>
      </c>
      <c r="BS107" s="22">
        <f t="shared" si="63"/>
        <v>2.4125119740859573E-9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0</v>
      </c>
      <c r="CE107" s="59">
        <f t="shared" si="94"/>
        <v>0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0</v>
      </c>
      <c r="CZ107" s="59">
        <f t="shared" si="96"/>
        <v>0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0</v>
      </c>
      <c r="EP107" s="59">
        <f t="shared" si="100"/>
        <v>0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0</v>
      </c>
      <c r="FK107" s="59">
        <f t="shared" si="102"/>
        <v>0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0</v>
      </c>
      <c r="GF107" s="59">
        <f t="shared" si="104"/>
        <v>0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0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186.90544184210381</v>
      </c>
      <c r="T108" s="59">
        <f t="shared" si="88"/>
        <v>202.05988514450519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48.806856372260945</v>
      </c>
      <c r="AA108" s="21">
        <f>EXP(-LN(2)/25)*AA107+(1-EXP(-LN(2)/25))/(LN(2)/25)*Calculateur!V108*Calculateur!X108*VLOOKUP('Données projet'!$B$9,Paramètres!$A$1:$I$89,3,0)*0.475*44/12</f>
        <v>6.2747210122140666</v>
      </c>
      <c r="AB108" s="21">
        <f>EXP(-LN(2)/2)*AB107+(1-EXP(-LN(2)/2))/(LN(2)/2)*V108*Y108*VLOOKUP('Données projet'!$B$9,Paramètres!$A$1:$I$89,3,0)*0.475*44/12</f>
        <v>7.2532674191095097E-6</v>
      </c>
      <c r="AC108" s="22">
        <f t="shared" si="57"/>
        <v>55.081584637742431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186.90544184210381</v>
      </c>
      <c r="AO108" s="59">
        <f t="shared" si="90"/>
        <v>202.05988514450519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48.806856372260945</v>
      </c>
      <c r="AV108" s="21">
        <f>EXP(-LN(2)/25)*AV107+(1-EXP(-LN(2)/25))/(LN(2)/25)*Calculateur!AQ108*Calculateur!AS108*VLOOKUP('Données projet'!$B$10,Paramètres!$A$1:$I$89,3,0)*0.475*44/12</f>
        <v>6.2747210122140666</v>
      </c>
      <c r="AW108" s="21">
        <f>EXP(-LN(2)/2)*AW107+(1-EXP(-LN(2)/2))/(LN(2)/2)*AQ108*AT108*VLOOKUP('Données projet'!$B$10,Paramètres!$A$1:$I$89,3,0)*0.475*44/12</f>
        <v>7.2532674191095097E-6</v>
      </c>
      <c r="AX108" s="21">
        <f t="shared" si="60"/>
        <v>55.081584637742431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-2.3055690689943732E-14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5.8584049049231908</v>
      </c>
      <c r="BJ108" s="59">
        <f t="shared" si="92"/>
        <v>42.266833200216638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1.7059035765699249E-9</v>
      </c>
      <c r="BS108" s="22">
        <f t="shared" si="63"/>
        <v>1.7059035765699249E-9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0</v>
      </c>
      <c r="CE108" s="59">
        <f t="shared" si="94"/>
        <v>0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0</v>
      </c>
      <c r="CZ108" s="59">
        <f t="shared" si="96"/>
        <v>0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0</v>
      </c>
      <c r="EP108" s="59">
        <f t="shared" si="100"/>
        <v>0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0</v>
      </c>
      <c r="FK108" s="59">
        <f t="shared" si="102"/>
        <v>0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0</v>
      </c>
      <c r="GF108" s="59">
        <f t="shared" si="104"/>
        <v>0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0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186.90544184210381</v>
      </c>
      <c r="T109" s="59">
        <f t="shared" si="88"/>
        <v>202.05988514450519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47.849783688043829</v>
      </c>
      <c r="AA109" s="21">
        <f>EXP(-LN(2)/25)*AA108+(1-EXP(-LN(2)/25))/(LN(2)/25)*Calculateur!V109*Calculateur!X109*VLOOKUP('Données projet'!$B$9,Paramètres!$A$1:$I$89,3,0)*0.475*44/12</f>
        <v>6.1031384361618359</v>
      </c>
      <c r="AB109" s="21">
        <f>EXP(-LN(2)/2)*AB108+(1-EXP(-LN(2)/2))/(LN(2)/2)*V109*Y109*VLOOKUP('Données projet'!$B$9,Paramètres!$A$1:$I$89,3,0)*0.475*44/12</f>
        <v>5.1288345778117823E-6</v>
      </c>
      <c r="AC109" s="22">
        <f t="shared" si="57"/>
        <v>53.952927253040244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186.90544184210381</v>
      </c>
      <c r="AO109" s="59">
        <f t="shared" si="90"/>
        <v>202.05988514450519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47.849783688043829</v>
      </c>
      <c r="AV109" s="21">
        <f>EXP(-LN(2)/25)*AV108+(1-EXP(-LN(2)/25))/(LN(2)/25)*Calculateur!AQ109*Calculateur!AS109*VLOOKUP('Données projet'!$B$10,Paramètres!$A$1:$I$89,3,0)*0.475*44/12</f>
        <v>6.1031384361618359</v>
      </c>
      <c r="AW109" s="21">
        <f>EXP(-LN(2)/2)*AW108+(1-EXP(-LN(2)/2))/(LN(2)/2)*AQ109*AT109*VLOOKUP('Données projet'!$B$10,Paramètres!$A$1:$I$89,3,0)*0.475*44/12</f>
        <v>5.1288345778117823E-6</v>
      </c>
      <c r="AX109" s="21">
        <f t="shared" si="60"/>
        <v>53.952927253040244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-2.3055690689943732E-14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5.8584049049231908</v>
      </c>
      <c r="BJ109" s="59">
        <f t="shared" si="92"/>
        <v>42.266833200216638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1.2062559870429787E-9</v>
      </c>
      <c r="BS109" s="22">
        <f t="shared" si="63"/>
        <v>1.2062559870429787E-9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0</v>
      </c>
      <c r="CE109" s="59">
        <f t="shared" si="94"/>
        <v>0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0</v>
      </c>
      <c r="CZ109" s="59">
        <f t="shared" si="96"/>
        <v>0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0</v>
      </c>
      <c r="EP109" s="59">
        <f t="shared" si="100"/>
        <v>0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0</v>
      </c>
      <c r="FK109" s="59">
        <f t="shared" si="102"/>
        <v>0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0</v>
      </c>
      <c r="GF109" s="59">
        <f t="shared" si="104"/>
        <v>0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0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186.90544184210381</v>
      </c>
      <c r="T110" s="59">
        <f t="shared" si="88"/>
        <v>202.05988514450519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46.911478615407511</v>
      </c>
      <c r="AA110" s="21">
        <f>EXP(-LN(2)/25)*AA109+(1-EXP(-LN(2)/25))/(LN(2)/25)*Calculateur!V110*Calculateur!X110*VLOOKUP('Données projet'!$B$9,Paramètres!$A$1:$I$89,3,0)*0.475*44/12</f>
        <v>5.9362477946748893</v>
      </c>
      <c r="AB110" s="21">
        <f>EXP(-LN(2)/2)*AB109+(1-EXP(-LN(2)/2))/(LN(2)/2)*V110*Y110*VLOOKUP('Données projet'!$B$9,Paramètres!$A$1:$I$89,3,0)*0.475*44/12</f>
        <v>3.6266337095547548E-6</v>
      </c>
      <c r="AC110" s="22">
        <f t="shared" si="57"/>
        <v>52.847730036716108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186.90544184210381</v>
      </c>
      <c r="AO110" s="59">
        <f t="shared" si="90"/>
        <v>202.05988514450519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46.911478615407511</v>
      </c>
      <c r="AV110" s="21">
        <f>EXP(-LN(2)/25)*AV109+(1-EXP(-LN(2)/25))/(LN(2)/25)*Calculateur!AQ110*Calculateur!AS110*VLOOKUP('Données projet'!$B$10,Paramètres!$A$1:$I$89,3,0)*0.475*44/12</f>
        <v>5.9362477946748893</v>
      </c>
      <c r="AW110" s="21">
        <f>EXP(-LN(2)/2)*AW109+(1-EXP(-LN(2)/2))/(LN(2)/2)*AQ110*AT110*VLOOKUP('Données projet'!$B$10,Paramètres!$A$1:$I$89,3,0)*0.475*44/12</f>
        <v>3.6266337095547548E-6</v>
      </c>
      <c r="AX110" s="21">
        <f t="shared" si="60"/>
        <v>52.847730036716108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-2.3055690689943732E-14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5.8584049049231908</v>
      </c>
      <c r="BJ110" s="59">
        <f t="shared" si="92"/>
        <v>42.266833200216638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8.5295178828496244E-10</v>
      </c>
      <c r="BS110" s="22">
        <f t="shared" si="63"/>
        <v>8.5295178828496244E-10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0</v>
      </c>
      <c r="CE110" s="59">
        <f t="shared" si="94"/>
        <v>0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0</v>
      </c>
      <c r="CZ110" s="59">
        <f t="shared" si="96"/>
        <v>0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0</v>
      </c>
      <c r="EP110" s="59">
        <f t="shared" si="100"/>
        <v>0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0</v>
      </c>
      <c r="FK110" s="59">
        <f t="shared" si="102"/>
        <v>0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0</v>
      </c>
      <c r="GF110" s="59">
        <f t="shared" si="104"/>
        <v>0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0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186.90544184210381</v>
      </c>
      <c r="T111" s="59">
        <f t="shared" si="88"/>
        <v>202.05988514450519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45.991573132936011</v>
      </c>
      <c r="AA111" s="21">
        <f>EXP(-LN(2)/25)*AA110+(1-EXP(-LN(2)/25))/(LN(2)/25)*Calculateur!V111*Calculateur!X111*VLOOKUP('Données projet'!$B$9,Paramètres!$A$1:$I$89,3,0)*0.475*44/12</f>
        <v>5.7739207865558004</v>
      </c>
      <c r="AB111" s="21">
        <f>EXP(-LN(2)/2)*AB110+(1-EXP(-LN(2)/2))/(LN(2)/2)*V111*Y111*VLOOKUP('Données projet'!$B$9,Paramètres!$A$1:$I$89,3,0)*0.475*44/12</f>
        <v>2.5644172889058911E-6</v>
      </c>
      <c r="AC111" s="22">
        <f t="shared" si="57"/>
        <v>51.765496483909097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186.90544184210381</v>
      </c>
      <c r="AO111" s="59">
        <f t="shared" si="90"/>
        <v>202.05988514450519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45.991573132936011</v>
      </c>
      <c r="AV111" s="21">
        <f>EXP(-LN(2)/25)*AV110+(1-EXP(-LN(2)/25))/(LN(2)/25)*Calculateur!AQ111*Calculateur!AS111*VLOOKUP('Données projet'!$B$10,Paramètres!$A$1:$I$89,3,0)*0.475*44/12</f>
        <v>5.7739207865558004</v>
      </c>
      <c r="AW111" s="21">
        <f>EXP(-LN(2)/2)*AW110+(1-EXP(-LN(2)/2))/(LN(2)/2)*AQ111*AT111*VLOOKUP('Données projet'!$B$10,Paramètres!$A$1:$I$89,3,0)*0.475*44/12</f>
        <v>2.5644172889058911E-6</v>
      </c>
      <c r="AX111" s="21">
        <f t="shared" si="60"/>
        <v>51.765496483909097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-2.3055690689943732E-14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5.8584049049231908</v>
      </c>
      <c r="BJ111" s="59">
        <f t="shared" si="92"/>
        <v>42.266833200216638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6.0312799352148934E-10</v>
      </c>
      <c r="BS111" s="22">
        <f t="shared" si="63"/>
        <v>6.0312799352148934E-10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0</v>
      </c>
      <c r="CE111" s="59">
        <f t="shared" si="94"/>
        <v>0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0</v>
      </c>
      <c r="CZ111" s="59">
        <f t="shared" si="96"/>
        <v>0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0</v>
      </c>
      <c r="EP111" s="59">
        <f t="shared" si="100"/>
        <v>0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0</v>
      </c>
      <c r="FK111" s="59">
        <f t="shared" si="102"/>
        <v>0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0</v>
      </c>
      <c r="GF111" s="59">
        <f t="shared" si="104"/>
        <v>0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0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186.90544184210381</v>
      </c>
      <c r="T112" s="59">
        <f t="shared" si="88"/>
        <v>202.05988514450519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45.089706435888836</v>
      </c>
      <c r="AA112" s="21">
        <f>EXP(-LN(2)/25)*AA111+(1-EXP(-LN(2)/25))/(LN(2)/25)*Calculateur!V112*Calculateur!X112*VLOOKUP('Données projet'!$B$9,Paramètres!$A$1:$I$89,3,0)*0.475*44/12</f>
        <v>5.6160326190101344</v>
      </c>
      <c r="AB112" s="21">
        <f>EXP(-LN(2)/2)*AB111+(1-EXP(-LN(2)/2))/(LN(2)/2)*V112*Y112*VLOOKUP('Données projet'!$B$9,Paramètres!$A$1:$I$89,3,0)*0.475*44/12</f>
        <v>1.8133168547773774E-6</v>
      </c>
      <c r="AC112" s="22">
        <f t="shared" si="57"/>
        <v>50.705740868215827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186.90544184210381</v>
      </c>
      <c r="AO112" s="59">
        <f t="shared" si="90"/>
        <v>202.05988514450519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45.089706435888836</v>
      </c>
      <c r="AV112" s="21">
        <f>EXP(-LN(2)/25)*AV111+(1-EXP(-LN(2)/25))/(LN(2)/25)*Calculateur!AQ112*Calculateur!AS112*VLOOKUP('Données projet'!$B$10,Paramètres!$A$1:$I$89,3,0)*0.475*44/12</f>
        <v>5.6160326190101344</v>
      </c>
      <c r="AW112" s="21">
        <f>EXP(-LN(2)/2)*AW111+(1-EXP(-LN(2)/2))/(LN(2)/2)*AQ112*AT112*VLOOKUP('Données projet'!$B$10,Paramètres!$A$1:$I$89,3,0)*0.475*44/12</f>
        <v>1.8133168547773774E-6</v>
      </c>
      <c r="AX112" s="21">
        <f t="shared" si="60"/>
        <v>50.705740868215827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-2.3055690689943732E-14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5.8584049049231908</v>
      </c>
      <c r="BJ112" s="59">
        <f t="shared" si="92"/>
        <v>42.266833200216638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4.2647589414248122E-10</v>
      </c>
      <c r="BS112" s="22">
        <f t="shared" si="63"/>
        <v>4.2647589414248122E-10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0</v>
      </c>
      <c r="CE112" s="59">
        <f t="shared" si="94"/>
        <v>0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0</v>
      </c>
      <c r="CZ112" s="59">
        <f t="shared" si="96"/>
        <v>0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0</v>
      </c>
      <c r="EP112" s="59">
        <f t="shared" si="100"/>
        <v>0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0</v>
      </c>
      <c r="FK112" s="59">
        <f t="shared" si="102"/>
        <v>0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0</v>
      </c>
      <c r="GF112" s="59">
        <f t="shared" si="104"/>
        <v>0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0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186.90544184210381</v>
      </c>
      <c r="T113" s="59">
        <f t="shared" si="88"/>
        <v>202.05988514450519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44.205524794686383</v>
      </c>
      <c r="AA113" s="21">
        <f>EXP(-LN(2)/25)*AA112+(1-EXP(-LN(2)/25))/(LN(2)/25)*Calculateur!V113*Calculateur!X113*VLOOKUP('Données projet'!$B$9,Paramètres!$A$1:$I$89,3,0)*0.475*44/12</f>
        <v>5.4624619117089823</v>
      </c>
      <c r="AB113" s="21">
        <f>EXP(-LN(2)/2)*AB112+(1-EXP(-LN(2)/2))/(LN(2)/2)*V113*Y113*VLOOKUP('Données projet'!$B$9,Paramètres!$A$1:$I$89,3,0)*0.475*44/12</f>
        <v>1.2822086444529456E-6</v>
      </c>
      <c r="AC113" s="22">
        <f t="shared" si="57"/>
        <v>49.667987988604011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186.90544184210381</v>
      </c>
      <c r="AO113" s="59">
        <f t="shared" si="90"/>
        <v>202.05988514450519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44.205524794686383</v>
      </c>
      <c r="AV113" s="21">
        <f>EXP(-LN(2)/25)*AV112+(1-EXP(-LN(2)/25))/(LN(2)/25)*Calculateur!AQ113*Calculateur!AS113*VLOOKUP('Données projet'!$B$10,Paramètres!$A$1:$I$89,3,0)*0.475*44/12</f>
        <v>5.4624619117089823</v>
      </c>
      <c r="AW113" s="21">
        <f>EXP(-LN(2)/2)*AW112+(1-EXP(-LN(2)/2))/(LN(2)/2)*AQ113*AT113*VLOOKUP('Données projet'!$B$10,Paramètres!$A$1:$I$89,3,0)*0.475*44/12</f>
        <v>1.2822086444529456E-6</v>
      </c>
      <c r="AX113" s="21">
        <f t="shared" si="60"/>
        <v>49.667987988604011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-2.3055690689943732E-14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5.8584049049231908</v>
      </c>
      <c r="BJ113" s="59">
        <f t="shared" si="92"/>
        <v>42.266833200216638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3.0156399676074467E-10</v>
      </c>
      <c r="BS113" s="22">
        <f t="shared" si="63"/>
        <v>3.0156399676074467E-10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0</v>
      </c>
      <c r="CE113" s="59">
        <f t="shared" si="94"/>
        <v>0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0</v>
      </c>
      <c r="CZ113" s="59">
        <f t="shared" si="96"/>
        <v>0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0</v>
      </c>
      <c r="EP113" s="59">
        <f t="shared" si="100"/>
        <v>0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0</v>
      </c>
      <c r="FK113" s="59">
        <f t="shared" si="102"/>
        <v>0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0</v>
      </c>
      <c r="GF113" s="59">
        <f t="shared" si="104"/>
        <v>0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0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186.90544184210381</v>
      </c>
      <c r="T114" s="59">
        <f t="shared" si="88"/>
        <v>202.05988514450519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43.33868141617036</v>
      </c>
      <c r="AA114" s="21">
        <f>EXP(-LN(2)/25)*AA113+(1-EXP(-LN(2)/25))/(LN(2)/25)*Calculateur!V114*Calculateur!X114*VLOOKUP('Données projet'!$B$9,Paramètres!$A$1:$I$89,3,0)*0.475*44/12</f>
        <v>5.3130906034749126</v>
      </c>
      <c r="AB114" s="21">
        <f>EXP(-LN(2)/2)*AB113+(1-EXP(-LN(2)/2))/(LN(2)/2)*V114*Y114*VLOOKUP('Données projet'!$B$9,Paramètres!$A$1:$I$89,3,0)*0.475*44/12</f>
        <v>9.0665842738868871E-7</v>
      </c>
      <c r="AC114" s="22">
        <f t="shared" si="57"/>
        <v>48.6517729263037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186.90544184210381</v>
      </c>
      <c r="AO114" s="59">
        <f t="shared" si="90"/>
        <v>202.05988514450519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43.33868141617036</v>
      </c>
      <c r="AV114" s="21">
        <f>EXP(-LN(2)/25)*AV113+(1-EXP(-LN(2)/25))/(LN(2)/25)*Calculateur!AQ114*Calculateur!AS114*VLOOKUP('Données projet'!$B$10,Paramètres!$A$1:$I$89,3,0)*0.475*44/12</f>
        <v>5.3130906034749126</v>
      </c>
      <c r="AW114" s="21">
        <f>EXP(-LN(2)/2)*AW113+(1-EXP(-LN(2)/2))/(LN(2)/2)*AQ114*AT114*VLOOKUP('Données projet'!$B$10,Paramètres!$A$1:$I$89,3,0)*0.475*44/12</f>
        <v>9.0665842738868871E-7</v>
      </c>
      <c r="AX114" s="21">
        <f t="shared" si="60"/>
        <v>48.6517729263037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-2.3055690689943732E-14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5.8584049049231908</v>
      </c>
      <c r="BJ114" s="59">
        <f t="shared" si="92"/>
        <v>42.266833200216638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2.1323794707124061E-10</v>
      </c>
      <c r="BS114" s="22">
        <f t="shared" si="63"/>
        <v>2.1323794707124061E-10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0</v>
      </c>
      <c r="CE114" s="59">
        <f t="shared" si="94"/>
        <v>0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0</v>
      </c>
      <c r="CZ114" s="59">
        <f t="shared" si="96"/>
        <v>0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0</v>
      </c>
      <c r="EP114" s="59">
        <f t="shared" si="100"/>
        <v>0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0</v>
      </c>
      <c r="FK114" s="59">
        <f t="shared" si="102"/>
        <v>0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0</v>
      </c>
      <c r="GF114" s="59">
        <f t="shared" si="104"/>
        <v>0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0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186.90544184210381</v>
      </c>
      <c r="T115" s="59">
        <f t="shared" si="88"/>
        <v>202.05988514450519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42.488836307584783</v>
      </c>
      <c r="AA115" s="21">
        <f>EXP(-LN(2)/25)*AA114+(1-EXP(-LN(2)/25))/(LN(2)/25)*Calculateur!V115*Calculateur!X115*VLOOKUP('Données projet'!$B$9,Paramètres!$A$1:$I$89,3,0)*0.475*44/12</f>
        <v>5.1678038615195998</v>
      </c>
      <c r="AB115" s="21">
        <f>EXP(-LN(2)/2)*AB114+(1-EXP(-LN(2)/2))/(LN(2)/2)*V115*Y115*VLOOKUP('Données projet'!$B$9,Paramètres!$A$1:$I$89,3,0)*0.475*44/12</f>
        <v>6.4110432222647279E-7</v>
      </c>
      <c r="AC115" s="22">
        <f t="shared" si="57"/>
        <v>47.656640810208707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186.90544184210381</v>
      </c>
      <c r="AO115" s="59">
        <f t="shared" si="90"/>
        <v>202.05988514450519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42.488836307584783</v>
      </c>
      <c r="AV115" s="21">
        <f>EXP(-LN(2)/25)*AV114+(1-EXP(-LN(2)/25))/(LN(2)/25)*Calculateur!AQ115*Calculateur!AS115*VLOOKUP('Données projet'!$B$10,Paramètres!$A$1:$I$89,3,0)*0.475*44/12</f>
        <v>5.1678038615195998</v>
      </c>
      <c r="AW115" s="21">
        <f>EXP(-LN(2)/2)*AW114+(1-EXP(-LN(2)/2))/(LN(2)/2)*AQ115*AT115*VLOOKUP('Données projet'!$B$10,Paramètres!$A$1:$I$89,3,0)*0.475*44/12</f>
        <v>6.4110432222647279E-7</v>
      </c>
      <c r="AX115" s="21">
        <f t="shared" si="60"/>
        <v>47.656640810208707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-2.3055690689943732E-14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5.8584049049231908</v>
      </c>
      <c r="BJ115" s="59">
        <f t="shared" si="92"/>
        <v>42.266833200216638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1.5078199838037233E-10</v>
      </c>
      <c r="BS115" s="22">
        <f t="shared" si="63"/>
        <v>1.5078199838037233E-10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0</v>
      </c>
      <c r="CE115" s="59">
        <f t="shared" si="94"/>
        <v>0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0</v>
      </c>
      <c r="CZ115" s="59">
        <f t="shared" si="96"/>
        <v>0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0</v>
      </c>
      <c r="EP115" s="59">
        <f t="shared" si="100"/>
        <v>0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0</v>
      </c>
      <c r="FK115" s="59">
        <f t="shared" si="102"/>
        <v>0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0</v>
      </c>
      <c r="GF115" s="59">
        <f t="shared" si="104"/>
        <v>0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0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186.90544184210381</v>
      </c>
      <c r="T116" s="59">
        <f t="shared" si="88"/>
        <v>202.05988514450519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41.655656143224235</v>
      </c>
      <c r="AA116" s="21">
        <f>EXP(-LN(2)/25)*AA115+(1-EXP(-LN(2)/25))/(LN(2)/25)*Calculateur!V116*Calculateur!X116*VLOOKUP('Données projet'!$B$9,Paramètres!$A$1:$I$89,3,0)*0.475*44/12</f>
        <v>5.0264899931633522</v>
      </c>
      <c r="AB116" s="21">
        <f>EXP(-LN(2)/2)*AB115+(1-EXP(-LN(2)/2))/(LN(2)/2)*V116*Y116*VLOOKUP('Données projet'!$B$9,Paramètres!$A$1:$I$89,3,0)*0.475*44/12</f>
        <v>4.5332921369434435E-7</v>
      </c>
      <c r="AC116" s="22">
        <f t="shared" si="57"/>
        <v>46.682146589716801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186.90544184210381</v>
      </c>
      <c r="AO116" s="59">
        <f t="shared" si="90"/>
        <v>202.05988514450519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41.655656143224235</v>
      </c>
      <c r="AV116" s="21">
        <f>EXP(-LN(2)/25)*AV115+(1-EXP(-LN(2)/25))/(LN(2)/25)*Calculateur!AQ116*Calculateur!AS116*VLOOKUP('Données projet'!$B$10,Paramètres!$A$1:$I$89,3,0)*0.475*44/12</f>
        <v>5.0264899931633522</v>
      </c>
      <c r="AW116" s="21">
        <f>EXP(-LN(2)/2)*AW115+(1-EXP(-LN(2)/2))/(LN(2)/2)*AQ116*AT116*VLOOKUP('Données projet'!$B$10,Paramètres!$A$1:$I$89,3,0)*0.475*44/12</f>
        <v>4.5332921369434435E-7</v>
      </c>
      <c r="AX116" s="21">
        <f t="shared" si="60"/>
        <v>46.682146589716801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-2.3055690689943732E-14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5.8584049049231908</v>
      </c>
      <c r="BJ116" s="59">
        <f t="shared" si="92"/>
        <v>42.266833200216638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1.066189735356203E-10</v>
      </c>
      <c r="BS116" s="22">
        <f t="shared" si="63"/>
        <v>1.066189735356203E-10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0</v>
      </c>
      <c r="CE116" s="59">
        <f t="shared" si="94"/>
        <v>0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0</v>
      </c>
      <c r="CZ116" s="59">
        <f t="shared" si="96"/>
        <v>0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0</v>
      </c>
      <c r="EP116" s="59">
        <f t="shared" si="100"/>
        <v>0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0</v>
      </c>
      <c r="FK116" s="59">
        <f t="shared" si="102"/>
        <v>0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0</v>
      </c>
      <c r="GF116" s="59">
        <f t="shared" si="104"/>
        <v>0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0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186.90544184210381</v>
      </c>
      <c r="T117" s="59">
        <f t="shared" si="88"/>
        <v>202.05988514450519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40.838814133697078</v>
      </c>
      <c r="AA117" s="21">
        <f>EXP(-LN(2)/25)*AA116+(1-EXP(-LN(2)/25))/(LN(2)/25)*Calculateur!V117*Calculateur!X117*VLOOKUP('Données projet'!$B$9,Paramètres!$A$1:$I$89,3,0)*0.475*44/12</f>
        <v>4.8890403599686794</v>
      </c>
      <c r="AB117" s="21">
        <f>EXP(-LN(2)/2)*AB116+(1-EXP(-LN(2)/2))/(LN(2)/2)*V117*Y117*VLOOKUP('Données projet'!$B$9,Paramètres!$A$1:$I$89,3,0)*0.475*44/12</f>
        <v>3.2055216111323639E-7</v>
      </c>
      <c r="AC117" s="22">
        <f t="shared" si="57"/>
        <v>45.72785481421792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186.90544184210381</v>
      </c>
      <c r="AO117" s="59">
        <f t="shared" si="90"/>
        <v>202.05988514450519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40.838814133697078</v>
      </c>
      <c r="AV117" s="21">
        <f>EXP(-LN(2)/25)*AV116+(1-EXP(-LN(2)/25))/(LN(2)/25)*Calculateur!AQ117*Calculateur!AS117*VLOOKUP('Données projet'!$B$10,Paramètres!$A$1:$I$89,3,0)*0.475*44/12</f>
        <v>4.8890403599686794</v>
      </c>
      <c r="AW117" s="21">
        <f>EXP(-LN(2)/2)*AW116+(1-EXP(-LN(2)/2))/(LN(2)/2)*AQ117*AT117*VLOOKUP('Données projet'!$B$10,Paramètres!$A$1:$I$89,3,0)*0.475*44/12</f>
        <v>3.2055216111323639E-7</v>
      </c>
      <c r="AX117" s="21">
        <f t="shared" si="60"/>
        <v>45.72785481421792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-2.3055690689943732E-14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5.8584049049231908</v>
      </c>
      <c r="BJ117" s="59">
        <f t="shared" si="92"/>
        <v>42.266833200216638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7.5390999190186167E-11</v>
      </c>
      <c r="BS117" s="22">
        <f t="shared" si="63"/>
        <v>7.5390999190186167E-11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0</v>
      </c>
      <c r="CE117" s="59">
        <f t="shared" si="94"/>
        <v>0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0</v>
      </c>
      <c r="CZ117" s="59">
        <f t="shared" si="96"/>
        <v>0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0</v>
      </c>
      <c r="EP117" s="59">
        <f t="shared" si="100"/>
        <v>0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0</v>
      </c>
      <c r="FK117" s="59">
        <f t="shared" si="102"/>
        <v>0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0</v>
      </c>
      <c r="GF117" s="59">
        <f t="shared" si="104"/>
        <v>0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0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186.90544184210381</v>
      </c>
      <c r="T118" s="59">
        <f t="shared" si="88"/>
        <v>202.05988514450519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40.037989897752318</v>
      </c>
      <c r="AA118" s="21">
        <f>EXP(-LN(2)/25)*AA117+(1-EXP(-LN(2)/25))/(LN(2)/25)*Calculateur!V118*Calculateur!X118*VLOOKUP('Données projet'!$B$9,Paramètres!$A$1:$I$89,3,0)*0.475*44/12</f>
        <v>4.7553492942218769</v>
      </c>
      <c r="AB118" s="21">
        <f>EXP(-LN(2)/2)*AB117+(1-EXP(-LN(2)/2))/(LN(2)/2)*V118*Y118*VLOOKUP('Données projet'!$B$9,Paramètres!$A$1:$I$89,3,0)*0.475*44/12</f>
        <v>2.2666460684717218E-7</v>
      </c>
      <c r="AC118" s="22">
        <f t="shared" si="57"/>
        <v>44.793339418638801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186.90544184210381</v>
      </c>
      <c r="AO118" s="59">
        <f t="shared" si="90"/>
        <v>202.05988514450519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40.037989897752318</v>
      </c>
      <c r="AV118" s="21">
        <f>EXP(-LN(2)/25)*AV117+(1-EXP(-LN(2)/25))/(LN(2)/25)*Calculateur!AQ118*Calculateur!AS118*VLOOKUP('Données projet'!$B$10,Paramètres!$A$1:$I$89,3,0)*0.475*44/12</f>
        <v>4.7553492942218769</v>
      </c>
      <c r="AW118" s="21">
        <f>EXP(-LN(2)/2)*AW117+(1-EXP(-LN(2)/2))/(LN(2)/2)*AQ118*AT118*VLOOKUP('Données projet'!$B$10,Paramètres!$A$1:$I$89,3,0)*0.475*44/12</f>
        <v>2.2666460684717218E-7</v>
      </c>
      <c r="AX118" s="21">
        <f t="shared" si="60"/>
        <v>44.793339418638801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-2.3055690689943732E-14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5.8584049049231908</v>
      </c>
      <c r="BJ118" s="59">
        <f t="shared" si="92"/>
        <v>42.266833200216638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5.3309486767810152E-11</v>
      </c>
      <c r="BS118" s="22">
        <f t="shared" si="63"/>
        <v>5.3309486767810152E-11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0</v>
      </c>
      <c r="CE118" s="59">
        <f t="shared" si="94"/>
        <v>0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0</v>
      </c>
      <c r="CZ118" s="59">
        <f t="shared" si="96"/>
        <v>0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0</v>
      </c>
      <c r="EP118" s="59">
        <f t="shared" si="100"/>
        <v>0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0</v>
      </c>
      <c r="FK118" s="59">
        <f t="shared" si="102"/>
        <v>0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0</v>
      </c>
      <c r="GF118" s="59">
        <f t="shared" si="104"/>
        <v>0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0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186.90544184210381</v>
      </c>
      <c r="T119" s="59">
        <f t="shared" si="88"/>
        <v>202.05988514450519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39.252869336619881</v>
      </c>
      <c r="AA119" s="21">
        <f>EXP(-LN(2)/25)*AA118+(1-EXP(-LN(2)/25))/(LN(2)/25)*Calculateur!V119*Calculateur!X119*VLOOKUP('Données projet'!$B$9,Paramètres!$A$1:$I$89,3,0)*0.475*44/12</f>
        <v>4.6253140176984289</v>
      </c>
      <c r="AB119" s="21">
        <f>EXP(-LN(2)/2)*AB118+(1-EXP(-LN(2)/2))/(LN(2)/2)*V119*Y119*VLOOKUP('Données projet'!$B$9,Paramètres!$A$1:$I$89,3,0)*0.475*44/12</f>
        <v>1.602760805566182E-7</v>
      </c>
      <c r="AC119" s="22">
        <f t="shared" si="57"/>
        <v>43.87818351459439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186.90544184210381</v>
      </c>
      <c r="AO119" s="59">
        <f t="shared" si="90"/>
        <v>202.05988514450519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39.252869336619881</v>
      </c>
      <c r="AV119" s="21">
        <f>EXP(-LN(2)/25)*AV118+(1-EXP(-LN(2)/25))/(LN(2)/25)*Calculateur!AQ119*Calculateur!AS119*VLOOKUP('Données projet'!$B$10,Paramètres!$A$1:$I$89,3,0)*0.475*44/12</f>
        <v>4.6253140176984289</v>
      </c>
      <c r="AW119" s="21">
        <f>EXP(-LN(2)/2)*AW118+(1-EXP(-LN(2)/2))/(LN(2)/2)*AQ119*AT119*VLOOKUP('Données projet'!$B$10,Paramètres!$A$1:$I$89,3,0)*0.475*44/12</f>
        <v>1.602760805566182E-7</v>
      </c>
      <c r="AX119" s="21">
        <f t="shared" si="60"/>
        <v>43.87818351459439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-2.3055690689943732E-14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5.8584049049231908</v>
      </c>
      <c r="BJ119" s="59">
        <f t="shared" si="92"/>
        <v>42.266833200216638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3.7695499595093083E-11</v>
      </c>
      <c r="BS119" s="22">
        <f t="shared" si="63"/>
        <v>3.7695499595093083E-11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0</v>
      </c>
      <c r="CE119" s="59">
        <f t="shared" si="94"/>
        <v>0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0</v>
      </c>
      <c r="CZ119" s="59">
        <f t="shared" si="96"/>
        <v>0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0</v>
      </c>
      <c r="EP119" s="59">
        <f t="shared" si="100"/>
        <v>0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0</v>
      </c>
      <c r="FK119" s="59">
        <f t="shared" si="102"/>
        <v>0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0</v>
      </c>
      <c r="GF119" s="59">
        <f t="shared" si="104"/>
        <v>0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0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186.90544184210381</v>
      </c>
      <c r="T120" s="59">
        <f t="shared" si="88"/>
        <v>202.05988514450519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38.483144510814995</v>
      </c>
      <c r="AA120" s="21">
        <f>EXP(-LN(2)/25)*AA119+(1-EXP(-LN(2)/25))/(LN(2)/25)*Calculateur!V120*Calculateur!X120*VLOOKUP('Données projet'!$B$9,Paramètres!$A$1:$I$89,3,0)*0.475*44/12</f>
        <v>4.4988345626497726</v>
      </c>
      <c r="AB120" s="21">
        <f>EXP(-LN(2)/2)*AB119+(1-EXP(-LN(2)/2))/(LN(2)/2)*V120*Y120*VLOOKUP('Données projet'!$B$9,Paramètres!$A$1:$I$89,3,0)*0.475*44/12</f>
        <v>1.1333230342358609E-7</v>
      </c>
      <c r="AC120" s="22">
        <f t="shared" si="57"/>
        <v>42.981979186797076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186.90544184210381</v>
      </c>
      <c r="AO120" s="59">
        <f t="shared" si="90"/>
        <v>202.05988514450519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38.483144510814995</v>
      </c>
      <c r="AV120" s="21">
        <f>EXP(-LN(2)/25)*AV119+(1-EXP(-LN(2)/25))/(LN(2)/25)*Calculateur!AQ120*Calculateur!AS120*VLOOKUP('Données projet'!$B$10,Paramètres!$A$1:$I$89,3,0)*0.475*44/12</f>
        <v>4.4988345626497726</v>
      </c>
      <c r="AW120" s="21">
        <f>EXP(-LN(2)/2)*AW119+(1-EXP(-LN(2)/2))/(LN(2)/2)*AQ120*AT120*VLOOKUP('Données projet'!$B$10,Paramètres!$A$1:$I$89,3,0)*0.475*44/12</f>
        <v>1.1333230342358609E-7</v>
      </c>
      <c r="AX120" s="21">
        <f t="shared" si="60"/>
        <v>42.981979186797076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-2.3055690689943732E-14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5.8584049049231908</v>
      </c>
      <c r="BJ120" s="59">
        <f t="shared" si="92"/>
        <v>42.266833200216638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2.6654743383905076E-11</v>
      </c>
      <c r="BS120" s="22">
        <f t="shared" si="63"/>
        <v>2.6654743383905076E-11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0</v>
      </c>
      <c r="CE120" s="59">
        <f t="shared" si="94"/>
        <v>0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0</v>
      </c>
      <c r="CZ120" s="59">
        <f t="shared" si="96"/>
        <v>0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0</v>
      </c>
      <c r="EP120" s="59">
        <f t="shared" si="100"/>
        <v>0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0</v>
      </c>
      <c r="FK120" s="59">
        <f t="shared" si="102"/>
        <v>0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0</v>
      </c>
      <c r="GF120" s="59">
        <f t="shared" si="104"/>
        <v>0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0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186.90544184210381</v>
      </c>
      <c r="T121" s="59">
        <f t="shared" si="88"/>
        <v>202.05988514450519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37.728513519358359</v>
      </c>
      <c r="AA121" s="21">
        <f>EXP(-LN(2)/25)*AA120+(1-EXP(-LN(2)/25))/(LN(2)/25)*Calculateur!V121*Calculateur!X121*VLOOKUP('Données projet'!$B$9,Paramètres!$A$1:$I$89,3,0)*0.475*44/12</f>
        <v>4.3758136949506872</v>
      </c>
      <c r="AB121" s="21">
        <f>EXP(-LN(2)/2)*AB120+(1-EXP(-LN(2)/2))/(LN(2)/2)*V121*Y121*VLOOKUP('Données projet'!$B$9,Paramètres!$A$1:$I$89,3,0)*0.475*44/12</f>
        <v>8.0138040278309098E-8</v>
      </c>
      <c r="AC121" s="22">
        <f t="shared" si="57"/>
        <v>42.104327294447089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186.90544184210381</v>
      </c>
      <c r="AO121" s="59">
        <f t="shared" si="90"/>
        <v>202.05988514450519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37.728513519358359</v>
      </c>
      <c r="AV121" s="21">
        <f>EXP(-LN(2)/25)*AV120+(1-EXP(-LN(2)/25))/(LN(2)/25)*Calculateur!AQ121*Calculateur!AS121*VLOOKUP('Données projet'!$B$10,Paramètres!$A$1:$I$89,3,0)*0.475*44/12</f>
        <v>4.3758136949506872</v>
      </c>
      <c r="AW121" s="21">
        <f>EXP(-LN(2)/2)*AW120+(1-EXP(-LN(2)/2))/(LN(2)/2)*AQ121*AT121*VLOOKUP('Données projet'!$B$10,Paramètres!$A$1:$I$89,3,0)*0.475*44/12</f>
        <v>8.0138040278309098E-8</v>
      </c>
      <c r="AX121" s="21">
        <f t="shared" si="60"/>
        <v>42.104327294447089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-2.3055690689943732E-14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5.8584049049231908</v>
      </c>
      <c r="BJ121" s="59">
        <f t="shared" si="92"/>
        <v>42.266833200216638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1.8847749797546542E-11</v>
      </c>
      <c r="BS121" s="22">
        <f t="shared" si="63"/>
        <v>1.8847749797546542E-11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0</v>
      </c>
      <c r="CE121" s="59">
        <f t="shared" si="94"/>
        <v>0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0</v>
      </c>
      <c r="CZ121" s="59">
        <f t="shared" si="96"/>
        <v>0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0</v>
      </c>
      <c r="EP121" s="59">
        <f t="shared" si="100"/>
        <v>0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0</v>
      </c>
      <c r="FK121" s="59">
        <f t="shared" si="102"/>
        <v>0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0</v>
      </c>
      <c r="GF121" s="59">
        <f t="shared" si="104"/>
        <v>0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0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186.90544184210381</v>
      </c>
      <c r="T122" s="59">
        <f t="shared" si="88"/>
        <v>202.05988514450519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36.98868038136473</v>
      </c>
      <c r="AA122" s="21">
        <f>EXP(-LN(2)/25)*AA121+(1-EXP(-LN(2)/25))/(LN(2)/25)*Calculateur!V122*Calculateur!X122*VLOOKUP('Données projet'!$B$9,Paramètres!$A$1:$I$89,3,0)*0.475*44/12</f>
        <v>4.2561568393482192</v>
      </c>
      <c r="AB122" s="21">
        <f>EXP(-LN(2)/2)*AB121+(1-EXP(-LN(2)/2))/(LN(2)/2)*V122*Y122*VLOOKUP('Données projet'!$B$9,Paramètres!$A$1:$I$89,3,0)*0.475*44/12</f>
        <v>5.6666151711793044E-8</v>
      </c>
      <c r="AC122" s="22">
        <f t="shared" si="57"/>
        <v>41.244837277379105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186.90544184210381</v>
      </c>
      <c r="AO122" s="59">
        <f t="shared" si="90"/>
        <v>202.05988514450519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36.98868038136473</v>
      </c>
      <c r="AV122" s="21">
        <f>EXP(-LN(2)/25)*AV121+(1-EXP(-LN(2)/25))/(LN(2)/25)*Calculateur!AQ122*Calculateur!AS122*VLOOKUP('Données projet'!$B$10,Paramètres!$A$1:$I$89,3,0)*0.475*44/12</f>
        <v>4.2561568393482192</v>
      </c>
      <c r="AW122" s="21">
        <f>EXP(-LN(2)/2)*AW121+(1-EXP(-LN(2)/2))/(LN(2)/2)*AQ122*AT122*VLOOKUP('Données projet'!$B$10,Paramètres!$A$1:$I$89,3,0)*0.475*44/12</f>
        <v>5.6666151711793044E-8</v>
      </c>
      <c r="AX122" s="21">
        <f t="shared" si="60"/>
        <v>41.244837277379105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-2.3055690689943732E-14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5.8584049049231908</v>
      </c>
      <c r="BJ122" s="59">
        <f t="shared" si="92"/>
        <v>42.266833200216638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1.3327371691952538E-11</v>
      </c>
      <c r="BS122" s="22">
        <f t="shared" si="63"/>
        <v>1.3327371691952538E-11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0</v>
      </c>
      <c r="CE122" s="59">
        <f t="shared" si="94"/>
        <v>0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0</v>
      </c>
      <c r="CZ122" s="59">
        <f t="shared" si="96"/>
        <v>0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0</v>
      </c>
      <c r="EP122" s="59">
        <f t="shared" si="100"/>
        <v>0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0</v>
      </c>
      <c r="FK122" s="59">
        <f t="shared" si="102"/>
        <v>0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0</v>
      </c>
      <c r="GF122" s="59">
        <f t="shared" si="104"/>
        <v>0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0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186.90544184210381</v>
      </c>
      <c r="T123" s="59">
        <f t="shared" si="88"/>
        <v>202.05988514450519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36.2633549199535</v>
      </c>
      <c r="AA123" s="21">
        <f>EXP(-LN(2)/25)*AA122+(1-EXP(-LN(2)/25))/(LN(2)/25)*Calculateur!V123*Calculateur!X123*VLOOKUP('Données projet'!$B$9,Paramètres!$A$1:$I$89,3,0)*0.475*44/12</f>
        <v>4.1397720067546819</v>
      </c>
      <c r="AB123" s="21">
        <f>EXP(-LN(2)/2)*AB122+(1-EXP(-LN(2)/2))/(LN(2)/2)*V123*Y123*VLOOKUP('Données projet'!$B$9,Paramètres!$A$1:$I$89,3,0)*0.475*44/12</f>
        <v>4.0069020139154549E-8</v>
      </c>
      <c r="AC123" s="22">
        <f t="shared" si="57"/>
        <v>40.403126966777201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186.90544184210381</v>
      </c>
      <c r="AO123" s="59">
        <f t="shared" si="90"/>
        <v>202.05988514450519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36.2633549199535</v>
      </c>
      <c r="AV123" s="21">
        <f>EXP(-LN(2)/25)*AV122+(1-EXP(-LN(2)/25))/(LN(2)/25)*Calculateur!AQ123*Calculateur!AS123*VLOOKUP('Données projet'!$B$10,Paramètres!$A$1:$I$89,3,0)*0.475*44/12</f>
        <v>4.1397720067546819</v>
      </c>
      <c r="AW123" s="21">
        <f>EXP(-LN(2)/2)*AW122+(1-EXP(-LN(2)/2))/(LN(2)/2)*AQ123*AT123*VLOOKUP('Données projet'!$B$10,Paramètres!$A$1:$I$89,3,0)*0.475*44/12</f>
        <v>4.0069020139154549E-8</v>
      </c>
      <c r="AX123" s="21">
        <f t="shared" si="60"/>
        <v>40.403126966777201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-2.3055690689943732E-14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5.8584049049231908</v>
      </c>
      <c r="BJ123" s="59">
        <f t="shared" si="92"/>
        <v>42.266833200216638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9.4238748987732709E-12</v>
      </c>
      <c r="BS123" s="22">
        <f t="shared" si="63"/>
        <v>9.4238748987732709E-12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0</v>
      </c>
      <c r="CE123" s="59">
        <f t="shared" si="94"/>
        <v>0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0</v>
      </c>
      <c r="CZ123" s="59">
        <f t="shared" si="96"/>
        <v>0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0</v>
      </c>
      <c r="EP123" s="59">
        <f t="shared" si="100"/>
        <v>0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0</v>
      </c>
      <c r="FK123" s="59">
        <f t="shared" si="102"/>
        <v>0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0</v>
      </c>
      <c r="GF123" s="59">
        <f t="shared" si="104"/>
        <v>0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0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186.90544184210381</v>
      </c>
      <c r="T124" s="59">
        <f t="shared" si="88"/>
        <v>202.05988514450519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35.552252648435697</v>
      </c>
      <c r="AA124" s="21">
        <f>EXP(-LN(2)/25)*AA123+(1-EXP(-LN(2)/25))/(LN(2)/25)*Calculateur!V124*Calculateur!X124*VLOOKUP('Données projet'!$B$9,Paramètres!$A$1:$I$89,3,0)*0.475*44/12</f>
        <v>4.0265697235288265</v>
      </c>
      <c r="AB124" s="21">
        <f>EXP(-LN(2)/2)*AB123+(1-EXP(-LN(2)/2))/(LN(2)/2)*V124*Y124*VLOOKUP('Données projet'!$B$9,Paramètres!$A$1:$I$89,3,0)*0.475*44/12</f>
        <v>2.8333075855896522E-8</v>
      </c>
      <c r="AC124" s="22">
        <f t="shared" si="57"/>
        <v>39.578822400297597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186.90544184210381</v>
      </c>
      <c r="AO124" s="59">
        <f t="shared" si="90"/>
        <v>202.05988514450519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35.552252648435697</v>
      </c>
      <c r="AV124" s="21">
        <f>EXP(-LN(2)/25)*AV123+(1-EXP(-LN(2)/25))/(LN(2)/25)*Calculateur!AQ124*Calculateur!AS124*VLOOKUP('Données projet'!$B$10,Paramètres!$A$1:$I$89,3,0)*0.475*44/12</f>
        <v>4.0265697235288265</v>
      </c>
      <c r="AW124" s="21">
        <f>EXP(-LN(2)/2)*AW123+(1-EXP(-LN(2)/2))/(LN(2)/2)*AQ124*AT124*VLOOKUP('Données projet'!$B$10,Paramètres!$A$1:$I$89,3,0)*0.475*44/12</f>
        <v>2.8333075855896522E-8</v>
      </c>
      <c r="AX124" s="21">
        <f t="shared" si="60"/>
        <v>39.578822400297597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-2.3055690689943732E-14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5.8584049049231908</v>
      </c>
      <c r="BJ124" s="59">
        <f t="shared" si="92"/>
        <v>42.266833200216638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6.6636858459762691E-12</v>
      </c>
      <c r="BS124" s="22">
        <f t="shared" si="63"/>
        <v>6.6636858459762691E-12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0</v>
      </c>
      <c r="CE124" s="59">
        <f t="shared" si="94"/>
        <v>0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0</v>
      </c>
      <c r="CZ124" s="59">
        <f t="shared" si="96"/>
        <v>0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0</v>
      </c>
      <c r="EP124" s="59">
        <f t="shared" si="100"/>
        <v>0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0</v>
      </c>
      <c r="FK124" s="59">
        <f t="shared" si="102"/>
        <v>0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0</v>
      </c>
      <c r="GF124" s="59">
        <f t="shared" si="104"/>
        <v>0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0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186.90544184210381</v>
      </c>
      <c r="T125" s="59">
        <f t="shared" si="88"/>
        <v>202.05988514450519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34.855094658732803</v>
      </c>
      <c r="AA125" s="21">
        <f>EXP(-LN(2)/25)*AA124+(1-EXP(-LN(2)/25))/(LN(2)/25)*Calculateur!V125*Calculateur!X125*VLOOKUP('Données projet'!$B$9,Paramètres!$A$1:$I$89,3,0)*0.475*44/12</f>
        <v>3.9164629626908316</v>
      </c>
      <c r="AB125" s="21">
        <f>EXP(-LN(2)/2)*AB124+(1-EXP(-LN(2)/2))/(LN(2)/2)*V125*Y125*VLOOKUP('Données projet'!$B$9,Paramètres!$A$1:$I$89,3,0)*0.475*44/12</f>
        <v>2.0034510069577275E-8</v>
      </c>
      <c r="AC125" s="22">
        <f t="shared" si="57"/>
        <v>38.771557641458145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186.90544184210381</v>
      </c>
      <c r="AO125" s="59">
        <f t="shared" si="90"/>
        <v>202.05988514450519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34.855094658732803</v>
      </c>
      <c r="AV125" s="21">
        <f>EXP(-LN(2)/25)*AV124+(1-EXP(-LN(2)/25))/(LN(2)/25)*Calculateur!AQ125*Calculateur!AS125*VLOOKUP('Données projet'!$B$10,Paramètres!$A$1:$I$89,3,0)*0.475*44/12</f>
        <v>3.9164629626908316</v>
      </c>
      <c r="AW125" s="21">
        <f>EXP(-LN(2)/2)*AW124+(1-EXP(-LN(2)/2))/(LN(2)/2)*AQ125*AT125*VLOOKUP('Données projet'!$B$10,Paramètres!$A$1:$I$89,3,0)*0.475*44/12</f>
        <v>2.0034510069577275E-8</v>
      </c>
      <c r="AX125" s="21">
        <f t="shared" si="60"/>
        <v>38.771557641458145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-2.3055690689943732E-14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5.8584049049231908</v>
      </c>
      <c r="BJ125" s="59">
        <f t="shared" si="92"/>
        <v>42.266833200216638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4.7119374493866354E-12</v>
      </c>
      <c r="BS125" s="22">
        <f t="shared" si="63"/>
        <v>4.7119374493866354E-12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0</v>
      </c>
      <c r="CE125" s="59">
        <f t="shared" si="94"/>
        <v>0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0</v>
      </c>
      <c r="CZ125" s="59">
        <f t="shared" si="96"/>
        <v>0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0</v>
      </c>
      <c r="EP125" s="59">
        <f t="shared" si="100"/>
        <v>0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0</v>
      </c>
      <c r="FK125" s="59">
        <f t="shared" si="102"/>
        <v>0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0</v>
      </c>
      <c r="GF125" s="59">
        <f t="shared" si="104"/>
        <v>0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0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186.90544184210381</v>
      </c>
      <c r="T126" s="59">
        <f t="shared" si="88"/>
        <v>202.05988514450519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34.171607511983595</v>
      </c>
      <c r="AA126" s="21">
        <f>EXP(-LN(2)/25)*AA125+(1-EXP(-LN(2)/25))/(LN(2)/25)*Calculateur!V126*Calculateur!X126*VLOOKUP('Données projet'!$B$9,Paramètres!$A$1:$I$89,3,0)*0.475*44/12</f>
        <v>3.8093670770182149</v>
      </c>
      <c r="AB126" s="21">
        <f>EXP(-LN(2)/2)*AB125+(1-EXP(-LN(2)/2))/(LN(2)/2)*V126*Y126*VLOOKUP('Données projet'!$B$9,Paramètres!$A$1:$I$89,3,0)*0.475*44/12</f>
        <v>1.4166537927948261E-8</v>
      </c>
      <c r="AC126" s="22">
        <f t="shared" si="57"/>
        <v>37.980974603168349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186.90544184210381</v>
      </c>
      <c r="AO126" s="59">
        <f t="shared" si="90"/>
        <v>202.05988514450519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34.171607511983595</v>
      </c>
      <c r="AV126" s="21">
        <f>EXP(-LN(2)/25)*AV125+(1-EXP(-LN(2)/25))/(LN(2)/25)*Calculateur!AQ126*Calculateur!AS126*VLOOKUP('Données projet'!$B$10,Paramètres!$A$1:$I$89,3,0)*0.475*44/12</f>
        <v>3.8093670770182149</v>
      </c>
      <c r="AW126" s="21">
        <f>EXP(-LN(2)/2)*AW125+(1-EXP(-LN(2)/2))/(LN(2)/2)*AQ126*AT126*VLOOKUP('Données projet'!$B$10,Paramètres!$A$1:$I$89,3,0)*0.475*44/12</f>
        <v>1.4166537927948261E-8</v>
      </c>
      <c r="AX126" s="21">
        <f t="shared" si="60"/>
        <v>37.980974603168349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-2.3055690689943732E-14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5.8584049049231908</v>
      </c>
      <c r="BJ126" s="59">
        <f t="shared" si="92"/>
        <v>42.266833200216638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3.3318429229881345E-12</v>
      </c>
      <c r="BS126" s="22">
        <f t="shared" si="63"/>
        <v>3.3318429229881345E-12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0</v>
      </c>
      <c r="CE126" s="59">
        <f t="shared" si="94"/>
        <v>0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0</v>
      </c>
      <c r="CZ126" s="59">
        <f t="shared" si="96"/>
        <v>0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0</v>
      </c>
      <c r="EP126" s="59">
        <f t="shared" si="100"/>
        <v>0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0</v>
      </c>
      <c r="FK126" s="59">
        <f t="shared" si="102"/>
        <v>0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0</v>
      </c>
      <c r="GF126" s="59">
        <f t="shared" si="104"/>
        <v>0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0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186.90544184210381</v>
      </c>
      <c r="T127" s="59">
        <f t="shared" si="88"/>
        <v>202.05988514450519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33.501523131296139</v>
      </c>
      <c r="AA127" s="21">
        <f>EXP(-LN(2)/25)*AA126+(1-EXP(-LN(2)/25))/(LN(2)/25)*Calculateur!V127*Calculateur!X127*VLOOKUP('Données projet'!$B$9,Paramètres!$A$1:$I$89,3,0)*0.475*44/12</f>
        <v>3.7051997339712437</v>
      </c>
      <c r="AB127" s="21">
        <f>EXP(-LN(2)/2)*AB126+(1-EXP(-LN(2)/2))/(LN(2)/2)*V127*Y127*VLOOKUP('Données projet'!$B$9,Paramètres!$A$1:$I$89,3,0)*0.475*44/12</f>
        <v>1.0017255034788637E-8</v>
      </c>
      <c r="AC127" s="22">
        <f t="shared" si="57"/>
        <v>37.206722875284633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186.90544184210381</v>
      </c>
      <c r="AO127" s="59">
        <f t="shared" si="90"/>
        <v>202.05988514450519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33.501523131296139</v>
      </c>
      <c r="AV127" s="21">
        <f>EXP(-LN(2)/25)*AV126+(1-EXP(-LN(2)/25))/(LN(2)/25)*Calculateur!AQ127*Calculateur!AS127*VLOOKUP('Données projet'!$B$10,Paramètres!$A$1:$I$89,3,0)*0.475*44/12</f>
        <v>3.7051997339712437</v>
      </c>
      <c r="AW127" s="21">
        <f>EXP(-LN(2)/2)*AW126+(1-EXP(-LN(2)/2))/(LN(2)/2)*AQ127*AT127*VLOOKUP('Données projet'!$B$10,Paramètres!$A$1:$I$89,3,0)*0.475*44/12</f>
        <v>1.0017255034788637E-8</v>
      </c>
      <c r="AX127" s="21">
        <f t="shared" si="60"/>
        <v>37.206722875284633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-2.3055690689943732E-14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5.8584049049231908</v>
      </c>
      <c r="BJ127" s="59">
        <f t="shared" si="92"/>
        <v>42.266833200216638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2.3559687246933177E-12</v>
      </c>
      <c r="BS127" s="22">
        <f t="shared" si="63"/>
        <v>2.3559687246933177E-12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0</v>
      </c>
      <c r="CE127" s="59">
        <f t="shared" si="94"/>
        <v>0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0</v>
      </c>
      <c r="CZ127" s="59">
        <f t="shared" si="96"/>
        <v>0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0</v>
      </c>
      <c r="EP127" s="59">
        <f t="shared" si="100"/>
        <v>0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0</v>
      </c>
      <c r="FK127" s="59">
        <f t="shared" si="102"/>
        <v>0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0</v>
      </c>
      <c r="GF127" s="59">
        <f t="shared" si="104"/>
        <v>0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0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186.90544184210381</v>
      </c>
      <c r="T128" s="59">
        <f t="shared" si="88"/>
        <v>202.05988514450519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32.844578696602852</v>
      </c>
      <c r="AA128" s="21">
        <f>EXP(-LN(2)/25)*AA127+(1-EXP(-LN(2)/25))/(LN(2)/25)*Calculateur!V128*Calculateur!X128*VLOOKUP('Données projet'!$B$9,Paramètres!$A$1:$I$89,3,0)*0.475*44/12</f>
        <v>3.6038808523978143</v>
      </c>
      <c r="AB128" s="21">
        <f>EXP(-LN(2)/2)*AB127+(1-EXP(-LN(2)/2))/(LN(2)/2)*V128*Y128*VLOOKUP('Données projet'!$B$9,Paramètres!$A$1:$I$89,3,0)*0.475*44/12</f>
        <v>7.0832689639741305E-9</v>
      </c>
      <c r="AC128" s="22">
        <f t="shared" si="57"/>
        <v>36.448459556083932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186.90544184210381</v>
      </c>
      <c r="AO128" s="59">
        <f t="shared" si="90"/>
        <v>202.05988514450519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32.844578696602852</v>
      </c>
      <c r="AV128" s="21">
        <f>EXP(-LN(2)/25)*AV127+(1-EXP(-LN(2)/25))/(LN(2)/25)*Calculateur!AQ128*Calculateur!AS128*VLOOKUP('Données projet'!$B$10,Paramètres!$A$1:$I$89,3,0)*0.475*44/12</f>
        <v>3.6038808523978143</v>
      </c>
      <c r="AW128" s="21">
        <f>EXP(-LN(2)/2)*AW127+(1-EXP(-LN(2)/2))/(LN(2)/2)*AQ128*AT128*VLOOKUP('Données projet'!$B$10,Paramètres!$A$1:$I$89,3,0)*0.475*44/12</f>
        <v>7.0832689639741305E-9</v>
      </c>
      <c r="AX128" s="21">
        <f t="shared" si="60"/>
        <v>36.448459556083932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-2.3055690689943732E-14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5.8584049049231908</v>
      </c>
      <c r="BJ128" s="59">
        <f t="shared" si="92"/>
        <v>42.266833200216638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1.6659214614940673E-12</v>
      </c>
      <c r="BS128" s="22">
        <f t="shared" si="63"/>
        <v>1.6659214614940673E-12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0</v>
      </c>
      <c r="CE128" s="59">
        <f t="shared" si="94"/>
        <v>0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0</v>
      </c>
      <c r="CZ128" s="59">
        <f t="shared" si="96"/>
        <v>0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0</v>
      </c>
      <c r="EP128" s="59">
        <f t="shared" si="100"/>
        <v>0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0</v>
      </c>
      <c r="FK128" s="59">
        <f t="shared" si="102"/>
        <v>0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0</v>
      </c>
      <c r="GF128" s="59">
        <f t="shared" si="104"/>
        <v>0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0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186.90544184210381</v>
      </c>
      <c r="T129" s="59">
        <f t="shared" si="88"/>
        <v>202.05988514450519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32.200516541577358</v>
      </c>
      <c r="AA129" s="21">
        <f>EXP(-LN(2)/25)*AA128+(1-EXP(-LN(2)/25))/(LN(2)/25)*Calculateur!V129*Calculateur!X129*VLOOKUP('Données projet'!$B$9,Paramètres!$A$1:$I$89,3,0)*0.475*44/12</f>
        <v>3.5053325409691389</v>
      </c>
      <c r="AB129" s="21">
        <f>EXP(-LN(2)/2)*AB128+(1-EXP(-LN(2)/2))/(LN(2)/2)*V129*Y129*VLOOKUP('Données projet'!$B$9,Paramètres!$A$1:$I$89,3,0)*0.475*44/12</f>
        <v>5.0086275173943186E-9</v>
      </c>
      <c r="AC129" s="22">
        <f t="shared" si="57"/>
        <v>35.705849087555123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186.90544184210381</v>
      </c>
      <c r="AO129" s="59">
        <f t="shared" si="90"/>
        <v>202.05988514450519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32.200516541577358</v>
      </c>
      <c r="AV129" s="21">
        <f>EXP(-LN(2)/25)*AV128+(1-EXP(-LN(2)/25))/(LN(2)/25)*Calculateur!AQ129*Calculateur!AS129*VLOOKUP('Données projet'!$B$10,Paramètres!$A$1:$I$89,3,0)*0.475*44/12</f>
        <v>3.5053325409691389</v>
      </c>
      <c r="AW129" s="21">
        <f>EXP(-LN(2)/2)*AW128+(1-EXP(-LN(2)/2))/(LN(2)/2)*AQ129*AT129*VLOOKUP('Données projet'!$B$10,Paramètres!$A$1:$I$89,3,0)*0.475*44/12</f>
        <v>5.0086275173943186E-9</v>
      </c>
      <c r="AX129" s="21">
        <f t="shared" si="60"/>
        <v>35.705849087555123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-2.3055690689943732E-14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5.8584049049231908</v>
      </c>
      <c r="BJ129" s="59">
        <f t="shared" si="92"/>
        <v>42.266833200216638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1.1779843623466589E-12</v>
      </c>
      <c r="BS129" s="22">
        <f t="shared" si="63"/>
        <v>1.1779843623466589E-12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0</v>
      </c>
      <c r="CE129" s="59">
        <f t="shared" si="94"/>
        <v>0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0</v>
      </c>
      <c r="CZ129" s="59">
        <f t="shared" si="96"/>
        <v>0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0</v>
      </c>
      <c r="EP129" s="59">
        <f t="shared" si="100"/>
        <v>0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0</v>
      </c>
      <c r="FK129" s="59">
        <f t="shared" si="102"/>
        <v>0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0</v>
      </c>
      <c r="GF129" s="59">
        <f t="shared" si="104"/>
        <v>0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0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186.90544184210381</v>
      </c>
      <c r="T130" s="59">
        <f t="shared" si="88"/>
        <v>202.05988514450519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31.569084052572791</v>
      </c>
      <c r="AA130" s="21">
        <f>EXP(-LN(2)/25)*AA129+(1-EXP(-LN(2)/25))/(LN(2)/25)*Calculateur!V130*Calculateur!X130*VLOOKUP('Données projet'!$B$9,Paramètres!$A$1:$I$89,3,0)*0.475*44/12</f>
        <v>3.4094790382989109</v>
      </c>
      <c r="AB130" s="21">
        <f>EXP(-LN(2)/2)*AB129+(1-EXP(-LN(2)/2))/(LN(2)/2)*V130*Y130*VLOOKUP('Données projet'!$B$9,Paramètres!$A$1:$I$89,3,0)*0.475*44/12</f>
        <v>3.5416344819870653E-9</v>
      </c>
      <c r="AC130" s="22">
        <f t="shared" si="57"/>
        <v>34.978563094413339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186.90544184210381</v>
      </c>
      <c r="AO130" s="59">
        <f t="shared" si="90"/>
        <v>202.05988514450519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31.569084052572791</v>
      </c>
      <c r="AV130" s="21">
        <f>EXP(-LN(2)/25)*AV129+(1-EXP(-LN(2)/25))/(LN(2)/25)*Calculateur!AQ130*Calculateur!AS130*VLOOKUP('Données projet'!$B$10,Paramètres!$A$1:$I$89,3,0)*0.475*44/12</f>
        <v>3.4094790382989109</v>
      </c>
      <c r="AW130" s="21">
        <f>EXP(-LN(2)/2)*AW129+(1-EXP(-LN(2)/2))/(LN(2)/2)*AQ130*AT130*VLOOKUP('Données projet'!$B$10,Paramètres!$A$1:$I$89,3,0)*0.475*44/12</f>
        <v>3.5416344819870653E-9</v>
      </c>
      <c r="AX130" s="21">
        <f t="shared" si="60"/>
        <v>34.978563094413339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-2.3055690689943732E-14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5.8584049049231908</v>
      </c>
      <c r="BJ130" s="59">
        <f t="shared" si="92"/>
        <v>42.266833200216638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8.3296073074703363E-13</v>
      </c>
      <c r="BS130" s="22">
        <f t="shared" si="63"/>
        <v>8.3296073074703363E-13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0</v>
      </c>
      <c r="CE130" s="59">
        <f t="shared" si="94"/>
        <v>0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0</v>
      </c>
      <c r="CZ130" s="59">
        <f t="shared" si="96"/>
        <v>0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0</v>
      </c>
      <c r="EP130" s="59">
        <f t="shared" si="100"/>
        <v>0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0</v>
      </c>
      <c r="FK130" s="59">
        <f t="shared" si="102"/>
        <v>0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0</v>
      </c>
      <c r="GF130" s="59">
        <f t="shared" si="104"/>
        <v>0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0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186.90544184210381</v>
      </c>
      <c r="T131" s="59">
        <f t="shared" si="88"/>
        <v>202.05988514450519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30.950033569541812</v>
      </c>
      <c r="AA131" s="21">
        <f>EXP(-LN(2)/25)*AA130+(1-EXP(-LN(2)/25))/(LN(2)/25)*Calculateur!V131*Calculateur!X131*VLOOKUP('Données projet'!$B$9,Paramètres!$A$1:$I$89,3,0)*0.475*44/12</f>
        <v>3.316246654699917</v>
      </c>
      <c r="AB131" s="21">
        <f>EXP(-LN(2)/2)*AB130+(1-EXP(-LN(2)/2))/(LN(2)/2)*V131*Y131*VLOOKUP('Données projet'!$B$9,Paramètres!$A$1:$I$89,3,0)*0.475*44/12</f>
        <v>2.5043137586971593E-9</v>
      </c>
      <c r="AC131" s="22">
        <f t="shared" si="57"/>
        <v>34.266280226746041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186.90544184210381</v>
      </c>
      <c r="AO131" s="59">
        <f t="shared" si="90"/>
        <v>202.05988514450519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30.950033569541812</v>
      </c>
      <c r="AV131" s="21">
        <f>EXP(-LN(2)/25)*AV130+(1-EXP(-LN(2)/25))/(LN(2)/25)*Calculateur!AQ131*Calculateur!AS131*VLOOKUP('Données projet'!$B$10,Paramètres!$A$1:$I$89,3,0)*0.475*44/12</f>
        <v>3.316246654699917</v>
      </c>
      <c r="AW131" s="21">
        <f>EXP(-LN(2)/2)*AW130+(1-EXP(-LN(2)/2))/(LN(2)/2)*AQ131*AT131*VLOOKUP('Données projet'!$B$10,Paramètres!$A$1:$I$89,3,0)*0.475*44/12</f>
        <v>2.5043137586971593E-9</v>
      </c>
      <c r="AX131" s="21">
        <f t="shared" si="60"/>
        <v>34.266280226746041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-2.3055690689943732E-14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5.8584049049231908</v>
      </c>
      <c r="BJ131" s="59">
        <f t="shared" si="92"/>
        <v>42.266833200216638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5.8899218117332943E-13</v>
      </c>
      <c r="BS131" s="22">
        <f t="shared" si="63"/>
        <v>5.8899218117332943E-13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0</v>
      </c>
      <c r="CE131" s="59">
        <f t="shared" si="94"/>
        <v>0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0</v>
      </c>
      <c r="CZ131" s="59">
        <f t="shared" si="96"/>
        <v>0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0</v>
      </c>
      <c r="EP131" s="59">
        <f t="shared" si="100"/>
        <v>0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0</v>
      </c>
      <c r="FK131" s="59">
        <f t="shared" si="102"/>
        <v>0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0</v>
      </c>
      <c r="GF131" s="59">
        <f t="shared" si="104"/>
        <v>0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0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186.90544184210381</v>
      </c>
      <c r="T132" s="59">
        <f t="shared" si="88"/>
        <v>202.05988514450519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30.343122288899561</v>
      </c>
      <c r="AA132" s="21">
        <f>EXP(-LN(2)/25)*AA131+(1-EXP(-LN(2)/25))/(LN(2)/25)*Calculateur!V132*Calculateur!X132*VLOOKUP('Données projet'!$B$9,Paramètres!$A$1:$I$89,3,0)*0.475*44/12</f>
        <v>3.2255637155333154</v>
      </c>
      <c r="AB132" s="21">
        <f>EXP(-LN(2)/2)*AB131+(1-EXP(-LN(2)/2))/(LN(2)/2)*V132*Y132*VLOOKUP('Données projet'!$B$9,Paramètres!$A$1:$I$89,3,0)*0.475*44/12</f>
        <v>1.7708172409935326E-9</v>
      </c>
      <c r="AC132" s="22">
        <f t="shared" ref="AC132:AC153" si="111">SUM(Z132:AB132)</f>
        <v>33.568686006203691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186.90544184210381</v>
      </c>
      <c r="AO132" s="59">
        <f t="shared" si="90"/>
        <v>202.05988514450519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30.343122288899561</v>
      </c>
      <c r="AV132" s="21">
        <f>EXP(-LN(2)/25)*AV131+(1-EXP(-LN(2)/25))/(LN(2)/25)*Calculateur!AQ132*Calculateur!AS132*VLOOKUP('Données projet'!$B$10,Paramètres!$A$1:$I$89,3,0)*0.475*44/12</f>
        <v>3.2255637155333154</v>
      </c>
      <c r="AW132" s="21">
        <f>EXP(-LN(2)/2)*AW131+(1-EXP(-LN(2)/2))/(LN(2)/2)*AQ132*AT132*VLOOKUP('Données projet'!$B$10,Paramètres!$A$1:$I$89,3,0)*0.475*44/12</f>
        <v>1.7708172409935326E-9</v>
      </c>
      <c r="AX132" s="21">
        <f t="shared" ref="AX132:AX153" si="114">SUM(AU132:AW132)</f>
        <v>33.568686006203691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-2.3055690689943732E-14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5.8584049049231908</v>
      </c>
      <c r="BJ132" s="59">
        <f t="shared" si="92"/>
        <v>42.266833200216638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4.1648036537351682E-13</v>
      </c>
      <c r="BS132" s="22">
        <f t="shared" ref="BS132:BS153" si="117">SUM(BP132:BR132)</f>
        <v>4.1648036537351682E-13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0</v>
      </c>
      <c r="CE132" s="59">
        <f t="shared" si="94"/>
        <v>0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0</v>
      </c>
      <c r="CZ132" s="59">
        <f t="shared" si="96"/>
        <v>0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0</v>
      </c>
      <c r="EP132" s="59">
        <f t="shared" si="100"/>
        <v>0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0</v>
      </c>
      <c r="FK132" s="59">
        <f t="shared" si="102"/>
        <v>0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0</v>
      </c>
      <c r="GF132" s="59">
        <f t="shared" si="104"/>
        <v>0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0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186.90544184210381</v>
      </c>
      <c r="T133" s="59">
        <f t="shared" ref="T133:T196" si="142">$T$3</f>
        <v>202.05988514450519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29.748112168291375</v>
      </c>
      <c r="AA133" s="21">
        <f>EXP(-LN(2)/25)*AA132+(1-EXP(-LN(2)/25))/(LN(2)/25)*Calculateur!V133*Calculateur!X133*VLOOKUP('Données projet'!$B$9,Paramètres!$A$1:$I$89,3,0)*0.475*44/12</f>
        <v>3.1373605061070333</v>
      </c>
      <c r="AB133" s="21">
        <f>EXP(-LN(2)/2)*AB132+(1-EXP(-LN(2)/2))/(LN(2)/2)*V133*Y133*VLOOKUP('Données projet'!$B$9,Paramètres!$A$1:$I$89,3,0)*0.475*44/12</f>
        <v>1.2521568793485797E-9</v>
      </c>
      <c r="AC133" s="22">
        <f t="shared" si="111"/>
        <v>32.885472675650561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186.90544184210381</v>
      </c>
      <c r="AO133" s="59">
        <f t="shared" ref="AO133:AO196" si="144">$AO$3</f>
        <v>202.05988514450519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29.748112168291375</v>
      </c>
      <c r="AV133" s="21">
        <f>EXP(-LN(2)/25)*AV132+(1-EXP(-LN(2)/25))/(LN(2)/25)*Calculateur!AQ133*Calculateur!AS133*VLOOKUP('Données projet'!$B$10,Paramètres!$A$1:$I$89,3,0)*0.475*44/12</f>
        <v>3.1373605061070333</v>
      </c>
      <c r="AW133" s="21">
        <f>EXP(-LN(2)/2)*AW132+(1-EXP(-LN(2)/2))/(LN(2)/2)*AQ133*AT133*VLOOKUP('Données projet'!$B$10,Paramètres!$A$1:$I$89,3,0)*0.475*44/12</f>
        <v>1.2521568793485797E-9</v>
      </c>
      <c r="AX133" s="21">
        <f t="shared" si="114"/>
        <v>32.885472675650561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-2.3055690689943732E-14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5.8584049049231908</v>
      </c>
      <c r="BJ133" s="59">
        <f t="shared" ref="BJ133:BJ196" si="146">$BJ$3</f>
        <v>42.266833200216638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2.9449609058666471E-13</v>
      </c>
      <c r="BS133" s="22">
        <f t="shared" si="117"/>
        <v>2.9449609058666471E-13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0</v>
      </c>
      <c r="CE133" s="59">
        <f t="shared" ref="CE133:CE196" si="148">$CE$3</f>
        <v>0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0</v>
      </c>
      <c r="CZ133" s="59">
        <f t="shared" ref="CZ133:CZ196" si="150">$CZ$3</f>
        <v>0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0</v>
      </c>
      <c r="EP133" s="59">
        <f t="shared" ref="EP133:EP196" si="154">$EP$3</f>
        <v>0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0</v>
      </c>
      <c r="FK133" s="59">
        <f t="shared" ref="FK133:FK196" si="156">$FK$3</f>
        <v>0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0</v>
      </c>
      <c r="GF133" s="59">
        <f t="shared" ref="GF133:GF196" si="158">$GF$3</f>
        <v>0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0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186.90544184210381</v>
      </c>
      <c r="T134" s="59">
        <f t="shared" si="142"/>
        <v>202.05988514450519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29.164769833227979</v>
      </c>
      <c r="AA134" s="21">
        <f>EXP(-LN(2)/25)*AA133+(1-EXP(-LN(2)/25))/(LN(2)/25)*Calculateur!V134*Calculateur!X134*VLOOKUP('Données projet'!$B$9,Paramètres!$A$1:$I$89,3,0)*0.475*44/12</f>
        <v>3.051569218080918</v>
      </c>
      <c r="AB134" s="21">
        <f>EXP(-LN(2)/2)*AB133+(1-EXP(-LN(2)/2))/(LN(2)/2)*V134*Y134*VLOOKUP('Données projet'!$B$9,Paramètres!$A$1:$I$89,3,0)*0.475*44/12</f>
        <v>8.8540862049676632E-10</v>
      </c>
      <c r="AC134" s="22">
        <f t="shared" si="111"/>
        <v>32.216339052194307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186.90544184210381</v>
      </c>
      <c r="AO134" s="59">
        <f t="shared" si="144"/>
        <v>202.05988514450519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29.164769833227979</v>
      </c>
      <c r="AV134" s="21">
        <f>EXP(-LN(2)/25)*AV133+(1-EXP(-LN(2)/25))/(LN(2)/25)*Calculateur!AQ134*Calculateur!AS134*VLOOKUP('Données projet'!$B$10,Paramètres!$A$1:$I$89,3,0)*0.475*44/12</f>
        <v>3.051569218080918</v>
      </c>
      <c r="AW134" s="21">
        <f>EXP(-LN(2)/2)*AW133+(1-EXP(-LN(2)/2))/(LN(2)/2)*AQ134*AT134*VLOOKUP('Données projet'!$B$10,Paramètres!$A$1:$I$89,3,0)*0.475*44/12</f>
        <v>8.8540862049676632E-10</v>
      </c>
      <c r="AX134" s="21">
        <f t="shared" si="114"/>
        <v>32.216339052194307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-2.3055690689943732E-14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5.8584049049231908</v>
      </c>
      <c r="BJ134" s="59">
        <f t="shared" si="146"/>
        <v>42.266833200216638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2.0824018268675841E-13</v>
      </c>
      <c r="BS134" s="22">
        <f t="shared" si="117"/>
        <v>2.0824018268675841E-13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0</v>
      </c>
      <c r="CE134" s="59">
        <f t="shared" si="148"/>
        <v>0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0</v>
      </c>
      <c r="CZ134" s="59">
        <f t="shared" si="150"/>
        <v>0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0</v>
      </c>
      <c r="EP134" s="59">
        <f t="shared" si="154"/>
        <v>0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0</v>
      </c>
      <c r="FK134" s="59">
        <f t="shared" si="156"/>
        <v>0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0</v>
      </c>
      <c r="GF134" s="59">
        <f t="shared" si="158"/>
        <v>0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0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186.90544184210381</v>
      </c>
      <c r="T135" s="59">
        <f t="shared" si="142"/>
        <v>202.05988514450519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28.592866485551482</v>
      </c>
      <c r="AA135" s="21">
        <f>EXP(-LN(2)/25)*AA134+(1-EXP(-LN(2)/25))/(LN(2)/25)*Calculateur!V135*Calculateur!X135*VLOOKUP('Données projet'!$B$9,Paramètres!$A$1:$I$89,3,0)*0.475*44/12</f>
        <v>2.9681238973374446</v>
      </c>
      <c r="AB135" s="21">
        <f>EXP(-LN(2)/2)*AB134+(1-EXP(-LN(2)/2))/(LN(2)/2)*V135*Y135*VLOOKUP('Données projet'!$B$9,Paramètres!$A$1:$I$89,3,0)*0.475*44/12</f>
        <v>6.2607843967428983E-10</v>
      </c>
      <c r="AC135" s="22">
        <f t="shared" si="111"/>
        <v>31.560990383515005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186.90544184210381</v>
      </c>
      <c r="AO135" s="59">
        <f t="shared" si="144"/>
        <v>202.05988514450519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28.592866485551482</v>
      </c>
      <c r="AV135" s="21">
        <f>EXP(-LN(2)/25)*AV134+(1-EXP(-LN(2)/25))/(LN(2)/25)*Calculateur!AQ135*Calculateur!AS135*VLOOKUP('Données projet'!$B$10,Paramètres!$A$1:$I$89,3,0)*0.475*44/12</f>
        <v>2.9681238973374446</v>
      </c>
      <c r="AW135" s="21">
        <f>EXP(-LN(2)/2)*AW134+(1-EXP(-LN(2)/2))/(LN(2)/2)*AQ135*AT135*VLOOKUP('Données projet'!$B$10,Paramètres!$A$1:$I$89,3,0)*0.475*44/12</f>
        <v>6.2607843967428983E-10</v>
      </c>
      <c r="AX135" s="21">
        <f t="shared" si="114"/>
        <v>31.560990383515005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-2.3055690689943732E-14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5.8584049049231908</v>
      </c>
      <c r="BJ135" s="59">
        <f t="shared" si="146"/>
        <v>42.266833200216638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1.4724804529333236E-13</v>
      </c>
      <c r="BS135" s="22">
        <f t="shared" si="117"/>
        <v>1.4724804529333236E-13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0</v>
      </c>
      <c r="CE135" s="59">
        <f t="shared" si="148"/>
        <v>0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0</v>
      </c>
      <c r="CZ135" s="59">
        <f t="shared" si="150"/>
        <v>0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0</v>
      </c>
      <c r="EP135" s="59">
        <f t="shared" si="154"/>
        <v>0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0</v>
      </c>
      <c r="FK135" s="59">
        <f t="shared" si="156"/>
        <v>0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0</v>
      </c>
      <c r="GF135" s="59">
        <f t="shared" si="158"/>
        <v>0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0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186.90544184210381</v>
      </c>
      <c r="T136" s="59">
        <f t="shared" si="142"/>
        <v>202.05988514450519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28.032177813696325</v>
      </c>
      <c r="AA136" s="21">
        <f>EXP(-LN(2)/25)*AA135+(1-EXP(-LN(2)/25))/(LN(2)/25)*Calculateur!V136*Calculateur!X136*VLOOKUP('Données projet'!$B$9,Paramètres!$A$1:$I$89,3,0)*0.475*44/12</f>
        <v>2.8869603932779002</v>
      </c>
      <c r="AB136" s="21">
        <f>EXP(-LN(2)/2)*AB135+(1-EXP(-LN(2)/2))/(LN(2)/2)*V136*Y136*VLOOKUP('Données projet'!$B$9,Paramètres!$A$1:$I$89,3,0)*0.475*44/12</f>
        <v>4.4270431024838316E-10</v>
      </c>
      <c r="AC136" s="22">
        <f t="shared" si="111"/>
        <v>30.919138207416928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186.90544184210381</v>
      </c>
      <c r="AO136" s="59">
        <f t="shared" si="144"/>
        <v>202.05988514450519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28.032177813696325</v>
      </c>
      <c r="AV136" s="21">
        <f>EXP(-LN(2)/25)*AV135+(1-EXP(-LN(2)/25))/(LN(2)/25)*Calculateur!AQ136*Calculateur!AS136*VLOOKUP('Données projet'!$B$10,Paramètres!$A$1:$I$89,3,0)*0.475*44/12</f>
        <v>2.8869603932779002</v>
      </c>
      <c r="AW136" s="21">
        <f>EXP(-LN(2)/2)*AW135+(1-EXP(-LN(2)/2))/(LN(2)/2)*AQ136*AT136*VLOOKUP('Données projet'!$B$10,Paramètres!$A$1:$I$89,3,0)*0.475*44/12</f>
        <v>4.4270431024838316E-10</v>
      </c>
      <c r="AX136" s="21">
        <f t="shared" si="114"/>
        <v>30.919138207416928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-2.3055690689943732E-14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5.8584049049231908</v>
      </c>
      <c r="BJ136" s="59">
        <f t="shared" si="146"/>
        <v>42.266833200216638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1.041200913433792E-13</v>
      </c>
      <c r="BS136" s="22">
        <f t="shared" si="117"/>
        <v>1.041200913433792E-13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0</v>
      </c>
      <c r="CE136" s="59">
        <f t="shared" si="148"/>
        <v>0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0</v>
      </c>
      <c r="CZ136" s="59">
        <f t="shared" si="150"/>
        <v>0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0</v>
      </c>
      <c r="EP136" s="59">
        <f t="shared" si="154"/>
        <v>0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0</v>
      </c>
      <c r="FK136" s="59">
        <f t="shared" si="156"/>
        <v>0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0</v>
      </c>
      <c r="GF136" s="59">
        <f t="shared" si="158"/>
        <v>0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0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186.90544184210381</v>
      </c>
      <c r="T137" s="59">
        <f t="shared" si="142"/>
        <v>202.05988514450519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27.482483904709927</v>
      </c>
      <c r="AA137" s="21">
        <f>EXP(-LN(2)/25)*AA136+(1-EXP(-LN(2)/25))/(LN(2)/25)*Calculateur!V137*Calculateur!X137*VLOOKUP('Données projet'!$B$9,Paramètres!$A$1:$I$89,3,0)*0.475*44/12</f>
        <v>2.8080163095050672</v>
      </c>
      <c r="AB137" s="21">
        <f>EXP(-LN(2)/2)*AB136+(1-EXP(-LN(2)/2))/(LN(2)/2)*V137*Y137*VLOOKUP('Données projet'!$B$9,Paramètres!$A$1:$I$89,3,0)*0.475*44/12</f>
        <v>3.1303921983714491E-10</v>
      </c>
      <c r="AC137" s="22">
        <f t="shared" si="111"/>
        <v>30.290500214528034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186.90544184210381</v>
      </c>
      <c r="AO137" s="59">
        <f t="shared" si="144"/>
        <v>202.05988514450519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27.482483904709927</v>
      </c>
      <c r="AV137" s="21">
        <f>EXP(-LN(2)/25)*AV136+(1-EXP(-LN(2)/25))/(LN(2)/25)*Calculateur!AQ137*Calculateur!AS137*VLOOKUP('Données projet'!$B$10,Paramètres!$A$1:$I$89,3,0)*0.475*44/12</f>
        <v>2.8080163095050672</v>
      </c>
      <c r="AW137" s="21">
        <f>EXP(-LN(2)/2)*AW136+(1-EXP(-LN(2)/2))/(LN(2)/2)*AQ137*AT137*VLOOKUP('Données projet'!$B$10,Paramètres!$A$1:$I$89,3,0)*0.475*44/12</f>
        <v>3.1303921983714491E-10</v>
      </c>
      <c r="AX137" s="21">
        <f t="shared" si="114"/>
        <v>30.290500214528034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-2.3055690689943732E-14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5.8584049049231908</v>
      </c>
      <c r="BJ137" s="59">
        <f t="shared" si="146"/>
        <v>42.266833200216638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7.3624022646666179E-14</v>
      </c>
      <c r="BS137" s="22">
        <f t="shared" si="117"/>
        <v>7.3624022646666179E-14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0</v>
      </c>
      <c r="CE137" s="59">
        <f t="shared" si="148"/>
        <v>0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0</v>
      </c>
      <c r="CZ137" s="59">
        <f t="shared" si="150"/>
        <v>0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0</v>
      </c>
      <c r="EP137" s="59">
        <f t="shared" si="154"/>
        <v>0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0</v>
      </c>
      <c r="FK137" s="59">
        <f t="shared" si="156"/>
        <v>0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0</v>
      </c>
      <c r="GF137" s="59">
        <f t="shared" si="158"/>
        <v>0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0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186.90544184210381</v>
      </c>
      <c r="T138" s="59">
        <f t="shared" si="142"/>
        <v>202.05988514450519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26.943569157998571</v>
      </c>
      <c r="AA138" s="21">
        <f>EXP(-LN(2)/25)*AA137+(1-EXP(-LN(2)/25))/(LN(2)/25)*Calculateur!V138*Calculateur!X138*VLOOKUP('Données projet'!$B$9,Paramètres!$A$1:$I$89,3,0)*0.475*44/12</f>
        <v>2.7312309558544912</v>
      </c>
      <c r="AB138" s="21">
        <f>EXP(-LN(2)/2)*AB137+(1-EXP(-LN(2)/2))/(LN(2)/2)*V138*Y138*VLOOKUP('Données projet'!$B$9,Paramètres!$A$1:$I$89,3,0)*0.475*44/12</f>
        <v>2.2135215512419158E-10</v>
      </c>
      <c r="AC138" s="22">
        <f t="shared" si="111"/>
        <v>29.674800114074415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186.90544184210381</v>
      </c>
      <c r="AO138" s="59">
        <f t="shared" si="144"/>
        <v>202.05988514450519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26.943569157998571</v>
      </c>
      <c r="AV138" s="21">
        <f>EXP(-LN(2)/25)*AV137+(1-EXP(-LN(2)/25))/(LN(2)/25)*Calculateur!AQ138*Calculateur!AS138*VLOOKUP('Données projet'!$B$10,Paramètres!$A$1:$I$89,3,0)*0.475*44/12</f>
        <v>2.7312309558544912</v>
      </c>
      <c r="AW138" s="21">
        <f>EXP(-LN(2)/2)*AW137+(1-EXP(-LN(2)/2))/(LN(2)/2)*AQ138*AT138*VLOOKUP('Données projet'!$B$10,Paramètres!$A$1:$I$89,3,0)*0.475*44/12</f>
        <v>2.2135215512419158E-10</v>
      </c>
      <c r="AX138" s="21">
        <f t="shared" si="114"/>
        <v>29.674800114074415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-2.3055690689943732E-14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5.8584049049231908</v>
      </c>
      <c r="BJ138" s="59">
        <f t="shared" si="146"/>
        <v>42.266833200216638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5.2060045671689602E-14</v>
      </c>
      <c r="BS138" s="22">
        <f t="shared" si="117"/>
        <v>5.2060045671689602E-14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0</v>
      </c>
      <c r="CE138" s="59">
        <f t="shared" si="148"/>
        <v>0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0</v>
      </c>
      <c r="CZ138" s="59">
        <f t="shared" si="150"/>
        <v>0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0</v>
      </c>
      <c r="EP138" s="59">
        <f t="shared" si="154"/>
        <v>0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0</v>
      </c>
      <c r="FK138" s="59">
        <f t="shared" si="156"/>
        <v>0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0</v>
      </c>
      <c r="GF138" s="59">
        <f t="shared" si="158"/>
        <v>0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0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186.90544184210381</v>
      </c>
      <c r="T139" s="59">
        <f t="shared" si="142"/>
        <v>202.05988514450519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26.415222200764688</v>
      </c>
      <c r="AA139" s="21">
        <f>EXP(-LN(2)/25)*AA138+(1-EXP(-LN(2)/25))/(LN(2)/25)*Calculateur!V139*Calculateur!X139*VLOOKUP('Données projet'!$B$9,Paramètres!$A$1:$I$89,3,0)*0.475*44/12</f>
        <v>2.6565453017374563</v>
      </c>
      <c r="AB139" s="21">
        <f>EXP(-LN(2)/2)*AB138+(1-EXP(-LN(2)/2))/(LN(2)/2)*V139*Y139*VLOOKUP('Données projet'!$B$9,Paramètres!$A$1:$I$89,3,0)*0.475*44/12</f>
        <v>1.5651960991857246E-10</v>
      </c>
      <c r="AC139" s="22">
        <f t="shared" si="111"/>
        <v>29.071767502658663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186.90544184210381</v>
      </c>
      <c r="AO139" s="59">
        <f t="shared" si="144"/>
        <v>202.05988514450519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26.415222200764688</v>
      </c>
      <c r="AV139" s="21">
        <f>EXP(-LN(2)/25)*AV138+(1-EXP(-LN(2)/25))/(LN(2)/25)*Calculateur!AQ139*Calculateur!AS139*VLOOKUP('Données projet'!$B$10,Paramètres!$A$1:$I$89,3,0)*0.475*44/12</f>
        <v>2.6565453017374563</v>
      </c>
      <c r="AW139" s="21">
        <f>EXP(-LN(2)/2)*AW138+(1-EXP(-LN(2)/2))/(LN(2)/2)*AQ139*AT139*VLOOKUP('Données projet'!$B$10,Paramètres!$A$1:$I$89,3,0)*0.475*44/12</f>
        <v>1.5651960991857246E-10</v>
      </c>
      <c r="AX139" s="21">
        <f t="shared" si="114"/>
        <v>29.071767502658663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-2.3055690689943732E-14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5.8584049049231908</v>
      </c>
      <c r="BJ139" s="59">
        <f t="shared" si="146"/>
        <v>42.266833200216638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3.6812011323333089E-14</v>
      </c>
      <c r="BS139" s="22">
        <f t="shared" si="117"/>
        <v>3.6812011323333089E-14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0</v>
      </c>
      <c r="CE139" s="59">
        <f t="shared" si="148"/>
        <v>0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0</v>
      </c>
      <c r="CZ139" s="59">
        <f t="shared" si="150"/>
        <v>0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0</v>
      </c>
      <c r="EP139" s="59">
        <f t="shared" si="154"/>
        <v>0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0</v>
      </c>
      <c r="FK139" s="59">
        <f t="shared" si="156"/>
        <v>0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0</v>
      </c>
      <c r="GF139" s="59">
        <f t="shared" si="158"/>
        <v>0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0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186.90544184210381</v>
      </c>
      <c r="T140" s="59">
        <f t="shared" si="142"/>
        <v>202.05988514450519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25.897235805102337</v>
      </c>
      <c r="AA140" s="21">
        <f>EXP(-LN(2)/25)*AA139+(1-EXP(-LN(2)/25))/(LN(2)/25)*Calculateur!V140*Calculateur!X140*VLOOKUP('Données projet'!$B$9,Paramètres!$A$1:$I$89,3,0)*0.475*44/12</f>
        <v>2.5839019307597999</v>
      </c>
      <c r="AB140" s="21">
        <f>EXP(-LN(2)/2)*AB139+(1-EXP(-LN(2)/2))/(LN(2)/2)*V140*Y140*VLOOKUP('Données projet'!$B$9,Paramètres!$A$1:$I$89,3,0)*0.475*44/12</f>
        <v>1.1067607756209579E-10</v>
      </c>
      <c r="AC140" s="22">
        <f t="shared" si="111"/>
        <v>28.481137735972816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186.90544184210381</v>
      </c>
      <c r="AO140" s="59">
        <f t="shared" si="144"/>
        <v>202.05988514450519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25.897235805102337</v>
      </c>
      <c r="AV140" s="21">
        <f>EXP(-LN(2)/25)*AV139+(1-EXP(-LN(2)/25))/(LN(2)/25)*Calculateur!AQ140*Calculateur!AS140*VLOOKUP('Données projet'!$B$10,Paramètres!$A$1:$I$89,3,0)*0.475*44/12</f>
        <v>2.5839019307597999</v>
      </c>
      <c r="AW140" s="21">
        <f>EXP(-LN(2)/2)*AW139+(1-EXP(-LN(2)/2))/(LN(2)/2)*AQ140*AT140*VLOOKUP('Données projet'!$B$10,Paramètres!$A$1:$I$89,3,0)*0.475*44/12</f>
        <v>1.1067607756209579E-10</v>
      </c>
      <c r="AX140" s="21">
        <f t="shared" si="114"/>
        <v>28.481137735972816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-2.3055690689943732E-14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5.8584049049231908</v>
      </c>
      <c r="BJ140" s="59">
        <f t="shared" si="146"/>
        <v>42.266833200216638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2.6030022835844801E-14</v>
      </c>
      <c r="BS140" s="22">
        <f t="shared" si="117"/>
        <v>2.6030022835844801E-14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0</v>
      </c>
      <c r="CE140" s="59">
        <f t="shared" si="148"/>
        <v>0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0</v>
      </c>
      <c r="CZ140" s="59">
        <f t="shared" si="150"/>
        <v>0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0</v>
      </c>
      <c r="EP140" s="59">
        <f t="shared" si="154"/>
        <v>0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0</v>
      </c>
      <c r="FK140" s="59">
        <f t="shared" si="156"/>
        <v>0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0</v>
      </c>
      <c r="GF140" s="59">
        <f t="shared" si="158"/>
        <v>0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0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186.90544184210381</v>
      </c>
      <c r="T141" s="59">
        <f t="shared" si="142"/>
        <v>202.05988514450519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25.389406806718419</v>
      </c>
      <c r="AA141" s="21">
        <f>EXP(-LN(2)/25)*AA140+(1-EXP(-LN(2)/25))/(LN(2)/25)*Calculateur!V141*Calculateur!X141*VLOOKUP('Données projet'!$B$9,Paramètres!$A$1:$I$89,3,0)*0.475*44/12</f>
        <v>2.5132449965816761</v>
      </c>
      <c r="AB141" s="21">
        <f>EXP(-LN(2)/2)*AB140+(1-EXP(-LN(2)/2))/(LN(2)/2)*V141*Y141*VLOOKUP('Données projet'!$B$9,Paramètres!$A$1:$I$89,3,0)*0.475*44/12</f>
        <v>7.8259804959286229E-11</v>
      </c>
      <c r="AC141" s="22">
        <f t="shared" si="111"/>
        <v>27.902651803378355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186.90544184210381</v>
      </c>
      <c r="AO141" s="59">
        <f t="shared" si="144"/>
        <v>202.05988514450519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25.389406806718419</v>
      </c>
      <c r="AV141" s="21">
        <f>EXP(-LN(2)/25)*AV140+(1-EXP(-LN(2)/25))/(LN(2)/25)*Calculateur!AQ141*Calculateur!AS141*VLOOKUP('Données projet'!$B$10,Paramètres!$A$1:$I$89,3,0)*0.475*44/12</f>
        <v>2.5132449965816761</v>
      </c>
      <c r="AW141" s="21">
        <f>EXP(-LN(2)/2)*AW140+(1-EXP(-LN(2)/2))/(LN(2)/2)*AQ141*AT141*VLOOKUP('Données projet'!$B$10,Paramètres!$A$1:$I$89,3,0)*0.475*44/12</f>
        <v>7.8259804959286229E-11</v>
      </c>
      <c r="AX141" s="21">
        <f t="shared" si="114"/>
        <v>27.902651803378355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-2.3055690689943732E-14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5.8584049049231908</v>
      </c>
      <c r="BJ141" s="59">
        <f t="shared" si="146"/>
        <v>42.266833200216638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1.8406005661666545E-14</v>
      </c>
      <c r="BS141" s="22">
        <f t="shared" si="117"/>
        <v>1.8406005661666545E-14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0</v>
      </c>
      <c r="CE141" s="59">
        <f t="shared" si="148"/>
        <v>0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0</v>
      </c>
      <c r="CZ141" s="59">
        <f t="shared" si="150"/>
        <v>0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0</v>
      </c>
      <c r="EP141" s="59">
        <f t="shared" si="154"/>
        <v>0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0</v>
      </c>
      <c r="FK141" s="59">
        <f t="shared" si="156"/>
        <v>0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0</v>
      </c>
      <c r="GF141" s="59">
        <f t="shared" si="158"/>
        <v>0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0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186.90544184210381</v>
      </c>
      <c r="T142" s="59">
        <f t="shared" si="142"/>
        <v>202.05988514450519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24.891536025247706</v>
      </c>
      <c r="AA142" s="21">
        <f>EXP(-LN(2)/25)*AA141+(1-EXP(-LN(2)/25))/(LN(2)/25)*Calculateur!V142*Calculateur!X142*VLOOKUP('Données projet'!$B$9,Paramètres!$A$1:$I$89,3,0)*0.475*44/12</f>
        <v>2.4445201799843397</v>
      </c>
      <c r="AB142" s="21">
        <f>EXP(-LN(2)/2)*AB141+(1-EXP(-LN(2)/2))/(LN(2)/2)*V142*Y142*VLOOKUP('Données projet'!$B$9,Paramètres!$A$1:$I$89,3,0)*0.475*44/12</f>
        <v>5.5338038781047895E-11</v>
      </c>
      <c r="AC142" s="22">
        <f t="shared" si="111"/>
        <v>27.336056205287385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186.90544184210381</v>
      </c>
      <c r="AO142" s="59">
        <f t="shared" si="144"/>
        <v>202.05988514450519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24.891536025247706</v>
      </c>
      <c r="AV142" s="21">
        <f>EXP(-LN(2)/25)*AV141+(1-EXP(-LN(2)/25))/(LN(2)/25)*Calculateur!AQ142*Calculateur!AS142*VLOOKUP('Données projet'!$B$10,Paramètres!$A$1:$I$89,3,0)*0.475*44/12</f>
        <v>2.4445201799843397</v>
      </c>
      <c r="AW142" s="21">
        <f>EXP(-LN(2)/2)*AW141+(1-EXP(-LN(2)/2))/(LN(2)/2)*AQ142*AT142*VLOOKUP('Données projet'!$B$10,Paramètres!$A$1:$I$89,3,0)*0.475*44/12</f>
        <v>5.5338038781047895E-11</v>
      </c>
      <c r="AX142" s="21">
        <f t="shared" si="114"/>
        <v>27.336056205287385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-2.3055690689943732E-14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5.8584049049231908</v>
      </c>
      <c r="BJ142" s="59">
        <f t="shared" si="146"/>
        <v>42.266833200216638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1.30150114179224E-14</v>
      </c>
      <c r="BS142" s="22">
        <f t="shared" si="117"/>
        <v>1.30150114179224E-14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0</v>
      </c>
      <c r="CE142" s="59">
        <f t="shared" si="148"/>
        <v>0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0</v>
      </c>
      <c r="CZ142" s="59">
        <f t="shared" si="150"/>
        <v>0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0</v>
      </c>
      <c r="EP142" s="59">
        <f t="shared" si="154"/>
        <v>0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0</v>
      </c>
      <c r="FK142" s="59">
        <f t="shared" si="156"/>
        <v>0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0</v>
      </c>
      <c r="GF142" s="59">
        <f t="shared" si="158"/>
        <v>0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0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186.90544184210381</v>
      </c>
      <c r="T143" s="59">
        <f t="shared" si="142"/>
        <v>202.05988514450519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24.403428186130444</v>
      </c>
      <c r="AA143" s="21">
        <f>EXP(-LN(2)/25)*AA142+(1-EXP(-LN(2)/25))/(LN(2)/25)*Calculateur!V143*Calculateur!X143*VLOOKUP('Données projet'!$B$9,Paramètres!$A$1:$I$89,3,0)*0.475*44/12</f>
        <v>2.3776746471109385</v>
      </c>
      <c r="AB143" s="21">
        <f>EXP(-LN(2)/2)*AB142+(1-EXP(-LN(2)/2))/(LN(2)/2)*V143*Y143*VLOOKUP('Données projet'!$B$9,Paramètres!$A$1:$I$89,3,0)*0.475*44/12</f>
        <v>3.9129902479643114E-11</v>
      </c>
      <c r="AC143" s="22">
        <f t="shared" si="111"/>
        <v>26.781102833280514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186.90544184210381</v>
      </c>
      <c r="AO143" s="59">
        <f t="shared" si="144"/>
        <v>202.05988514450519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24.403428186130444</v>
      </c>
      <c r="AV143" s="21">
        <f>EXP(-LN(2)/25)*AV142+(1-EXP(-LN(2)/25))/(LN(2)/25)*Calculateur!AQ143*Calculateur!AS143*VLOOKUP('Données projet'!$B$10,Paramètres!$A$1:$I$89,3,0)*0.475*44/12</f>
        <v>2.3776746471109385</v>
      </c>
      <c r="AW143" s="21">
        <f>EXP(-LN(2)/2)*AW142+(1-EXP(-LN(2)/2))/(LN(2)/2)*AQ143*AT143*VLOOKUP('Données projet'!$B$10,Paramètres!$A$1:$I$89,3,0)*0.475*44/12</f>
        <v>3.9129902479643114E-11</v>
      </c>
      <c r="AX143" s="21">
        <f t="shared" si="114"/>
        <v>26.781102833280514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-2.3055690689943732E-14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5.8584049049231908</v>
      </c>
      <c r="BJ143" s="59">
        <f t="shared" si="146"/>
        <v>42.266833200216638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9.2030028308332723E-15</v>
      </c>
      <c r="BS143" s="22">
        <f t="shared" si="117"/>
        <v>9.2030028308332723E-15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0</v>
      </c>
      <c r="CE143" s="59">
        <f t="shared" si="148"/>
        <v>0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0</v>
      </c>
      <c r="CZ143" s="59">
        <f t="shared" si="150"/>
        <v>0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0</v>
      </c>
      <c r="EP143" s="59">
        <f t="shared" si="154"/>
        <v>0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0</v>
      </c>
      <c r="FK143" s="59">
        <f t="shared" si="156"/>
        <v>0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0</v>
      </c>
      <c r="GF143" s="59">
        <f t="shared" si="158"/>
        <v>0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0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186.90544184210381</v>
      </c>
      <c r="T144" s="59">
        <f t="shared" si="142"/>
        <v>202.05988514450519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23.924891844021886</v>
      </c>
      <c r="AA144" s="21">
        <f>EXP(-LN(2)/25)*AA143+(1-EXP(-LN(2)/25))/(LN(2)/25)*Calculateur!V144*Calculateur!X144*VLOOKUP('Données projet'!$B$9,Paramètres!$A$1:$I$89,3,0)*0.475*44/12</f>
        <v>2.3126570088492144</v>
      </c>
      <c r="AB144" s="21">
        <f>EXP(-LN(2)/2)*AB143+(1-EXP(-LN(2)/2))/(LN(2)/2)*V144*Y144*VLOOKUP('Données projet'!$B$9,Paramètres!$A$1:$I$89,3,0)*0.475*44/12</f>
        <v>2.7669019390523947E-11</v>
      </c>
      <c r="AC144" s="22">
        <f t="shared" si="111"/>
        <v>26.237548852898769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186.90544184210381</v>
      </c>
      <c r="AO144" s="59">
        <f t="shared" si="144"/>
        <v>202.05988514450519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23.924891844021886</v>
      </c>
      <c r="AV144" s="21">
        <f>EXP(-LN(2)/25)*AV143+(1-EXP(-LN(2)/25))/(LN(2)/25)*Calculateur!AQ144*Calculateur!AS144*VLOOKUP('Données projet'!$B$10,Paramètres!$A$1:$I$89,3,0)*0.475*44/12</f>
        <v>2.3126570088492144</v>
      </c>
      <c r="AW144" s="21">
        <f>EXP(-LN(2)/2)*AW143+(1-EXP(-LN(2)/2))/(LN(2)/2)*AQ144*AT144*VLOOKUP('Données projet'!$B$10,Paramètres!$A$1:$I$89,3,0)*0.475*44/12</f>
        <v>2.7669019390523947E-11</v>
      </c>
      <c r="AX144" s="21">
        <f t="shared" si="114"/>
        <v>26.237548852898769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-2.3055690689943732E-14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5.8584049049231908</v>
      </c>
      <c r="BJ144" s="59">
        <f t="shared" si="146"/>
        <v>42.266833200216638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6.5075057089612002E-15</v>
      </c>
      <c r="BS144" s="22">
        <f t="shared" si="117"/>
        <v>6.5075057089612002E-15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0</v>
      </c>
      <c r="CE144" s="59">
        <f t="shared" si="148"/>
        <v>0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0</v>
      </c>
      <c r="CZ144" s="59">
        <f t="shared" si="150"/>
        <v>0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0</v>
      </c>
      <c r="EP144" s="59">
        <f t="shared" si="154"/>
        <v>0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0</v>
      </c>
      <c r="FK144" s="59">
        <f t="shared" si="156"/>
        <v>0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0</v>
      </c>
      <c r="GF144" s="59">
        <f t="shared" si="158"/>
        <v>0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0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186.90544184210381</v>
      </c>
      <c r="T145" s="59">
        <f t="shared" si="142"/>
        <v>202.05988514450519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23.455739307703727</v>
      </c>
      <c r="AA145" s="21">
        <f>EXP(-LN(2)/25)*AA144+(1-EXP(-LN(2)/25))/(LN(2)/25)*Calculateur!V145*Calculateur!X145*VLOOKUP('Données projet'!$B$9,Paramètres!$A$1:$I$89,3,0)*0.475*44/12</f>
        <v>2.2494172813248863</v>
      </c>
      <c r="AB145" s="21">
        <f>EXP(-LN(2)/2)*AB144+(1-EXP(-LN(2)/2))/(LN(2)/2)*V145*Y145*VLOOKUP('Données projet'!$B$9,Paramètres!$A$1:$I$89,3,0)*0.475*44/12</f>
        <v>1.9564951239821557E-11</v>
      </c>
      <c r="AC145" s="22">
        <f t="shared" si="111"/>
        <v>25.705156589048176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186.90544184210381</v>
      </c>
      <c r="AO145" s="59">
        <f t="shared" si="144"/>
        <v>202.05988514450519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23.455739307703727</v>
      </c>
      <c r="AV145" s="21">
        <f>EXP(-LN(2)/25)*AV144+(1-EXP(-LN(2)/25))/(LN(2)/25)*Calculateur!AQ145*Calculateur!AS145*VLOOKUP('Données projet'!$B$10,Paramètres!$A$1:$I$89,3,0)*0.475*44/12</f>
        <v>2.2494172813248863</v>
      </c>
      <c r="AW145" s="21">
        <f>EXP(-LN(2)/2)*AW144+(1-EXP(-LN(2)/2))/(LN(2)/2)*AQ145*AT145*VLOOKUP('Données projet'!$B$10,Paramètres!$A$1:$I$89,3,0)*0.475*44/12</f>
        <v>1.9564951239821557E-11</v>
      </c>
      <c r="AX145" s="21">
        <f t="shared" si="114"/>
        <v>25.705156589048176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-2.3055690689943732E-14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5.8584049049231908</v>
      </c>
      <c r="BJ145" s="59">
        <f t="shared" si="146"/>
        <v>42.266833200216638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4.6015014154166362E-15</v>
      </c>
      <c r="BS145" s="22">
        <f t="shared" si="117"/>
        <v>4.6015014154166362E-15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0</v>
      </c>
      <c r="CE145" s="59">
        <f t="shared" si="148"/>
        <v>0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0</v>
      </c>
      <c r="CZ145" s="59">
        <f t="shared" si="150"/>
        <v>0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0</v>
      </c>
      <c r="EP145" s="59">
        <f t="shared" si="154"/>
        <v>0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0</v>
      </c>
      <c r="FK145" s="59">
        <f t="shared" si="156"/>
        <v>0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0</v>
      </c>
      <c r="GF145" s="59">
        <f t="shared" si="158"/>
        <v>0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0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186.90544184210381</v>
      </c>
      <c r="T146" s="59">
        <f t="shared" si="142"/>
        <v>202.05988514450519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22.995786566467977</v>
      </c>
      <c r="AA146" s="21">
        <f>EXP(-LN(2)/25)*AA145+(1-EXP(-LN(2)/25))/(LN(2)/25)*Calculateur!V146*Calculateur!X146*VLOOKUP('Données projet'!$B$9,Paramètres!$A$1:$I$89,3,0)*0.475*44/12</f>
        <v>2.1879068474753436</v>
      </c>
      <c r="AB146" s="21">
        <f>EXP(-LN(2)/2)*AB145+(1-EXP(-LN(2)/2))/(LN(2)/2)*V146*Y146*VLOOKUP('Données projet'!$B$9,Paramètres!$A$1:$I$89,3,0)*0.475*44/12</f>
        <v>1.3834509695261974E-11</v>
      </c>
      <c r="AC146" s="22">
        <f t="shared" si="111"/>
        <v>25.183693413957155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186.90544184210381</v>
      </c>
      <c r="AO146" s="59">
        <f t="shared" si="144"/>
        <v>202.05988514450519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22.995786566467977</v>
      </c>
      <c r="AV146" s="21">
        <f>EXP(-LN(2)/25)*AV145+(1-EXP(-LN(2)/25))/(LN(2)/25)*Calculateur!AQ146*Calculateur!AS146*VLOOKUP('Données projet'!$B$10,Paramètres!$A$1:$I$89,3,0)*0.475*44/12</f>
        <v>2.1879068474753436</v>
      </c>
      <c r="AW146" s="21">
        <f>EXP(-LN(2)/2)*AW145+(1-EXP(-LN(2)/2))/(LN(2)/2)*AQ146*AT146*VLOOKUP('Données projet'!$B$10,Paramètres!$A$1:$I$89,3,0)*0.475*44/12</f>
        <v>1.3834509695261974E-11</v>
      </c>
      <c r="AX146" s="21">
        <f t="shared" si="114"/>
        <v>25.183693413957155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-2.3055690689943732E-14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5.8584049049231908</v>
      </c>
      <c r="BJ146" s="59">
        <f t="shared" si="146"/>
        <v>42.266833200216638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3.2537528544806001E-15</v>
      </c>
      <c r="BS146" s="22">
        <f t="shared" si="117"/>
        <v>3.2537528544806001E-15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0</v>
      </c>
      <c r="CE146" s="59">
        <f t="shared" si="148"/>
        <v>0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0</v>
      </c>
      <c r="CZ146" s="59">
        <f t="shared" si="150"/>
        <v>0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0</v>
      </c>
      <c r="EP146" s="59">
        <f t="shared" si="154"/>
        <v>0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0</v>
      </c>
      <c r="FK146" s="59">
        <f t="shared" si="156"/>
        <v>0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0</v>
      </c>
      <c r="GF146" s="59">
        <f t="shared" si="158"/>
        <v>0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0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186.90544184210381</v>
      </c>
      <c r="T147" s="59">
        <f t="shared" si="142"/>
        <v>202.05988514450519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22.544853217944389</v>
      </c>
      <c r="AA147" s="21">
        <f>EXP(-LN(2)/25)*AA146+(1-EXP(-LN(2)/25))/(LN(2)/25)*Calculateur!V147*Calculateur!X147*VLOOKUP('Données projet'!$B$9,Paramètres!$A$1:$I$89,3,0)*0.475*44/12</f>
        <v>2.1280784196741096</v>
      </c>
      <c r="AB147" s="21">
        <f>EXP(-LN(2)/2)*AB146+(1-EXP(-LN(2)/2))/(LN(2)/2)*V147*Y147*VLOOKUP('Données projet'!$B$9,Paramètres!$A$1:$I$89,3,0)*0.475*44/12</f>
        <v>9.7824756199107786E-12</v>
      </c>
      <c r="AC147" s="22">
        <f t="shared" si="111"/>
        <v>24.672931637628285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186.90544184210381</v>
      </c>
      <c r="AO147" s="59">
        <f t="shared" si="144"/>
        <v>202.05988514450519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22.544853217944389</v>
      </c>
      <c r="AV147" s="21">
        <f>EXP(-LN(2)/25)*AV146+(1-EXP(-LN(2)/25))/(LN(2)/25)*Calculateur!AQ147*Calculateur!AS147*VLOOKUP('Données projet'!$B$10,Paramètres!$A$1:$I$89,3,0)*0.475*44/12</f>
        <v>2.1280784196741096</v>
      </c>
      <c r="AW147" s="21">
        <f>EXP(-LN(2)/2)*AW146+(1-EXP(-LN(2)/2))/(LN(2)/2)*AQ147*AT147*VLOOKUP('Données projet'!$B$10,Paramètres!$A$1:$I$89,3,0)*0.475*44/12</f>
        <v>9.7824756199107786E-12</v>
      </c>
      <c r="AX147" s="21">
        <f t="shared" si="114"/>
        <v>24.672931637628285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-2.3055690689943732E-14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5.8584049049231908</v>
      </c>
      <c r="BJ147" s="59">
        <f t="shared" si="146"/>
        <v>42.266833200216638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2.3007507077083181E-15</v>
      </c>
      <c r="BS147" s="22">
        <f t="shared" si="117"/>
        <v>2.3007507077083181E-15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0</v>
      </c>
      <c r="CE147" s="59">
        <f t="shared" si="148"/>
        <v>0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0</v>
      </c>
      <c r="CZ147" s="59">
        <f t="shared" si="150"/>
        <v>0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0</v>
      </c>
      <c r="EP147" s="59">
        <f t="shared" si="154"/>
        <v>0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0</v>
      </c>
      <c r="FK147" s="59">
        <f t="shared" si="156"/>
        <v>0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0</v>
      </c>
      <c r="GF147" s="59">
        <f t="shared" si="158"/>
        <v>0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0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186.90544184210381</v>
      </c>
      <c r="T148" s="59">
        <f t="shared" si="142"/>
        <v>202.05988514450519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22.102762397343163</v>
      </c>
      <c r="AA148" s="21">
        <f>EXP(-LN(2)/25)*AA147+(1-EXP(-LN(2)/25))/(LN(2)/25)*Calculateur!V148*Calculateur!X148*VLOOKUP('Données projet'!$B$9,Paramètres!$A$1:$I$89,3,0)*0.475*44/12</f>
        <v>2.069886003377341</v>
      </c>
      <c r="AB148" s="21">
        <f>EXP(-LN(2)/2)*AB147+(1-EXP(-LN(2)/2))/(LN(2)/2)*V148*Y148*VLOOKUP('Données projet'!$B$9,Paramètres!$A$1:$I$89,3,0)*0.475*44/12</f>
        <v>6.9172548476309868E-12</v>
      </c>
      <c r="AC148" s="22">
        <f t="shared" si="111"/>
        <v>24.172648400727422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186.90544184210381</v>
      </c>
      <c r="AO148" s="59">
        <f t="shared" si="144"/>
        <v>202.05988514450519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22.102762397343163</v>
      </c>
      <c r="AV148" s="21">
        <f>EXP(-LN(2)/25)*AV147+(1-EXP(-LN(2)/25))/(LN(2)/25)*Calculateur!AQ148*Calculateur!AS148*VLOOKUP('Données projet'!$B$10,Paramètres!$A$1:$I$89,3,0)*0.475*44/12</f>
        <v>2.069886003377341</v>
      </c>
      <c r="AW148" s="21">
        <f>EXP(-LN(2)/2)*AW147+(1-EXP(-LN(2)/2))/(LN(2)/2)*AQ148*AT148*VLOOKUP('Données projet'!$B$10,Paramètres!$A$1:$I$89,3,0)*0.475*44/12</f>
        <v>6.9172548476309868E-12</v>
      </c>
      <c r="AX148" s="21">
        <f t="shared" si="114"/>
        <v>24.172648400727422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-2.3055690689943732E-14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5.8584049049231908</v>
      </c>
      <c r="BJ148" s="59">
        <f t="shared" si="146"/>
        <v>42.266833200216638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1.6268764272403001E-15</v>
      </c>
      <c r="BS148" s="22">
        <f t="shared" si="117"/>
        <v>1.6268764272403001E-15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0</v>
      </c>
      <c r="CE148" s="59">
        <f t="shared" si="148"/>
        <v>0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0</v>
      </c>
      <c r="CZ148" s="59">
        <f t="shared" si="150"/>
        <v>0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0</v>
      </c>
      <c r="EP148" s="59">
        <f t="shared" si="154"/>
        <v>0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0</v>
      </c>
      <c r="FK148" s="59">
        <f t="shared" si="156"/>
        <v>0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0</v>
      </c>
      <c r="GF148" s="59">
        <f t="shared" si="158"/>
        <v>0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0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186.90544184210381</v>
      </c>
      <c r="T149" s="59">
        <f t="shared" si="142"/>
        <v>202.05988514450519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21.669340708085151</v>
      </c>
      <c r="AA149" s="21">
        <f>EXP(-LN(2)/25)*AA148+(1-EXP(-LN(2)/25))/(LN(2)/25)*Calculateur!V149*Calculateur!X149*VLOOKUP('Données projet'!$B$9,Paramètres!$A$1:$I$89,3,0)*0.475*44/12</f>
        <v>2.0132848617644132</v>
      </c>
      <c r="AB149" s="21">
        <f>EXP(-LN(2)/2)*AB148+(1-EXP(-LN(2)/2))/(LN(2)/2)*V149*Y149*VLOOKUP('Données projet'!$B$9,Paramètres!$A$1:$I$89,3,0)*0.475*44/12</f>
        <v>4.8912378099553893E-12</v>
      </c>
      <c r="AC149" s="22">
        <f t="shared" si="111"/>
        <v>23.682625569854455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186.90544184210381</v>
      </c>
      <c r="AO149" s="59">
        <f t="shared" si="144"/>
        <v>202.05988514450519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21.669340708085151</v>
      </c>
      <c r="AV149" s="21">
        <f>EXP(-LN(2)/25)*AV148+(1-EXP(-LN(2)/25))/(LN(2)/25)*Calculateur!AQ149*Calculateur!AS149*VLOOKUP('Données projet'!$B$10,Paramètres!$A$1:$I$89,3,0)*0.475*44/12</f>
        <v>2.0132848617644132</v>
      </c>
      <c r="AW149" s="21">
        <f>EXP(-LN(2)/2)*AW148+(1-EXP(-LN(2)/2))/(LN(2)/2)*AQ149*AT149*VLOOKUP('Données projet'!$B$10,Paramètres!$A$1:$I$89,3,0)*0.475*44/12</f>
        <v>4.8912378099553893E-12</v>
      </c>
      <c r="AX149" s="21">
        <f t="shared" si="114"/>
        <v>23.682625569854455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-2.3055690689943732E-14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5.8584049049231908</v>
      </c>
      <c r="BJ149" s="59">
        <f t="shared" si="146"/>
        <v>42.266833200216638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1.150375353854159E-15</v>
      </c>
      <c r="BS149" s="22">
        <f t="shared" si="117"/>
        <v>1.150375353854159E-15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0</v>
      </c>
      <c r="CE149" s="59">
        <f t="shared" si="148"/>
        <v>0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0</v>
      </c>
      <c r="CZ149" s="59">
        <f t="shared" si="150"/>
        <v>0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0</v>
      </c>
      <c r="EP149" s="59">
        <f t="shared" si="154"/>
        <v>0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0</v>
      </c>
      <c r="FK149" s="59">
        <f t="shared" si="156"/>
        <v>0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0</v>
      </c>
      <c r="GF149" s="59">
        <f t="shared" si="158"/>
        <v>0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0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186.90544184210381</v>
      </c>
      <c r="T150" s="59">
        <f t="shared" si="142"/>
        <v>202.05988514450519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21.244418153792363</v>
      </c>
      <c r="AA150" s="21">
        <f>EXP(-LN(2)/25)*AA149+(1-EXP(-LN(2)/25))/(LN(2)/25)*Calculateur!V150*Calculateur!X150*VLOOKUP('Données projet'!$B$9,Paramètres!$A$1:$I$89,3,0)*0.475*44/12</f>
        <v>1.9582314813454158</v>
      </c>
      <c r="AB150" s="21">
        <f>EXP(-LN(2)/2)*AB149+(1-EXP(-LN(2)/2))/(LN(2)/2)*V150*Y150*VLOOKUP('Données projet'!$B$9,Paramètres!$A$1:$I$89,3,0)*0.475*44/12</f>
        <v>3.4586274238154934E-12</v>
      </c>
      <c r="AC150" s="22">
        <f t="shared" si="111"/>
        <v>23.202649635141238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186.90544184210381</v>
      </c>
      <c r="AO150" s="59">
        <f t="shared" si="144"/>
        <v>202.05988514450519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21.244418153792363</v>
      </c>
      <c r="AV150" s="21">
        <f>EXP(-LN(2)/25)*AV149+(1-EXP(-LN(2)/25))/(LN(2)/25)*Calculateur!AQ150*Calculateur!AS150*VLOOKUP('Données projet'!$B$10,Paramètres!$A$1:$I$89,3,0)*0.475*44/12</f>
        <v>1.9582314813454158</v>
      </c>
      <c r="AW150" s="21">
        <f>EXP(-LN(2)/2)*AW149+(1-EXP(-LN(2)/2))/(LN(2)/2)*AQ150*AT150*VLOOKUP('Données projet'!$B$10,Paramètres!$A$1:$I$89,3,0)*0.475*44/12</f>
        <v>3.4586274238154934E-12</v>
      </c>
      <c r="AX150" s="21">
        <f t="shared" si="114"/>
        <v>23.202649635141238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-2.3055690689943732E-14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5.8584049049231908</v>
      </c>
      <c r="BJ150" s="59">
        <f t="shared" si="146"/>
        <v>42.266833200216638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8.1343821362015003E-16</v>
      </c>
      <c r="BS150" s="22">
        <f t="shared" si="117"/>
        <v>8.1343821362015003E-16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0</v>
      </c>
      <c r="CE150" s="59">
        <f t="shared" si="148"/>
        <v>0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0</v>
      </c>
      <c r="CZ150" s="59">
        <f t="shared" si="150"/>
        <v>0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0</v>
      </c>
      <c r="EP150" s="59">
        <f t="shared" si="154"/>
        <v>0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0</v>
      </c>
      <c r="FK150" s="59">
        <f t="shared" si="156"/>
        <v>0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0</v>
      </c>
      <c r="GF150" s="59">
        <f t="shared" si="158"/>
        <v>0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0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186.90544184210381</v>
      </c>
      <c r="T151" s="59">
        <f t="shared" si="142"/>
        <v>202.05988514450519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20.827828071612092</v>
      </c>
      <c r="AA151" s="21">
        <f>EXP(-LN(2)/25)*AA150+(1-EXP(-LN(2)/25))/(LN(2)/25)*Calculateur!V151*Calculateur!X151*VLOOKUP('Données projet'!$B$9,Paramètres!$A$1:$I$89,3,0)*0.475*44/12</f>
        <v>1.9046835385091074</v>
      </c>
      <c r="AB151" s="21">
        <f>EXP(-LN(2)/2)*AB150+(1-EXP(-LN(2)/2))/(LN(2)/2)*V151*Y151*VLOOKUP('Données projet'!$B$9,Paramètres!$A$1:$I$89,3,0)*0.475*44/12</f>
        <v>2.4456189049776946E-12</v>
      </c>
      <c r="AC151" s="22">
        <f t="shared" si="111"/>
        <v>22.732511610123645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186.90544184210381</v>
      </c>
      <c r="AO151" s="59">
        <f t="shared" si="144"/>
        <v>202.05988514450519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20.827828071612092</v>
      </c>
      <c r="AV151" s="21">
        <f>EXP(-LN(2)/25)*AV150+(1-EXP(-LN(2)/25))/(LN(2)/25)*Calculateur!AQ151*Calculateur!AS151*VLOOKUP('Données projet'!$B$10,Paramètres!$A$1:$I$89,3,0)*0.475*44/12</f>
        <v>1.9046835385091074</v>
      </c>
      <c r="AW151" s="21">
        <f>EXP(-LN(2)/2)*AW150+(1-EXP(-LN(2)/2))/(LN(2)/2)*AQ151*AT151*VLOOKUP('Données projet'!$B$10,Paramètres!$A$1:$I$89,3,0)*0.475*44/12</f>
        <v>2.4456189049776946E-12</v>
      </c>
      <c r="AX151" s="21">
        <f t="shared" si="114"/>
        <v>22.732511610123645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-2.3055690689943732E-14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5.8584049049231908</v>
      </c>
      <c r="BJ151" s="59">
        <f t="shared" si="146"/>
        <v>42.266833200216638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5.7518767692707952E-16</v>
      </c>
      <c r="BS151" s="22">
        <f t="shared" si="117"/>
        <v>5.7518767692707952E-16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0</v>
      </c>
      <c r="CE151" s="59">
        <f t="shared" si="148"/>
        <v>0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0</v>
      </c>
      <c r="CZ151" s="59">
        <f t="shared" si="150"/>
        <v>0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0</v>
      </c>
      <c r="EP151" s="59">
        <f t="shared" si="154"/>
        <v>0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0</v>
      </c>
      <c r="FK151" s="59">
        <f t="shared" si="156"/>
        <v>0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0</v>
      </c>
      <c r="GF151" s="59">
        <f t="shared" si="158"/>
        <v>0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0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186.90544184210381</v>
      </c>
      <c r="T152" s="59">
        <f t="shared" si="142"/>
        <v>202.05988514450519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20.419407066848514</v>
      </c>
      <c r="AA152" s="21">
        <f>EXP(-LN(2)/25)*AA151+(1-EXP(-LN(2)/25))/(LN(2)/25)*Calculateur!V152*Calculateur!X152*VLOOKUP('Données projet'!$B$9,Paramètres!$A$1:$I$89,3,0)*0.475*44/12</f>
        <v>1.8525998669856218</v>
      </c>
      <c r="AB152" s="21">
        <f>EXP(-LN(2)/2)*AB151+(1-EXP(-LN(2)/2))/(LN(2)/2)*V152*Y152*VLOOKUP('Données projet'!$B$9,Paramètres!$A$1:$I$89,3,0)*0.475*44/12</f>
        <v>1.7293137119077467E-12</v>
      </c>
      <c r="AC152" s="22">
        <f t="shared" si="111"/>
        <v>22.272006933835865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186.90544184210381</v>
      </c>
      <c r="AO152" s="59">
        <f t="shared" si="144"/>
        <v>202.05988514450519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20.419407066848514</v>
      </c>
      <c r="AV152" s="21">
        <f>EXP(-LN(2)/25)*AV151+(1-EXP(-LN(2)/25))/(LN(2)/25)*Calculateur!AQ152*Calculateur!AS152*VLOOKUP('Données projet'!$B$10,Paramètres!$A$1:$I$89,3,0)*0.475*44/12</f>
        <v>1.8525998669856218</v>
      </c>
      <c r="AW152" s="21">
        <f>EXP(-LN(2)/2)*AW151+(1-EXP(-LN(2)/2))/(LN(2)/2)*AQ152*AT152*VLOOKUP('Données projet'!$B$10,Paramètres!$A$1:$I$89,3,0)*0.475*44/12</f>
        <v>1.7293137119077467E-12</v>
      </c>
      <c r="AX152" s="21">
        <f t="shared" si="114"/>
        <v>22.272006933835865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-2.3055690689943732E-14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5.8584049049231908</v>
      </c>
      <c r="BJ152" s="59">
        <f t="shared" si="146"/>
        <v>42.266833200216638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4.0671910681007502E-16</v>
      </c>
      <c r="BS152" s="22">
        <f t="shared" si="117"/>
        <v>4.0671910681007502E-16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0</v>
      </c>
      <c r="CE152" s="59">
        <f t="shared" si="148"/>
        <v>0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0</v>
      </c>
      <c r="CZ152" s="59">
        <f t="shared" si="150"/>
        <v>0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0</v>
      </c>
      <c r="EP152" s="59">
        <f t="shared" si="154"/>
        <v>0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0</v>
      </c>
      <c r="FK152" s="59">
        <f t="shared" si="156"/>
        <v>0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0</v>
      </c>
      <c r="GF152" s="59">
        <f t="shared" si="158"/>
        <v>0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0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186.90544184210381</v>
      </c>
      <c r="T153" s="59">
        <f t="shared" si="142"/>
        <v>202.05988514450519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20.018994948876134</v>
      </c>
      <c r="AA153" s="21">
        <f>EXP(-LN(2)/25)*AA152+(1-EXP(-LN(2)/25))/(LN(2)/25)*Calculateur!V153*Calculateur!X153*VLOOKUP('Données projet'!$B$9,Paramètres!$A$1:$I$89,3,0)*0.475*44/12</f>
        <v>1.8019404261989072</v>
      </c>
      <c r="AB153" s="21">
        <f>EXP(-LN(2)/2)*AB152+(1-EXP(-LN(2)/2))/(LN(2)/2)*V153*Y153*VLOOKUP('Données projet'!$B$9,Paramètres!$A$1:$I$89,3,0)*0.475*44/12</f>
        <v>1.2228094524888473E-12</v>
      </c>
      <c r="AC153" s="22">
        <f t="shared" si="111"/>
        <v>21.820935375076264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186.90544184210381</v>
      </c>
      <c r="AO153" s="59">
        <f t="shared" si="144"/>
        <v>202.05988514450519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20.018994948876134</v>
      </c>
      <c r="AV153" s="21">
        <f>EXP(-LN(2)/25)*AV152+(1-EXP(-LN(2)/25))/(LN(2)/25)*Calculateur!AQ153*Calculateur!AS153*VLOOKUP('Données projet'!$B$10,Paramètres!$A$1:$I$89,3,0)*0.475*44/12</f>
        <v>1.8019404261989072</v>
      </c>
      <c r="AW153" s="21">
        <f>EXP(-LN(2)/2)*AW152+(1-EXP(-LN(2)/2))/(LN(2)/2)*AQ153*AT153*VLOOKUP('Données projet'!$B$10,Paramètres!$A$1:$I$89,3,0)*0.475*44/12</f>
        <v>1.2228094524888473E-12</v>
      </c>
      <c r="AX153" s="21">
        <f t="shared" si="114"/>
        <v>21.820935375076264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-2.3055690689943732E-14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5.8584049049231908</v>
      </c>
      <c r="BJ153" s="59">
        <f t="shared" si="146"/>
        <v>42.266833200216638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2.8759383846353976E-16</v>
      </c>
      <c r="BS153" s="22">
        <f t="shared" si="117"/>
        <v>2.8759383846353976E-16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0</v>
      </c>
      <c r="CE153" s="59">
        <f t="shared" si="148"/>
        <v>0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0</v>
      </c>
      <c r="CZ153" s="59">
        <f t="shared" si="150"/>
        <v>0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0</v>
      </c>
      <c r="EP153" s="59">
        <f t="shared" si="154"/>
        <v>0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0</v>
      </c>
      <c r="FK153" s="59">
        <f t="shared" si="156"/>
        <v>0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0</v>
      </c>
      <c r="GF153" s="59">
        <f t="shared" si="158"/>
        <v>0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0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186.90544184210381</v>
      </c>
      <c r="T154" s="59">
        <f t="shared" si="142"/>
        <v>202.05988514450519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19.626434668309916</v>
      </c>
      <c r="AA154" s="21">
        <f>EXP(-LN(2)/25)*AA153+(1-EXP(-LN(2)/25))/(LN(2)/25)*Calculateur!V154*Calculateur!X154*VLOOKUP('Données projet'!$B$9,Paramètres!$A$1:$I$89,3,0)*0.475*44/12</f>
        <v>1.7526662704845695</v>
      </c>
      <c r="AB154" s="21">
        <f>EXP(-LN(2)/2)*AB153+(1-EXP(-LN(2)/2))/(LN(2)/2)*V154*Y154*VLOOKUP('Données projet'!$B$9,Paramètres!$A$1:$I$89,3,0)*0.475*44/12</f>
        <v>8.6465685595387336E-13</v>
      </c>
      <c r="AC154" s="22">
        <f t="shared" ref="AC154:AC203" si="163">SUM(Z154:AB154)</f>
        <v>21.37910093879535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186.90544184210381</v>
      </c>
      <c r="AO154" s="59">
        <f t="shared" si="144"/>
        <v>202.05988514450519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19.626434668309916</v>
      </c>
      <c r="AV154" s="21">
        <f>EXP(-LN(2)/25)*AV153+(1-EXP(-LN(2)/25))/(LN(2)/25)*Calculateur!AQ154*Calculateur!AS154*VLOOKUP('Données projet'!$B$10,Paramètres!$A$1:$I$89,3,0)*0.475*44/12</f>
        <v>1.7526662704845695</v>
      </c>
      <c r="AW154" s="21">
        <f>EXP(-LN(2)/2)*AW153+(1-EXP(-LN(2)/2))/(LN(2)/2)*AQ154*AT154*VLOOKUP('Données projet'!$B$10,Paramètres!$A$1:$I$89,3,0)*0.475*44/12</f>
        <v>8.6465685595387336E-13</v>
      </c>
      <c r="AX154" s="21">
        <f t="shared" ref="AX154:AX203" si="166">SUM(AU154:AW154)</f>
        <v>21.37910093879535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-2.3055690689943732E-14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5.8584049049231908</v>
      </c>
      <c r="BJ154" s="59">
        <f t="shared" si="146"/>
        <v>42.266833200216638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2.0335955340503751E-16</v>
      </c>
      <c r="BS154" s="22">
        <f t="shared" ref="BS154:BS203" si="169">SUM(BP154:BR154)</f>
        <v>2.0335955340503751E-16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0</v>
      </c>
      <c r="CE154" s="59">
        <f t="shared" si="148"/>
        <v>0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0</v>
      </c>
      <c r="CZ154" s="59">
        <f t="shared" si="150"/>
        <v>0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0</v>
      </c>
      <c r="EP154" s="59">
        <f t="shared" si="154"/>
        <v>0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0</v>
      </c>
      <c r="FK154" s="59">
        <f t="shared" si="156"/>
        <v>0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0</v>
      </c>
      <c r="GF154" s="59">
        <f t="shared" si="158"/>
        <v>0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0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186.90544184210381</v>
      </c>
      <c r="T155" s="59">
        <f t="shared" si="142"/>
        <v>202.05988514450519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19.241572255407473</v>
      </c>
      <c r="AA155" s="21">
        <f>EXP(-LN(2)/25)*AA154+(1-EXP(-LN(2)/25))/(LN(2)/25)*Calculateur!V155*Calculateur!X155*VLOOKUP('Données projet'!$B$9,Paramètres!$A$1:$I$89,3,0)*0.475*44/12</f>
        <v>1.7047395191494554</v>
      </c>
      <c r="AB155" s="21">
        <f>EXP(-LN(2)/2)*AB154+(1-EXP(-LN(2)/2))/(LN(2)/2)*V155*Y155*VLOOKUP('Données projet'!$B$9,Paramètres!$A$1:$I$89,3,0)*0.475*44/12</f>
        <v>6.1140472624442366E-13</v>
      </c>
      <c r="AC155" s="22">
        <f t="shared" si="163"/>
        <v>20.94631177455754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186.90544184210381</v>
      </c>
      <c r="AO155" s="59">
        <f t="shared" si="144"/>
        <v>202.05988514450519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19.241572255407473</v>
      </c>
      <c r="AV155" s="21">
        <f>EXP(-LN(2)/25)*AV154+(1-EXP(-LN(2)/25))/(LN(2)/25)*Calculateur!AQ155*Calculateur!AS155*VLOOKUP('Données projet'!$B$10,Paramètres!$A$1:$I$89,3,0)*0.475*44/12</f>
        <v>1.7047395191494554</v>
      </c>
      <c r="AW155" s="21">
        <f>EXP(-LN(2)/2)*AW154+(1-EXP(-LN(2)/2))/(LN(2)/2)*AQ155*AT155*VLOOKUP('Données projet'!$B$10,Paramètres!$A$1:$I$89,3,0)*0.475*44/12</f>
        <v>6.1140472624442366E-13</v>
      </c>
      <c r="AX155" s="21">
        <f t="shared" si="166"/>
        <v>20.94631177455754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-2.3055690689943732E-14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5.8584049049231908</v>
      </c>
      <c r="BJ155" s="59">
        <f t="shared" si="146"/>
        <v>42.266833200216638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1.4379691923176988E-16</v>
      </c>
      <c r="BS155" s="22">
        <f t="shared" si="169"/>
        <v>1.4379691923176988E-16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0</v>
      </c>
      <c r="CE155" s="59">
        <f t="shared" si="148"/>
        <v>0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0</v>
      </c>
      <c r="CZ155" s="59">
        <f t="shared" si="150"/>
        <v>0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0</v>
      </c>
      <c r="EP155" s="59">
        <f t="shared" si="154"/>
        <v>0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0</v>
      </c>
      <c r="FK155" s="59">
        <f t="shared" si="156"/>
        <v>0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0</v>
      </c>
      <c r="GF155" s="59">
        <f t="shared" si="158"/>
        <v>0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0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186.90544184210381</v>
      </c>
      <c r="T156" s="59">
        <f t="shared" si="142"/>
        <v>202.05988514450519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18.864256759679154</v>
      </c>
      <c r="AA156" s="21">
        <f>EXP(-LN(2)/25)*AA155+(1-EXP(-LN(2)/25))/(LN(2)/25)*Calculateur!V156*Calculateur!X156*VLOOKUP('Données projet'!$B$9,Paramètres!$A$1:$I$89,3,0)*0.475*44/12</f>
        <v>1.6581233273499585</v>
      </c>
      <c r="AB156" s="21">
        <f>EXP(-LN(2)/2)*AB155+(1-EXP(-LN(2)/2))/(LN(2)/2)*V156*Y156*VLOOKUP('Données projet'!$B$9,Paramètres!$A$1:$I$89,3,0)*0.475*44/12</f>
        <v>4.3232842797693668E-13</v>
      </c>
      <c r="AC156" s="22">
        <f t="shared" si="163"/>
        <v>20.522380087029546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186.90544184210381</v>
      </c>
      <c r="AO156" s="59">
        <f t="shared" si="144"/>
        <v>202.05988514450519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18.864256759679154</v>
      </c>
      <c r="AV156" s="21">
        <f>EXP(-LN(2)/25)*AV155+(1-EXP(-LN(2)/25))/(LN(2)/25)*Calculateur!AQ156*Calculateur!AS156*VLOOKUP('Données projet'!$B$10,Paramètres!$A$1:$I$89,3,0)*0.475*44/12</f>
        <v>1.6581233273499585</v>
      </c>
      <c r="AW156" s="21">
        <f>EXP(-LN(2)/2)*AW155+(1-EXP(-LN(2)/2))/(LN(2)/2)*AQ156*AT156*VLOOKUP('Données projet'!$B$10,Paramètres!$A$1:$I$89,3,0)*0.475*44/12</f>
        <v>4.3232842797693668E-13</v>
      </c>
      <c r="AX156" s="21">
        <f t="shared" si="166"/>
        <v>20.522380087029546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-2.3055690689943732E-14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5.8584049049231908</v>
      </c>
      <c r="BJ156" s="59">
        <f t="shared" si="146"/>
        <v>42.266833200216638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1.0167977670251875E-16</v>
      </c>
      <c r="BS156" s="22">
        <f t="shared" si="169"/>
        <v>1.0167977670251875E-16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0</v>
      </c>
      <c r="CE156" s="59">
        <f t="shared" si="148"/>
        <v>0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0</v>
      </c>
      <c r="CZ156" s="59">
        <f t="shared" si="150"/>
        <v>0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0</v>
      </c>
      <c r="EP156" s="59">
        <f t="shared" si="154"/>
        <v>0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0</v>
      </c>
      <c r="FK156" s="59">
        <f t="shared" si="156"/>
        <v>0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0</v>
      </c>
      <c r="GF156" s="59">
        <f t="shared" si="158"/>
        <v>0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0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186.90544184210381</v>
      </c>
      <c r="T157" s="59">
        <f t="shared" si="142"/>
        <v>202.05988514450519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18.49434019068234</v>
      </c>
      <c r="AA157" s="21">
        <f>EXP(-LN(2)/25)*AA156+(1-EXP(-LN(2)/25))/(LN(2)/25)*Calculateur!V157*Calculateur!X157*VLOOKUP('Données projet'!$B$9,Paramètres!$A$1:$I$89,3,0)*0.475*44/12</f>
        <v>1.6127818577666577</v>
      </c>
      <c r="AB157" s="21">
        <f>EXP(-LN(2)/2)*AB156+(1-EXP(-LN(2)/2))/(LN(2)/2)*V157*Y157*VLOOKUP('Données projet'!$B$9,Paramètres!$A$1:$I$89,3,0)*0.475*44/12</f>
        <v>3.0570236312221183E-13</v>
      </c>
      <c r="AC157" s="22">
        <f t="shared" si="163"/>
        <v>20.107122048449305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186.90544184210381</v>
      </c>
      <c r="AO157" s="59">
        <f t="shared" si="144"/>
        <v>202.05988514450519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18.49434019068234</v>
      </c>
      <c r="AV157" s="21">
        <f>EXP(-LN(2)/25)*AV156+(1-EXP(-LN(2)/25))/(LN(2)/25)*Calculateur!AQ157*Calculateur!AS157*VLOOKUP('Données projet'!$B$10,Paramètres!$A$1:$I$89,3,0)*0.475*44/12</f>
        <v>1.6127818577666577</v>
      </c>
      <c r="AW157" s="21">
        <f>EXP(-LN(2)/2)*AW156+(1-EXP(-LN(2)/2))/(LN(2)/2)*AQ157*AT157*VLOOKUP('Données projet'!$B$10,Paramètres!$A$1:$I$89,3,0)*0.475*44/12</f>
        <v>3.0570236312221183E-13</v>
      </c>
      <c r="AX157" s="21">
        <f t="shared" si="166"/>
        <v>20.107122048449305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-2.3055690689943732E-14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5.8584049049231908</v>
      </c>
      <c r="BJ157" s="59">
        <f t="shared" si="146"/>
        <v>42.266833200216638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7.189845961588494E-17</v>
      </c>
      <c r="BS157" s="22">
        <f t="shared" si="169"/>
        <v>7.189845961588494E-17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0</v>
      </c>
      <c r="CE157" s="59">
        <f t="shared" si="148"/>
        <v>0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0</v>
      </c>
      <c r="CZ157" s="59">
        <f t="shared" si="150"/>
        <v>0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0</v>
      </c>
      <c r="EP157" s="59">
        <f t="shared" si="154"/>
        <v>0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0</v>
      </c>
      <c r="FK157" s="59">
        <f t="shared" si="156"/>
        <v>0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0</v>
      </c>
      <c r="GF157" s="59">
        <f t="shared" si="158"/>
        <v>0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0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186.90544184210381</v>
      </c>
      <c r="T158" s="59">
        <f t="shared" si="142"/>
        <v>202.05988514450519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18.131677459976725</v>
      </c>
      <c r="AA158" s="21">
        <f>EXP(-LN(2)/25)*AA157+(1-EXP(-LN(2)/25))/(LN(2)/25)*Calculateur!V158*Calculateur!X158*VLOOKUP('Données projet'!$B$9,Paramètres!$A$1:$I$89,3,0)*0.475*44/12</f>
        <v>1.5686802530535167</v>
      </c>
      <c r="AB158" s="21">
        <f>EXP(-LN(2)/2)*AB157+(1-EXP(-LN(2)/2))/(LN(2)/2)*V158*Y158*VLOOKUP('Données projet'!$B$9,Paramètres!$A$1:$I$89,3,0)*0.475*44/12</f>
        <v>2.1616421398846834E-13</v>
      </c>
      <c r="AC158" s="22">
        <f t="shared" si="163"/>
        <v>19.70035771303046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186.90544184210381</v>
      </c>
      <c r="AO158" s="59">
        <f t="shared" si="144"/>
        <v>202.05988514450519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18.131677459976725</v>
      </c>
      <c r="AV158" s="21">
        <f>EXP(-LN(2)/25)*AV157+(1-EXP(-LN(2)/25))/(LN(2)/25)*Calculateur!AQ158*Calculateur!AS158*VLOOKUP('Données projet'!$B$10,Paramètres!$A$1:$I$89,3,0)*0.475*44/12</f>
        <v>1.5686802530535167</v>
      </c>
      <c r="AW158" s="21">
        <f>EXP(-LN(2)/2)*AW157+(1-EXP(-LN(2)/2))/(LN(2)/2)*AQ158*AT158*VLOOKUP('Données projet'!$B$10,Paramètres!$A$1:$I$89,3,0)*0.475*44/12</f>
        <v>2.1616421398846834E-13</v>
      </c>
      <c r="AX158" s="21">
        <f t="shared" si="166"/>
        <v>19.70035771303046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-2.3055690689943732E-14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5.8584049049231908</v>
      </c>
      <c r="BJ158" s="59">
        <f t="shared" si="146"/>
        <v>42.266833200216638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5.0839888351259377E-17</v>
      </c>
      <c r="BS158" s="22">
        <f t="shared" si="169"/>
        <v>5.0839888351259377E-17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0</v>
      </c>
      <c r="CE158" s="59">
        <f t="shared" si="148"/>
        <v>0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0</v>
      </c>
      <c r="CZ158" s="59">
        <f t="shared" si="150"/>
        <v>0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0</v>
      </c>
      <c r="EP158" s="59">
        <f t="shared" si="154"/>
        <v>0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0</v>
      </c>
      <c r="FK158" s="59">
        <f t="shared" si="156"/>
        <v>0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0</v>
      </c>
      <c r="GF158" s="59">
        <f t="shared" si="158"/>
        <v>0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0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186.90544184210381</v>
      </c>
      <c r="T159" s="59">
        <f t="shared" si="142"/>
        <v>202.05988514450519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17.776126324217824</v>
      </c>
      <c r="AA159" s="21">
        <f>EXP(-LN(2)/25)*AA158+(1-EXP(-LN(2)/25))/(LN(2)/25)*Calculateur!V159*Calculateur!X159*VLOOKUP('Données projet'!$B$9,Paramètres!$A$1:$I$89,3,0)*0.475*44/12</f>
        <v>1.525784609040459</v>
      </c>
      <c r="AB159" s="21">
        <f>EXP(-LN(2)/2)*AB158+(1-EXP(-LN(2)/2))/(LN(2)/2)*V159*Y159*VLOOKUP('Données projet'!$B$9,Paramètres!$A$1:$I$89,3,0)*0.475*44/12</f>
        <v>1.5285118156110592E-13</v>
      </c>
      <c r="AC159" s="22">
        <f t="shared" si="163"/>
        <v>19.301910933258437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186.90544184210381</v>
      </c>
      <c r="AO159" s="59">
        <f t="shared" si="144"/>
        <v>202.05988514450519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17.776126324217824</v>
      </c>
      <c r="AV159" s="21">
        <f>EXP(-LN(2)/25)*AV158+(1-EXP(-LN(2)/25))/(LN(2)/25)*Calculateur!AQ159*Calculateur!AS159*VLOOKUP('Données projet'!$B$10,Paramètres!$A$1:$I$89,3,0)*0.475*44/12</f>
        <v>1.525784609040459</v>
      </c>
      <c r="AW159" s="21">
        <f>EXP(-LN(2)/2)*AW158+(1-EXP(-LN(2)/2))/(LN(2)/2)*AQ159*AT159*VLOOKUP('Données projet'!$B$10,Paramètres!$A$1:$I$89,3,0)*0.475*44/12</f>
        <v>1.5285118156110592E-13</v>
      </c>
      <c r="AX159" s="21">
        <f t="shared" si="166"/>
        <v>19.301910933258437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-2.3055690689943732E-14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5.8584049049231908</v>
      </c>
      <c r="BJ159" s="59">
        <f t="shared" si="146"/>
        <v>42.266833200216638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3.594922980794247E-17</v>
      </c>
      <c r="BS159" s="22">
        <f t="shared" si="169"/>
        <v>3.594922980794247E-17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0</v>
      </c>
      <c r="CE159" s="59">
        <f t="shared" si="148"/>
        <v>0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0</v>
      </c>
      <c r="CZ159" s="59">
        <f t="shared" si="150"/>
        <v>0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0</v>
      </c>
      <c r="EP159" s="59">
        <f t="shared" si="154"/>
        <v>0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0</v>
      </c>
      <c r="FK159" s="59">
        <f t="shared" si="156"/>
        <v>0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0</v>
      </c>
      <c r="GF159" s="59">
        <f t="shared" si="158"/>
        <v>0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0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186.90544184210381</v>
      </c>
      <c r="T160" s="59">
        <f t="shared" si="142"/>
        <v>202.05988514450519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17.427547329366377</v>
      </c>
      <c r="AA160" s="21">
        <f>EXP(-LN(2)/25)*AA159+(1-EXP(-LN(2)/25))/(LN(2)/25)*Calculateur!V160*Calculateur!X160*VLOOKUP('Données projet'!$B$9,Paramètres!$A$1:$I$89,3,0)*0.475*44/12</f>
        <v>1.4840619486687223</v>
      </c>
      <c r="AB160" s="21">
        <f>EXP(-LN(2)/2)*AB159+(1-EXP(-LN(2)/2))/(LN(2)/2)*V160*Y160*VLOOKUP('Données projet'!$B$9,Paramètres!$A$1:$I$89,3,0)*0.475*44/12</f>
        <v>1.0808210699423417E-13</v>
      </c>
      <c r="AC160" s="22">
        <f t="shared" si="163"/>
        <v>18.911609278035204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186.90544184210381</v>
      </c>
      <c r="AO160" s="59">
        <f t="shared" si="144"/>
        <v>202.05988514450519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17.427547329366377</v>
      </c>
      <c r="AV160" s="21">
        <f>EXP(-LN(2)/25)*AV159+(1-EXP(-LN(2)/25))/(LN(2)/25)*Calculateur!AQ160*Calculateur!AS160*VLOOKUP('Données projet'!$B$10,Paramètres!$A$1:$I$89,3,0)*0.475*44/12</f>
        <v>1.4840619486687223</v>
      </c>
      <c r="AW160" s="21">
        <f>EXP(-LN(2)/2)*AW159+(1-EXP(-LN(2)/2))/(LN(2)/2)*AQ160*AT160*VLOOKUP('Données projet'!$B$10,Paramètres!$A$1:$I$89,3,0)*0.475*44/12</f>
        <v>1.0808210699423417E-13</v>
      </c>
      <c r="AX160" s="21">
        <f t="shared" si="166"/>
        <v>18.911609278035204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-2.3055690689943732E-14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5.8584049049231908</v>
      </c>
      <c r="BJ160" s="59">
        <f t="shared" si="146"/>
        <v>42.266833200216638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2.5419944175629688E-17</v>
      </c>
      <c r="BS160" s="22">
        <f t="shared" si="169"/>
        <v>2.5419944175629688E-17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0</v>
      </c>
      <c r="CE160" s="59">
        <f t="shared" si="148"/>
        <v>0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0</v>
      </c>
      <c r="CZ160" s="59">
        <f t="shared" si="150"/>
        <v>0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0</v>
      </c>
      <c r="EP160" s="59">
        <f t="shared" si="154"/>
        <v>0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0</v>
      </c>
      <c r="FK160" s="59">
        <f t="shared" si="156"/>
        <v>0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0</v>
      </c>
      <c r="GF160" s="59">
        <f t="shared" si="158"/>
        <v>0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0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186.90544184210381</v>
      </c>
      <c r="T161" s="59">
        <f t="shared" si="142"/>
        <v>202.05988514450519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17.085803755991773</v>
      </c>
      <c r="AA161" s="21">
        <f>EXP(-LN(2)/25)*AA160+(1-EXP(-LN(2)/25))/(LN(2)/25)*Calculateur!V161*Calculateur!X161*VLOOKUP('Données projet'!$B$9,Paramètres!$A$1:$I$89,3,0)*0.475*44/12</f>
        <v>1.4434801966389501</v>
      </c>
      <c r="AB161" s="21">
        <f>EXP(-LN(2)/2)*AB160+(1-EXP(-LN(2)/2))/(LN(2)/2)*V161*Y161*VLOOKUP('Données projet'!$B$9,Paramètres!$A$1:$I$89,3,0)*0.475*44/12</f>
        <v>7.6425590780552958E-14</v>
      </c>
      <c r="AC161" s="22">
        <f t="shared" si="163"/>
        <v>18.529283952630802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186.90544184210381</v>
      </c>
      <c r="AO161" s="59">
        <f t="shared" si="144"/>
        <v>202.05988514450519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17.085803755991773</v>
      </c>
      <c r="AV161" s="21">
        <f>EXP(-LN(2)/25)*AV160+(1-EXP(-LN(2)/25))/(LN(2)/25)*Calculateur!AQ161*Calculateur!AS161*VLOOKUP('Données projet'!$B$10,Paramètres!$A$1:$I$89,3,0)*0.475*44/12</f>
        <v>1.4434801966389501</v>
      </c>
      <c r="AW161" s="21">
        <f>EXP(-LN(2)/2)*AW160+(1-EXP(-LN(2)/2))/(LN(2)/2)*AQ161*AT161*VLOOKUP('Données projet'!$B$10,Paramètres!$A$1:$I$89,3,0)*0.475*44/12</f>
        <v>7.6425590780552958E-14</v>
      </c>
      <c r="AX161" s="21">
        <f t="shared" si="166"/>
        <v>18.529283952630802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-2.3055690689943732E-14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5.8584049049231908</v>
      </c>
      <c r="BJ161" s="59">
        <f t="shared" si="146"/>
        <v>42.266833200216638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1.7974614903971235E-17</v>
      </c>
      <c r="BS161" s="22">
        <f t="shared" si="169"/>
        <v>1.7974614903971235E-17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0</v>
      </c>
      <c r="CE161" s="59">
        <f t="shared" si="148"/>
        <v>0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0</v>
      </c>
      <c r="CZ161" s="59">
        <f t="shared" si="150"/>
        <v>0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0</v>
      </c>
      <c r="EP161" s="59">
        <f t="shared" si="154"/>
        <v>0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0</v>
      </c>
      <c r="FK161" s="59">
        <f t="shared" si="156"/>
        <v>0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0</v>
      </c>
      <c r="GF161" s="59">
        <f t="shared" si="158"/>
        <v>0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0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186.90544184210381</v>
      </c>
      <c r="T162" s="59">
        <f t="shared" si="142"/>
        <v>202.05988514450519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16.750761565648045</v>
      </c>
      <c r="AA162" s="21">
        <f>EXP(-LN(2)/25)*AA161+(1-EXP(-LN(2)/25))/(LN(2)/25)*Calculateur!V162*Calculateur!X162*VLOOKUP('Données projet'!$B$9,Paramètres!$A$1:$I$89,3,0)*0.475*44/12</f>
        <v>1.4040081547525336</v>
      </c>
      <c r="AB162" s="21">
        <f>EXP(-LN(2)/2)*AB161+(1-EXP(-LN(2)/2))/(LN(2)/2)*V162*Y162*VLOOKUP('Données projet'!$B$9,Paramètres!$A$1:$I$89,3,0)*0.475*44/12</f>
        <v>5.4041053497117085E-14</v>
      </c>
      <c r="AC162" s="22">
        <f t="shared" si="163"/>
        <v>18.154769720400633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186.90544184210381</v>
      </c>
      <c r="AO162" s="59">
        <f t="shared" si="144"/>
        <v>202.05988514450519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16.750761565648045</v>
      </c>
      <c r="AV162" s="21">
        <f>EXP(-LN(2)/25)*AV161+(1-EXP(-LN(2)/25))/(LN(2)/25)*Calculateur!AQ162*Calculateur!AS162*VLOOKUP('Données projet'!$B$10,Paramètres!$A$1:$I$89,3,0)*0.475*44/12</f>
        <v>1.4040081547525336</v>
      </c>
      <c r="AW162" s="21">
        <f>EXP(-LN(2)/2)*AW161+(1-EXP(-LN(2)/2))/(LN(2)/2)*AQ162*AT162*VLOOKUP('Données projet'!$B$10,Paramètres!$A$1:$I$89,3,0)*0.475*44/12</f>
        <v>5.4041053497117085E-14</v>
      </c>
      <c r="AX162" s="21">
        <f t="shared" si="166"/>
        <v>18.154769720400633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-2.3055690689943732E-14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5.8584049049231908</v>
      </c>
      <c r="BJ162" s="59">
        <f t="shared" si="146"/>
        <v>42.266833200216638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1.2709972087814844E-17</v>
      </c>
      <c r="BS162" s="22">
        <f t="shared" si="169"/>
        <v>1.2709972087814844E-17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0</v>
      </c>
      <c r="CE162" s="59">
        <f t="shared" si="148"/>
        <v>0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0</v>
      </c>
      <c r="CZ162" s="59">
        <f t="shared" si="150"/>
        <v>0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0</v>
      </c>
      <c r="EP162" s="59">
        <f t="shared" si="154"/>
        <v>0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0</v>
      </c>
      <c r="FK162" s="59">
        <f t="shared" si="156"/>
        <v>0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0</v>
      </c>
      <c r="GF162" s="59">
        <f t="shared" si="158"/>
        <v>0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0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186.90544184210381</v>
      </c>
      <c r="T163" s="59">
        <f t="shared" si="142"/>
        <v>202.05988514450519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16.422289348301401</v>
      </c>
      <c r="AA163" s="21">
        <f>EXP(-LN(2)/25)*AA162+(1-EXP(-LN(2)/25))/(LN(2)/25)*Calculateur!V163*Calculateur!X163*VLOOKUP('Données projet'!$B$9,Paramètres!$A$1:$I$89,3,0)*0.475*44/12</f>
        <v>1.3656154779272456</v>
      </c>
      <c r="AB163" s="21">
        <f>EXP(-LN(2)/2)*AB162+(1-EXP(-LN(2)/2))/(LN(2)/2)*V163*Y163*VLOOKUP('Données projet'!$B$9,Paramètres!$A$1:$I$89,3,0)*0.475*44/12</f>
        <v>3.8212795390276479E-14</v>
      </c>
      <c r="AC163" s="22">
        <f t="shared" si="163"/>
        <v>17.787904826228687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186.90544184210381</v>
      </c>
      <c r="AO163" s="59">
        <f t="shared" si="144"/>
        <v>202.05988514450519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16.422289348301401</v>
      </c>
      <c r="AV163" s="21">
        <f>EXP(-LN(2)/25)*AV162+(1-EXP(-LN(2)/25))/(LN(2)/25)*Calculateur!AQ163*Calculateur!AS163*VLOOKUP('Données projet'!$B$10,Paramètres!$A$1:$I$89,3,0)*0.475*44/12</f>
        <v>1.3656154779272456</v>
      </c>
      <c r="AW163" s="21">
        <f>EXP(-LN(2)/2)*AW162+(1-EXP(-LN(2)/2))/(LN(2)/2)*AQ163*AT163*VLOOKUP('Données projet'!$B$10,Paramètres!$A$1:$I$89,3,0)*0.475*44/12</f>
        <v>3.8212795390276479E-14</v>
      </c>
      <c r="AX163" s="21">
        <f t="shared" si="166"/>
        <v>17.787904826228687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-2.3055690689943732E-14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5.8584049049231908</v>
      </c>
      <c r="BJ163" s="59">
        <f t="shared" si="146"/>
        <v>42.266833200216638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8.9873074519856175E-18</v>
      </c>
      <c r="BS163" s="22">
        <f t="shared" si="169"/>
        <v>8.9873074519856175E-18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0</v>
      </c>
      <c r="CE163" s="59">
        <f t="shared" si="148"/>
        <v>0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0</v>
      </c>
      <c r="CZ163" s="59">
        <f t="shared" si="150"/>
        <v>0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0</v>
      </c>
      <c r="EP163" s="59">
        <f t="shared" si="154"/>
        <v>0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0</v>
      </c>
      <c r="FK163" s="59">
        <f t="shared" si="156"/>
        <v>0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0</v>
      </c>
      <c r="GF163" s="59">
        <f t="shared" si="158"/>
        <v>0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0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186.90544184210381</v>
      </c>
      <c r="T164" s="59">
        <f t="shared" si="142"/>
        <v>202.05988514450519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16.100258270788654</v>
      </c>
      <c r="AA164" s="21">
        <f>EXP(-LN(2)/25)*AA163+(1-EXP(-LN(2)/25))/(LN(2)/25)*Calculateur!V164*Calculateur!X164*VLOOKUP('Données projet'!$B$9,Paramètres!$A$1:$I$89,3,0)*0.475*44/12</f>
        <v>1.3282726508687281</v>
      </c>
      <c r="AB164" s="21">
        <f>EXP(-LN(2)/2)*AB163+(1-EXP(-LN(2)/2))/(LN(2)/2)*V164*Y164*VLOOKUP('Données projet'!$B$9,Paramètres!$A$1:$I$89,3,0)*0.475*44/12</f>
        <v>2.7020526748558542E-14</v>
      </c>
      <c r="AC164" s="22">
        <f t="shared" si="163"/>
        <v>17.428530921657412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186.90544184210381</v>
      </c>
      <c r="AO164" s="59">
        <f t="shared" si="144"/>
        <v>202.05988514450519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16.100258270788654</v>
      </c>
      <c r="AV164" s="21">
        <f>EXP(-LN(2)/25)*AV163+(1-EXP(-LN(2)/25))/(LN(2)/25)*Calculateur!AQ164*Calculateur!AS164*VLOOKUP('Données projet'!$B$10,Paramètres!$A$1:$I$89,3,0)*0.475*44/12</f>
        <v>1.3282726508687281</v>
      </c>
      <c r="AW164" s="21">
        <f>EXP(-LN(2)/2)*AW163+(1-EXP(-LN(2)/2))/(LN(2)/2)*AQ164*AT164*VLOOKUP('Données projet'!$B$10,Paramètres!$A$1:$I$89,3,0)*0.475*44/12</f>
        <v>2.7020526748558542E-14</v>
      </c>
      <c r="AX164" s="21">
        <f t="shared" si="166"/>
        <v>17.428530921657412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-2.3055690689943732E-14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5.8584049049231908</v>
      </c>
      <c r="BJ164" s="59">
        <f t="shared" si="146"/>
        <v>42.266833200216638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6.3549860439074221E-18</v>
      </c>
      <c r="BS164" s="22">
        <f t="shared" si="169"/>
        <v>6.3549860439074221E-18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0</v>
      </c>
      <c r="CE164" s="59">
        <f t="shared" si="148"/>
        <v>0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0</v>
      </c>
      <c r="CZ164" s="59">
        <f t="shared" si="150"/>
        <v>0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0</v>
      </c>
      <c r="EP164" s="59">
        <f t="shared" si="154"/>
        <v>0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0</v>
      </c>
      <c r="FK164" s="59">
        <f t="shared" si="156"/>
        <v>0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0</v>
      </c>
      <c r="GF164" s="59">
        <f t="shared" si="158"/>
        <v>0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0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186.90544184210381</v>
      </c>
      <c r="T165" s="59">
        <f t="shared" si="142"/>
        <v>202.05988514450519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15.78454202628637</v>
      </c>
      <c r="AA165" s="21">
        <f>EXP(-LN(2)/25)*AA164+(1-EXP(-LN(2)/25))/(LN(2)/25)*Calculateur!V165*Calculateur!X165*VLOOKUP('Données projet'!$B$9,Paramètres!$A$1:$I$89,3,0)*0.475*44/12</f>
        <v>1.2919509653799</v>
      </c>
      <c r="AB165" s="21">
        <f>EXP(-LN(2)/2)*AB164+(1-EXP(-LN(2)/2))/(LN(2)/2)*V165*Y165*VLOOKUP('Données projet'!$B$9,Paramètres!$A$1:$I$89,3,0)*0.475*44/12</f>
        <v>1.9106397695138239E-14</v>
      </c>
      <c r="AC165" s="22">
        <f t="shared" si="163"/>
        <v>17.076492991666289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186.90544184210381</v>
      </c>
      <c r="AO165" s="59">
        <f t="shared" si="144"/>
        <v>202.05988514450519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15.78454202628637</v>
      </c>
      <c r="AV165" s="21">
        <f>EXP(-LN(2)/25)*AV164+(1-EXP(-LN(2)/25))/(LN(2)/25)*Calculateur!AQ165*Calculateur!AS165*VLOOKUP('Données projet'!$B$10,Paramètres!$A$1:$I$89,3,0)*0.475*44/12</f>
        <v>1.2919509653799</v>
      </c>
      <c r="AW165" s="21">
        <f>EXP(-LN(2)/2)*AW164+(1-EXP(-LN(2)/2))/(LN(2)/2)*AQ165*AT165*VLOOKUP('Données projet'!$B$10,Paramètres!$A$1:$I$89,3,0)*0.475*44/12</f>
        <v>1.9106397695138239E-14</v>
      </c>
      <c r="AX165" s="21">
        <f t="shared" si="166"/>
        <v>17.076492991666289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-2.3055690689943732E-14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5.8584049049231908</v>
      </c>
      <c r="BJ165" s="59">
        <f t="shared" si="146"/>
        <v>42.266833200216638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4.4936537259928088E-18</v>
      </c>
      <c r="BS165" s="22">
        <f t="shared" si="169"/>
        <v>4.4936537259928088E-18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0</v>
      </c>
      <c r="CE165" s="59">
        <f t="shared" si="148"/>
        <v>0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0</v>
      </c>
      <c r="CZ165" s="59">
        <f t="shared" si="150"/>
        <v>0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0</v>
      </c>
      <c r="EP165" s="59">
        <f t="shared" si="154"/>
        <v>0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0</v>
      </c>
      <c r="FK165" s="59">
        <f t="shared" si="156"/>
        <v>0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0</v>
      </c>
      <c r="GF165" s="59">
        <f t="shared" si="158"/>
        <v>0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0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186.90544184210381</v>
      </c>
      <c r="T166" s="59">
        <f t="shared" si="142"/>
        <v>202.05988514450519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15.475016784770883</v>
      </c>
      <c r="AA166" s="21">
        <f>EXP(-LN(2)/25)*AA165+(1-EXP(-LN(2)/25))/(LN(2)/25)*Calculateur!V166*Calculateur!X166*VLOOKUP('Données projet'!$B$9,Paramètres!$A$1:$I$89,3,0)*0.475*44/12</f>
        <v>1.2566224982908381</v>
      </c>
      <c r="AB166" s="21">
        <f>EXP(-LN(2)/2)*AB165+(1-EXP(-LN(2)/2))/(LN(2)/2)*V166*Y166*VLOOKUP('Données projet'!$B$9,Paramètres!$A$1:$I$89,3,0)*0.475*44/12</f>
        <v>1.3510263374279271E-14</v>
      </c>
      <c r="AC166" s="22">
        <f t="shared" si="163"/>
        <v>16.731639283061735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186.90544184210381</v>
      </c>
      <c r="AO166" s="59">
        <f t="shared" si="144"/>
        <v>202.05988514450519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15.475016784770883</v>
      </c>
      <c r="AV166" s="21">
        <f>EXP(-LN(2)/25)*AV165+(1-EXP(-LN(2)/25))/(LN(2)/25)*Calculateur!AQ166*Calculateur!AS166*VLOOKUP('Données projet'!$B$10,Paramètres!$A$1:$I$89,3,0)*0.475*44/12</f>
        <v>1.2566224982908381</v>
      </c>
      <c r="AW166" s="21">
        <f>EXP(-LN(2)/2)*AW165+(1-EXP(-LN(2)/2))/(LN(2)/2)*AQ166*AT166*VLOOKUP('Données projet'!$B$10,Paramètres!$A$1:$I$89,3,0)*0.475*44/12</f>
        <v>1.3510263374279271E-14</v>
      </c>
      <c r="AX166" s="21">
        <f t="shared" si="166"/>
        <v>16.731639283061735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-2.3055690689943732E-14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5.8584049049231908</v>
      </c>
      <c r="BJ166" s="59">
        <f t="shared" si="146"/>
        <v>42.266833200216638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3.1774930219537111E-18</v>
      </c>
      <c r="BS166" s="22">
        <f t="shared" si="169"/>
        <v>3.1774930219537111E-18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0</v>
      </c>
      <c r="CE166" s="59">
        <f t="shared" si="148"/>
        <v>0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0</v>
      </c>
      <c r="CZ166" s="59">
        <f t="shared" si="150"/>
        <v>0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0</v>
      </c>
      <c r="EP166" s="59">
        <f t="shared" si="154"/>
        <v>0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0</v>
      </c>
      <c r="FK166" s="59">
        <f t="shared" si="156"/>
        <v>0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0</v>
      </c>
      <c r="GF166" s="59">
        <f t="shared" si="158"/>
        <v>0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0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186.90544184210381</v>
      </c>
      <c r="T167" s="59">
        <f t="shared" si="142"/>
        <v>202.05988514450519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15.171561144449758</v>
      </c>
      <c r="AA167" s="21">
        <f>EXP(-LN(2)/25)*AA166+(1-EXP(-LN(2)/25))/(LN(2)/25)*Calculateur!V167*Calculateur!X167*VLOOKUP('Données projet'!$B$9,Paramètres!$A$1:$I$89,3,0)*0.475*44/12</f>
        <v>1.2222600899921698</v>
      </c>
      <c r="AB167" s="21">
        <f>EXP(-LN(2)/2)*AB166+(1-EXP(-LN(2)/2))/(LN(2)/2)*V167*Y167*VLOOKUP('Données projet'!$B$9,Paramètres!$A$1:$I$89,3,0)*0.475*44/12</f>
        <v>9.5531988475691197E-15</v>
      </c>
      <c r="AC167" s="22">
        <f t="shared" si="163"/>
        <v>16.393821234441937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186.90544184210381</v>
      </c>
      <c r="AO167" s="59">
        <f t="shared" si="144"/>
        <v>202.05988514450519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15.171561144449758</v>
      </c>
      <c r="AV167" s="21">
        <f>EXP(-LN(2)/25)*AV166+(1-EXP(-LN(2)/25))/(LN(2)/25)*Calculateur!AQ167*Calculateur!AS167*VLOOKUP('Données projet'!$B$10,Paramètres!$A$1:$I$89,3,0)*0.475*44/12</f>
        <v>1.2222600899921698</v>
      </c>
      <c r="AW167" s="21">
        <f>EXP(-LN(2)/2)*AW166+(1-EXP(-LN(2)/2))/(LN(2)/2)*AQ167*AT167*VLOOKUP('Données projet'!$B$10,Paramètres!$A$1:$I$89,3,0)*0.475*44/12</f>
        <v>9.5531988475691197E-15</v>
      </c>
      <c r="AX167" s="21">
        <f t="shared" si="166"/>
        <v>16.393821234441937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-2.3055690689943732E-14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5.8584049049231908</v>
      </c>
      <c r="BJ167" s="59">
        <f t="shared" si="146"/>
        <v>42.266833200216638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2.2468268629964044E-18</v>
      </c>
      <c r="BS167" s="22">
        <f t="shared" si="169"/>
        <v>2.2468268629964044E-18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0</v>
      </c>
      <c r="CE167" s="59">
        <f t="shared" si="148"/>
        <v>0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0</v>
      </c>
      <c r="CZ167" s="59">
        <f t="shared" si="150"/>
        <v>0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0</v>
      </c>
      <c r="EP167" s="59">
        <f t="shared" si="154"/>
        <v>0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0</v>
      </c>
      <c r="FK167" s="59">
        <f t="shared" si="156"/>
        <v>0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0</v>
      </c>
      <c r="GF167" s="59">
        <f t="shared" si="158"/>
        <v>0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0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186.90544184210381</v>
      </c>
      <c r="T168" s="59">
        <f t="shared" si="142"/>
        <v>202.05988514450519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14.874056084145666</v>
      </c>
      <c r="AA168" s="21">
        <f>EXP(-LN(2)/25)*AA167+(1-EXP(-LN(2)/25))/(LN(2)/25)*Calculateur!V168*Calculateur!X168*VLOOKUP('Données projet'!$B$9,Paramètres!$A$1:$I$89,3,0)*0.475*44/12</f>
        <v>1.1888373235554692</v>
      </c>
      <c r="AB168" s="21">
        <f>EXP(-LN(2)/2)*AB167+(1-EXP(-LN(2)/2))/(LN(2)/2)*V168*Y168*VLOOKUP('Données projet'!$B$9,Paramètres!$A$1:$I$89,3,0)*0.475*44/12</f>
        <v>6.7551316871396356E-15</v>
      </c>
      <c r="AC168" s="22">
        <f t="shared" si="163"/>
        <v>16.062893407701143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186.90544184210381</v>
      </c>
      <c r="AO168" s="59">
        <f t="shared" si="144"/>
        <v>202.05988514450519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14.874056084145666</v>
      </c>
      <c r="AV168" s="21">
        <f>EXP(-LN(2)/25)*AV167+(1-EXP(-LN(2)/25))/(LN(2)/25)*Calculateur!AQ168*Calculateur!AS168*VLOOKUP('Données projet'!$B$10,Paramètres!$A$1:$I$89,3,0)*0.475*44/12</f>
        <v>1.1888373235554692</v>
      </c>
      <c r="AW168" s="21">
        <f>EXP(-LN(2)/2)*AW167+(1-EXP(-LN(2)/2))/(LN(2)/2)*AQ168*AT168*VLOOKUP('Données projet'!$B$10,Paramètres!$A$1:$I$89,3,0)*0.475*44/12</f>
        <v>6.7551316871396356E-15</v>
      </c>
      <c r="AX168" s="21">
        <f t="shared" si="166"/>
        <v>16.062893407701143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-2.3055690689943732E-14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5.8584049049231908</v>
      </c>
      <c r="BJ168" s="59">
        <f t="shared" si="146"/>
        <v>42.266833200216638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1.5887465109768555E-18</v>
      </c>
      <c r="BS168" s="22">
        <f t="shared" si="169"/>
        <v>1.5887465109768555E-18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0</v>
      </c>
      <c r="CE168" s="59">
        <f t="shared" si="148"/>
        <v>0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0</v>
      </c>
      <c r="CZ168" s="59">
        <f t="shared" si="150"/>
        <v>0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0</v>
      </c>
      <c r="EP168" s="59">
        <f t="shared" si="154"/>
        <v>0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0</v>
      </c>
      <c r="FK168" s="59">
        <f t="shared" si="156"/>
        <v>0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0</v>
      </c>
      <c r="GF168" s="59">
        <f t="shared" si="158"/>
        <v>0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0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186.90544184210381</v>
      </c>
      <c r="T169" s="59">
        <f t="shared" si="142"/>
        <v>202.05988514450519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14.582384916613968</v>
      </c>
      <c r="AA169" s="21">
        <f>EXP(-LN(2)/25)*AA168+(1-EXP(-LN(2)/25))/(LN(2)/25)*Calculateur!V169*Calculateur!X169*VLOOKUP('Données projet'!$B$9,Paramètres!$A$1:$I$89,3,0)*0.475*44/12</f>
        <v>1.1563285044246072</v>
      </c>
      <c r="AB169" s="21">
        <f>EXP(-LN(2)/2)*AB168+(1-EXP(-LN(2)/2))/(LN(2)/2)*V169*Y169*VLOOKUP('Données projet'!$B$9,Paramètres!$A$1:$I$89,3,0)*0.475*44/12</f>
        <v>4.7765994237845599E-15</v>
      </c>
      <c r="AC169" s="22">
        <f t="shared" si="163"/>
        <v>15.738713421038581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186.90544184210381</v>
      </c>
      <c r="AO169" s="59">
        <f t="shared" si="144"/>
        <v>202.05988514450519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14.582384916613968</v>
      </c>
      <c r="AV169" s="21">
        <f>EXP(-LN(2)/25)*AV168+(1-EXP(-LN(2)/25))/(LN(2)/25)*Calculateur!AQ169*Calculateur!AS169*VLOOKUP('Données projet'!$B$10,Paramètres!$A$1:$I$89,3,0)*0.475*44/12</f>
        <v>1.1563285044246072</v>
      </c>
      <c r="AW169" s="21">
        <f>EXP(-LN(2)/2)*AW168+(1-EXP(-LN(2)/2))/(LN(2)/2)*AQ169*AT169*VLOOKUP('Données projet'!$B$10,Paramètres!$A$1:$I$89,3,0)*0.475*44/12</f>
        <v>4.7765994237845599E-15</v>
      </c>
      <c r="AX169" s="21">
        <f t="shared" si="166"/>
        <v>15.738713421038581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-2.3055690689943732E-14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5.8584049049231908</v>
      </c>
      <c r="BJ169" s="59">
        <f t="shared" si="146"/>
        <v>42.266833200216638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1.1234134314982022E-18</v>
      </c>
      <c r="BS169" s="22">
        <f t="shared" si="169"/>
        <v>1.1234134314982022E-18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0</v>
      </c>
      <c r="CE169" s="59">
        <f t="shared" si="148"/>
        <v>0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0</v>
      </c>
      <c r="CZ169" s="59">
        <f t="shared" si="150"/>
        <v>0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0</v>
      </c>
      <c r="EP169" s="59">
        <f t="shared" si="154"/>
        <v>0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0</v>
      </c>
      <c r="FK169" s="59">
        <f t="shared" si="156"/>
        <v>0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0</v>
      </c>
      <c r="GF169" s="59">
        <f t="shared" si="158"/>
        <v>0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0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186.90544184210381</v>
      </c>
      <c r="T170" s="59">
        <f t="shared" si="142"/>
        <v>202.05988514450519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14.29643324277572</v>
      </c>
      <c r="AA170" s="21">
        <f>EXP(-LN(2)/25)*AA169+(1-EXP(-LN(2)/25))/(LN(2)/25)*Calculateur!V170*Calculateur!X170*VLOOKUP('Données projet'!$B$9,Paramètres!$A$1:$I$89,3,0)*0.475*44/12</f>
        <v>1.1247086406624431</v>
      </c>
      <c r="AB170" s="21">
        <f>EXP(-LN(2)/2)*AB169+(1-EXP(-LN(2)/2))/(LN(2)/2)*V170*Y170*VLOOKUP('Données projet'!$B$9,Paramètres!$A$1:$I$89,3,0)*0.475*44/12</f>
        <v>3.3775658435698178E-15</v>
      </c>
      <c r="AC170" s="22">
        <f t="shared" si="163"/>
        <v>15.421141883438167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186.90544184210381</v>
      </c>
      <c r="AO170" s="59">
        <f t="shared" si="144"/>
        <v>202.05988514450519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14.29643324277572</v>
      </c>
      <c r="AV170" s="21">
        <f>EXP(-LN(2)/25)*AV169+(1-EXP(-LN(2)/25))/(LN(2)/25)*Calculateur!AQ170*Calculateur!AS170*VLOOKUP('Données projet'!$B$10,Paramètres!$A$1:$I$89,3,0)*0.475*44/12</f>
        <v>1.1247086406624431</v>
      </c>
      <c r="AW170" s="21">
        <f>EXP(-LN(2)/2)*AW169+(1-EXP(-LN(2)/2))/(LN(2)/2)*AQ170*AT170*VLOOKUP('Données projet'!$B$10,Paramètres!$A$1:$I$89,3,0)*0.475*44/12</f>
        <v>3.3775658435698178E-15</v>
      </c>
      <c r="AX170" s="21">
        <f t="shared" si="166"/>
        <v>15.421141883438167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-2.3055690689943732E-14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5.8584049049231908</v>
      </c>
      <c r="BJ170" s="59">
        <f t="shared" si="146"/>
        <v>42.266833200216638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7.9437325548842776E-19</v>
      </c>
      <c r="BS170" s="22">
        <f t="shared" si="169"/>
        <v>7.9437325548842776E-19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0</v>
      </c>
      <c r="CE170" s="59">
        <f t="shared" si="148"/>
        <v>0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0</v>
      </c>
      <c r="CZ170" s="59">
        <f t="shared" si="150"/>
        <v>0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0</v>
      </c>
      <c r="EP170" s="59">
        <f t="shared" si="154"/>
        <v>0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0</v>
      </c>
      <c r="FK170" s="59">
        <f t="shared" si="156"/>
        <v>0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0</v>
      </c>
      <c r="GF170" s="59">
        <f t="shared" si="158"/>
        <v>0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0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186.90544184210381</v>
      </c>
      <c r="T171" s="59">
        <f t="shared" si="142"/>
        <v>202.05988514450519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14.016088906848141</v>
      </c>
      <c r="AA171" s="21">
        <f>EXP(-LN(2)/25)*AA170+(1-EXP(-LN(2)/25))/(LN(2)/25)*Calculateur!V171*Calculateur!X171*VLOOKUP('Données projet'!$B$9,Paramètres!$A$1:$I$89,3,0)*0.475*44/12</f>
        <v>1.0939534237376718</v>
      </c>
      <c r="AB171" s="21">
        <f>EXP(-LN(2)/2)*AB170+(1-EXP(-LN(2)/2))/(LN(2)/2)*V171*Y171*VLOOKUP('Données projet'!$B$9,Paramètres!$A$1:$I$89,3,0)*0.475*44/12</f>
        <v>2.3882997118922799E-15</v>
      </c>
      <c r="AC171" s="22">
        <f t="shared" si="163"/>
        <v>15.110042330585815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186.90544184210381</v>
      </c>
      <c r="AO171" s="59">
        <f t="shared" si="144"/>
        <v>202.05988514450519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14.016088906848141</v>
      </c>
      <c r="AV171" s="21">
        <f>EXP(-LN(2)/25)*AV170+(1-EXP(-LN(2)/25))/(LN(2)/25)*Calculateur!AQ171*Calculateur!AS171*VLOOKUP('Données projet'!$B$10,Paramètres!$A$1:$I$89,3,0)*0.475*44/12</f>
        <v>1.0939534237376718</v>
      </c>
      <c r="AW171" s="21">
        <f>EXP(-LN(2)/2)*AW170+(1-EXP(-LN(2)/2))/(LN(2)/2)*AQ171*AT171*VLOOKUP('Données projet'!$B$10,Paramètres!$A$1:$I$89,3,0)*0.475*44/12</f>
        <v>2.3882997118922799E-15</v>
      </c>
      <c r="AX171" s="21">
        <f t="shared" si="166"/>
        <v>15.110042330585815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-2.3055690689943732E-14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5.8584049049231908</v>
      </c>
      <c r="BJ171" s="59">
        <f t="shared" si="146"/>
        <v>42.266833200216638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5.6170671574910109E-19</v>
      </c>
      <c r="BS171" s="22">
        <f t="shared" si="169"/>
        <v>5.6170671574910109E-19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0</v>
      </c>
      <c r="CE171" s="59">
        <f t="shared" si="148"/>
        <v>0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0</v>
      </c>
      <c r="CZ171" s="59">
        <f t="shared" si="150"/>
        <v>0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0</v>
      </c>
      <c r="EP171" s="59">
        <f t="shared" si="154"/>
        <v>0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0</v>
      </c>
      <c r="FK171" s="59">
        <f t="shared" si="156"/>
        <v>0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0</v>
      </c>
      <c r="GF171" s="59">
        <f t="shared" si="158"/>
        <v>0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0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186.90544184210381</v>
      </c>
      <c r="T172" s="59">
        <f t="shared" si="142"/>
        <v>202.05988514450519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13.741241952354942</v>
      </c>
      <c r="AA172" s="21">
        <f>EXP(-LN(2)/25)*AA171+(1-EXP(-LN(2)/25))/(LN(2)/25)*Calculateur!V172*Calculateur!X172*VLOOKUP('Données projet'!$B$9,Paramètres!$A$1:$I$89,3,0)*0.475*44/12</f>
        <v>1.0640392098370548</v>
      </c>
      <c r="AB172" s="21">
        <f>EXP(-LN(2)/2)*AB171+(1-EXP(-LN(2)/2))/(LN(2)/2)*V172*Y172*VLOOKUP('Données projet'!$B$9,Paramètres!$A$1:$I$89,3,0)*0.475*44/12</f>
        <v>1.6887829217849089E-15</v>
      </c>
      <c r="AC172" s="22">
        <f t="shared" si="163"/>
        <v>14.805281162191999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186.90544184210381</v>
      </c>
      <c r="AO172" s="59">
        <f t="shared" si="144"/>
        <v>202.05988514450519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13.741241952354942</v>
      </c>
      <c r="AV172" s="21">
        <f>EXP(-LN(2)/25)*AV171+(1-EXP(-LN(2)/25))/(LN(2)/25)*Calculateur!AQ172*Calculateur!AS172*VLOOKUP('Données projet'!$B$10,Paramètres!$A$1:$I$89,3,0)*0.475*44/12</f>
        <v>1.0640392098370548</v>
      </c>
      <c r="AW172" s="21">
        <f>EXP(-LN(2)/2)*AW171+(1-EXP(-LN(2)/2))/(LN(2)/2)*AQ172*AT172*VLOOKUP('Données projet'!$B$10,Paramètres!$A$1:$I$89,3,0)*0.475*44/12</f>
        <v>1.6887829217849089E-15</v>
      </c>
      <c r="AX172" s="21">
        <f t="shared" si="166"/>
        <v>14.805281162191999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-2.3055690689943732E-14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5.8584049049231908</v>
      </c>
      <c r="BJ172" s="59">
        <f t="shared" si="146"/>
        <v>42.266833200216638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3.9718662774421388E-19</v>
      </c>
      <c r="BS172" s="22">
        <f t="shared" si="169"/>
        <v>3.9718662774421388E-19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0</v>
      </c>
      <c r="CE172" s="59">
        <f t="shared" si="148"/>
        <v>0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0</v>
      </c>
      <c r="CZ172" s="59">
        <f t="shared" si="150"/>
        <v>0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0</v>
      </c>
      <c r="EP172" s="59">
        <f t="shared" si="154"/>
        <v>0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0</v>
      </c>
      <c r="FK172" s="59">
        <f t="shared" si="156"/>
        <v>0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0</v>
      </c>
      <c r="GF172" s="59">
        <f t="shared" si="158"/>
        <v>0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0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186.90544184210381</v>
      </c>
      <c r="T173" s="59">
        <f t="shared" si="142"/>
        <v>202.05988514450519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13.471784578999266</v>
      </c>
      <c r="AA173" s="21">
        <f>EXP(-LN(2)/25)*AA172+(1-EXP(-LN(2)/25))/(LN(2)/25)*Calculateur!V173*Calculateur!X173*VLOOKUP('Données projet'!$B$9,Paramètres!$A$1:$I$89,3,0)*0.475*44/12</f>
        <v>1.0349430016886705</v>
      </c>
      <c r="AB173" s="21">
        <f>EXP(-LN(2)/2)*AB172+(1-EXP(-LN(2)/2))/(LN(2)/2)*V173*Y173*VLOOKUP('Données projet'!$B$9,Paramètres!$A$1:$I$89,3,0)*0.475*44/12</f>
        <v>1.19414985594614E-15</v>
      </c>
      <c r="AC173" s="22">
        <f t="shared" si="163"/>
        <v>14.506727580687938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186.90544184210381</v>
      </c>
      <c r="AO173" s="59">
        <f t="shared" si="144"/>
        <v>202.05988514450519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13.471784578999266</v>
      </c>
      <c r="AV173" s="21">
        <f>EXP(-LN(2)/25)*AV172+(1-EXP(-LN(2)/25))/(LN(2)/25)*Calculateur!AQ173*Calculateur!AS173*VLOOKUP('Données projet'!$B$10,Paramètres!$A$1:$I$89,3,0)*0.475*44/12</f>
        <v>1.0349430016886705</v>
      </c>
      <c r="AW173" s="21">
        <f>EXP(-LN(2)/2)*AW172+(1-EXP(-LN(2)/2))/(LN(2)/2)*AQ173*AT173*VLOOKUP('Données projet'!$B$10,Paramètres!$A$1:$I$89,3,0)*0.475*44/12</f>
        <v>1.19414985594614E-15</v>
      </c>
      <c r="AX173" s="21">
        <f t="shared" si="166"/>
        <v>14.506727580687938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-2.3055690689943732E-14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5.8584049049231908</v>
      </c>
      <c r="BJ173" s="59">
        <f t="shared" si="146"/>
        <v>42.266833200216638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2.8085335787455055E-19</v>
      </c>
      <c r="BS173" s="22">
        <f t="shared" si="169"/>
        <v>2.8085335787455055E-19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0</v>
      </c>
      <c r="CE173" s="59">
        <f t="shared" si="148"/>
        <v>0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0</v>
      </c>
      <c r="CZ173" s="59">
        <f t="shared" si="150"/>
        <v>0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0</v>
      </c>
      <c r="EP173" s="59">
        <f t="shared" si="154"/>
        <v>0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0</v>
      </c>
      <c r="FK173" s="59">
        <f t="shared" si="156"/>
        <v>0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0</v>
      </c>
      <c r="GF173" s="59">
        <f t="shared" si="158"/>
        <v>0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0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186.90544184210381</v>
      </c>
      <c r="T174" s="59">
        <f t="shared" si="142"/>
        <v>202.05988514450519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13.207611100382325</v>
      </c>
      <c r="AA174" s="21">
        <f>EXP(-LN(2)/25)*AA173+(1-EXP(-LN(2)/25))/(LN(2)/25)*Calculateur!V174*Calculateur!X174*VLOOKUP('Données projet'!$B$9,Paramètres!$A$1:$I$89,3,0)*0.475*44/12</f>
        <v>1.0066424308822066</v>
      </c>
      <c r="AB174" s="21">
        <f>EXP(-LN(2)/2)*AB173+(1-EXP(-LN(2)/2))/(LN(2)/2)*V174*Y174*VLOOKUP('Données projet'!$B$9,Paramètres!$A$1:$I$89,3,0)*0.475*44/12</f>
        <v>8.4439146089245445E-16</v>
      </c>
      <c r="AC174" s="22">
        <f t="shared" si="163"/>
        <v>14.214253531264532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186.90544184210381</v>
      </c>
      <c r="AO174" s="59">
        <f t="shared" si="144"/>
        <v>202.05988514450519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13.207611100382325</v>
      </c>
      <c r="AV174" s="21">
        <f>EXP(-LN(2)/25)*AV173+(1-EXP(-LN(2)/25))/(LN(2)/25)*Calculateur!AQ174*Calculateur!AS174*VLOOKUP('Données projet'!$B$10,Paramètres!$A$1:$I$89,3,0)*0.475*44/12</f>
        <v>1.0066424308822066</v>
      </c>
      <c r="AW174" s="21">
        <f>EXP(-LN(2)/2)*AW173+(1-EXP(-LN(2)/2))/(LN(2)/2)*AQ174*AT174*VLOOKUP('Données projet'!$B$10,Paramètres!$A$1:$I$89,3,0)*0.475*44/12</f>
        <v>8.4439146089245445E-16</v>
      </c>
      <c r="AX174" s="21">
        <f t="shared" si="166"/>
        <v>14.214253531264532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-2.3055690689943732E-14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5.8584049049231908</v>
      </c>
      <c r="BJ174" s="59">
        <f t="shared" si="146"/>
        <v>42.266833200216638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1.9859331387210694E-19</v>
      </c>
      <c r="BS174" s="22">
        <f t="shared" si="169"/>
        <v>1.9859331387210694E-19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0</v>
      </c>
      <c r="CE174" s="59">
        <f t="shared" si="148"/>
        <v>0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0</v>
      </c>
      <c r="CZ174" s="59">
        <f t="shared" si="150"/>
        <v>0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0</v>
      </c>
      <c r="EP174" s="59">
        <f t="shared" si="154"/>
        <v>0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0</v>
      </c>
      <c r="FK174" s="59">
        <f t="shared" si="156"/>
        <v>0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0</v>
      </c>
      <c r="GF174" s="59">
        <f t="shared" si="158"/>
        <v>0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0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186.90544184210381</v>
      </c>
      <c r="T175" s="59">
        <f t="shared" si="142"/>
        <v>202.05988514450519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12.948617902551149</v>
      </c>
      <c r="AA175" s="21">
        <f>EXP(-LN(2)/25)*AA174+(1-EXP(-LN(2)/25))/(LN(2)/25)*Calculateur!V175*Calculateur!X175*VLOOKUP('Données projet'!$B$9,Paramètres!$A$1:$I$89,3,0)*0.475*44/12</f>
        <v>0.9791157406727079</v>
      </c>
      <c r="AB175" s="21">
        <f>EXP(-LN(2)/2)*AB174+(1-EXP(-LN(2)/2))/(LN(2)/2)*V175*Y175*VLOOKUP('Données projet'!$B$9,Paramètres!$A$1:$I$89,3,0)*0.475*44/12</f>
        <v>5.9707492797306998E-16</v>
      </c>
      <c r="AC175" s="22">
        <f t="shared" si="163"/>
        <v>13.927733643223856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186.90544184210381</v>
      </c>
      <c r="AO175" s="59">
        <f t="shared" si="144"/>
        <v>202.05988514450519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12.948617902551149</v>
      </c>
      <c r="AV175" s="21">
        <f>EXP(-LN(2)/25)*AV174+(1-EXP(-LN(2)/25))/(LN(2)/25)*Calculateur!AQ175*Calculateur!AS175*VLOOKUP('Données projet'!$B$10,Paramètres!$A$1:$I$89,3,0)*0.475*44/12</f>
        <v>0.9791157406727079</v>
      </c>
      <c r="AW175" s="21">
        <f>EXP(-LN(2)/2)*AW174+(1-EXP(-LN(2)/2))/(LN(2)/2)*AQ175*AT175*VLOOKUP('Données projet'!$B$10,Paramètres!$A$1:$I$89,3,0)*0.475*44/12</f>
        <v>5.9707492797306998E-16</v>
      </c>
      <c r="AX175" s="21">
        <f t="shared" si="166"/>
        <v>13.927733643223856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-2.3055690689943732E-14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5.8584049049231908</v>
      </c>
      <c r="BJ175" s="59">
        <f t="shared" si="146"/>
        <v>42.266833200216638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1.4042667893727527E-19</v>
      </c>
      <c r="BS175" s="22">
        <f t="shared" si="169"/>
        <v>1.4042667893727527E-19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0</v>
      </c>
      <c r="CE175" s="59">
        <f t="shared" si="148"/>
        <v>0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0</v>
      </c>
      <c r="CZ175" s="59">
        <f t="shared" si="150"/>
        <v>0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0</v>
      </c>
      <c r="EP175" s="59">
        <f t="shared" si="154"/>
        <v>0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0</v>
      </c>
      <c r="FK175" s="59">
        <f t="shared" si="156"/>
        <v>0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0</v>
      </c>
      <c r="GF175" s="59">
        <f t="shared" si="158"/>
        <v>0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0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186.90544184210381</v>
      </c>
      <c r="T176" s="59">
        <f t="shared" si="142"/>
        <v>202.05988514450519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12.69470340335919</v>
      </c>
      <c r="AA176" s="21">
        <f>EXP(-LN(2)/25)*AA175+(1-EXP(-LN(2)/25))/(LN(2)/25)*Calculateur!V176*Calculateur!X176*VLOOKUP('Données projet'!$B$9,Paramètres!$A$1:$I$89,3,0)*0.475*44/12</f>
        <v>0.95234176925455372</v>
      </c>
      <c r="AB176" s="21">
        <f>EXP(-LN(2)/2)*AB175+(1-EXP(-LN(2)/2))/(LN(2)/2)*V176*Y176*VLOOKUP('Données projet'!$B$9,Paramètres!$A$1:$I$89,3,0)*0.475*44/12</f>
        <v>4.2219573044622722E-16</v>
      </c>
      <c r="AC176" s="22">
        <f t="shared" si="163"/>
        <v>13.647045172613744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186.90544184210381</v>
      </c>
      <c r="AO176" s="59">
        <f t="shared" si="144"/>
        <v>202.05988514450519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12.69470340335919</v>
      </c>
      <c r="AV176" s="21">
        <f>EXP(-LN(2)/25)*AV175+(1-EXP(-LN(2)/25))/(LN(2)/25)*Calculateur!AQ176*Calculateur!AS176*VLOOKUP('Données projet'!$B$10,Paramètres!$A$1:$I$89,3,0)*0.475*44/12</f>
        <v>0.95234176925455372</v>
      </c>
      <c r="AW176" s="21">
        <f>EXP(-LN(2)/2)*AW175+(1-EXP(-LN(2)/2))/(LN(2)/2)*AQ176*AT176*VLOOKUP('Données projet'!$B$10,Paramètres!$A$1:$I$89,3,0)*0.475*44/12</f>
        <v>4.2219573044622722E-16</v>
      </c>
      <c r="AX176" s="21">
        <f t="shared" si="166"/>
        <v>13.647045172613744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-2.3055690689943732E-14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5.8584049049231908</v>
      </c>
      <c r="BJ176" s="59">
        <f t="shared" si="146"/>
        <v>42.266833200216638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9.9296656936053471E-20</v>
      </c>
      <c r="BS176" s="22">
        <f t="shared" si="169"/>
        <v>9.9296656936053471E-20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0</v>
      </c>
      <c r="CE176" s="59">
        <f t="shared" si="148"/>
        <v>0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0</v>
      </c>
      <c r="CZ176" s="59">
        <f t="shared" si="150"/>
        <v>0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0</v>
      </c>
      <c r="EP176" s="59">
        <f t="shared" si="154"/>
        <v>0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0</v>
      </c>
      <c r="FK176" s="59">
        <f t="shared" si="156"/>
        <v>0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0</v>
      </c>
      <c r="GF176" s="59">
        <f t="shared" si="158"/>
        <v>0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0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186.90544184210381</v>
      </c>
      <c r="T177" s="59">
        <f t="shared" si="142"/>
        <v>202.05988514450519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12.445768012623834</v>
      </c>
      <c r="AA177" s="21">
        <f>EXP(-LN(2)/25)*AA176+(1-EXP(-LN(2)/25))/(LN(2)/25)*Calculateur!V177*Calculateur!X177*VLOOKUP('Données projet'!$B$9,Paramètres!$A$1:$I$89,3,0)*0.475*44/12</f>
        <v>0.92629993349281092</v>
      </c>
      <c r="AB177" s="21">
        <f>EXP(-LN(2)/2)*AB176+(1-EXP(-LN(2)/2))/(LN(2)/2)*V177*Y177*VLOOKUP('Données projet'!$B$9,Paramètres!$A$1:$I$89,3,0)*0.475*44/12</f>
        <v>2.9853746398653499E-16</v>
      </c>
      <c r="AC177" s="22">
        <f t="shared" si="163"/>
        <v>13.372067946116644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186.90544184210381</v>
      </c>
      <c r="AO177" s="59">
        <f t="shared" si="144"/>
        <v>202.05988514450519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12.445768012623834</v>
      </c>
      <c r="AV177" s="21">
        <f>EXP(-LN(2)/25)*AV176+(1-EXP(-LN(2)/25))/(LN(2)/25)*Calculateur!AQ177*Calculateur!AS177*VLOOKUP('Données projet'!$B$10,Paramètres!$A$1:$I$89,3,0)*0.475*44/12</f>
        <v>0.92629993349281092</v>
      </c>
      <c r="AW177" s="21">
        <f>EXP(-LN(2)/2)*AW176+(1-EXP(-LN(2)/2))/(LN(2)/2)*AQ177*AT177*VLOOKUP('Données projet'!$B$10,Paramètres!$A$1:$I$89,3,0)*0.475*44/12</f>
        <v>2.9853746398653499E-16</v>
      </c>
      <c r="AX177" s="21">
        <f t="shared" si="166"/>
        <v>13.372067946116644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-2.3055690689943732E-14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5.8584049049231908</v>
      </c>
      <c r="BJ177" s="59">
        <f t="shared" si="146"/>
        <v>42.266833200216638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7.0213339468637637E-20</v>
      </c>
      <c r="BS177" s="22">
        <f t="shared" si="169"/>
        <v>7.0213339468637637E-20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0</v>
      </c>
      <c r="CE177" s="59">
        <f t="shared" si="148"/>
        <v>0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0</v>
      </c>
      <c r="CZ177" s="59">
        <f t="shared" si="150"/>
        <v>0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0</v>
      </c>
      <c r="EP177" s="59">
        <f t="shared" si="154"/>
        <v>0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0</v>
      </c>
      <c r="FK177" s="59">
        <f t="shared" si="156"/>
        <v>0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0</v>
      </c>
      <c r="GF177" s="59">
        <f t="shared" si="158"/>
        <v>0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0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186.90544184210381</v>
      </c>
      <c r="T178" s="59">
        <f t="shared" si="142"/>
        <v>202.05988514450519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12.201714093065203</v>
      </c>
      <c r="AA178" s="21">
        <f>EXP(-LN(2)/25)*AA177+(1-EXP(-LN(2)/25))/(LN(2)/25)*Calculateur!V178*Calculateur!X178*VLOOKUP('Données projet'!$B$9,Paramètres!$A$1:$I$89,3,0)*0.475*44/12</f>
        <v>0.90097021309945358</v>
      </c>
      <c r="AB178" s="21">
        <f>EXP(-LN(2)/2)*AB177+(1-EXP(-LN(2)/2))/(LN(2)/2)*V178*Y178*VLOOKUP('Données projet'!$B$9,Paramètres!$A$1:$I$89,3,0)*0.475*44/12</f>
        <v>2.1109786522311361E-16</v>
      </c>
      <c r="AC178" s="22">
        <f t="shared" si="163"/>
        <v>13.102684306164656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186.90544184210381</v>
      </c>
      <c r="AO178" s="59">
        <f t="shared" si="144"/>
        <v>202.05988514450519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12.201714093065203</v>
      </c>
      <c r="AV178" s="21">
        <f>EXP(-LN(2)/25)*AV177+(1-EXP(-LN(2)/25))/(LN(2)/25)*Calculateur!AQ178*Calculateur!AS178*VLOOKUP('Données projet'!$B$10,Paramètres!$A$1:$I$89,3,0)*0.475*44/12</f>
        <v>0.90097021309945358</v>
      </c>
      <c r="AW178" s="21">
        <f>EXP(-LN(2)/2)*AW177+(1-EXP(-LN(2)/2))/(LN(2)/2)*AQ178*AT178*VLOOKUP('Données projet'!$B$10,Paramètres!$A$1:$I$89,3,0)*0.475*44/12</f>
        <v>2.1109786522311361E-16</v>
      </c>
      <c r="AX178" s="21">
        <f t="shared" si="166"/>
        <v>13.102684306164656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-2.3055690689943732E-14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5.8584049049231908</v>
      </c>
      <c r="BJ178" s="59">
        <f t="shared" si="146"/>
        <v>42.266833200216638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4.9648328468026735E-20</v>
      </c>
      <c r="BS178" s="22">
        <f t="shared" si="169"/>
        <v>4.9648328468026735E-20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0</v>
      </c>
      <c r="CE178" s="59">
        <f t="shared" si="148"/>
        <v>0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0</v>
      </c>
      <c r="CZ178" s="59">
        <f t="shared" si="150"/>
        <v>0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0</v>
      </c>
      <c r="EP178" s="59">
        <f t="shared" si="154"/>
        <v>0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0</v>
      </c>
      <c r="FK178" s="59">
        <f t="shared" si="156"/>
        <v>0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0</v>
      </c>
      <c r="GF178" s="59">
        <f t="shared" si="158"/>
        <v>0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0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186.90544184210381</v>
      </c>
      <c r="T179" s="59">
        <f t="shared" si="142"/>
        <v>202.05988514450519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11.962445922010923</v>
      </c>
      <c r="AA179" s="21">
        <f>EXP(-LN(2)/25)*AA178+(1-EXP(-LN(2)/25))/(LN(2)/25)*Calculateur!V179*Calculateur!X179*VLOOKUP('Données projet'!$B$9,Paramètres!$A$1:$I$89,3,0)*0.475*44/12</f>
        <v>0.87633313524228473</v>
      </c>
      <c r="AB179" s="21">
        <f>EXP(-LN(2)/2)*AB178+(1-EXP(-LN(2)/2))/(LN(2)/2)*V179*Y179*VLOOKUP('Données projet'!$B$9,Paramètres!$A$1:$I$89,3,0)*0.475*44/12</f>
        <v>1.492687319932675E-16</v>
      </c>
      <c r="AC179" s="22">
        <f t="shared" si="163"/>
        <v>12.838779057253209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186.90544184210381</v>
      </c>
      <c r="AO179" s="59">
        <f t="shared" si="144"/>
        <v>202.05988514450519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11.962445922010923</v>
      </c>
      <c r="AV179" s="21">
        <f>EXP(-LN(2)/25)*AV178+(1-EXP(-LN(2)/25))/(LN(2)/25)*Calculateur!AQ179*Calculateur!AS179*VLOOKUP('Données projet'!$B$10,Paramètres!$A$1:$I$89,3,0)*0.475*44/12</f>
        <v>0.87633313524228473</v>
      </c>
      <c r="AW179" s="21">
        <f>EXP(-LN(2)/2)*AW178+(1-EXP(-LN(2)/2))/(LN(2)/2)*AQ179*AT179*VLOOKUP('Données projet'!$B$10,Paramètres!$A$1:$I$89,3,0)*0.475*44/12</f>
        <v>1.492687319932675E-16</v>
      </c>
      <c r="AX179" s="21">
        <f t="shared" si="166"/>
        <v>12.838779057253209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-2.3055690689943732E-14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5.8584049049231908</v>
      </c>
      <c r="BJ179" s="59">
        <f t="shared" si="146"/>
        <v>42.266833200216638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3.5106669734318818E-20</v>
      </c>
      <c r="BS179" s="22">
        <f t="shared" si="169"/>
        <v>3.5106669734318818E-20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0</v>
      </c>
      <c r="CE179" s="59">
        <f t="shared" si="148"/>
        <v>0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0</v>
      </c>
      <c r="CZ179" s="59">
        <f t="shared" si="150"/>
        <v>0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0</v>
      </c>
      <c r="EP179" s="59">
        <f t="shared" si="154"/>
        <v>0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0</v>
      </c>
      <c r="FK179" s="59">
        <f t="shared" si="156"/>
        <v>0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0</v>
      </c>
      <c r="GF179" s="59">
        <f t="shared" si="158"/>
        <v>0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0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186.90544184210381</v>
      </c>
      <c r="T180" s="59">
        <f t="shared" si="142"/>
        <v>202.05988514450519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11.727869653851844</v>
      </c>
      <c r="AA180" s="21">
        <f>EXP(-LN(2)/25)*AA179+(1-EXP(-LN(2)/25))/(LN(2)/25)*Calculateur!V180*Calculateur!X180*VLOOKUP('Données projet'!$B$9,Paramètres!$A$1:$I$89,3,0)*0.475*44/12</f>
        <v>0.85236975957472771</v>
      </c>
      <c r="AB180" s="21">
        <f>EXP(-LN(2)/2)*AB179+(1-EXP(-LN(2)/2))/(LN(2)/2)*V180*Y180*VLOOKUP('Données projet'!$B$9,Paramètres!$A$1:$I$89,3,0)*0.475*44/12</f>
        <v>1.0554893261155681E-16</v>
      </c>
      <c r="AC180" s="22">
        <f t="shared" si="163"/>
        <v>12.580239413426572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186.90544184210381</v>
      </c>
      <c r="AO180" s="59">
        <f t="shared" si="144"/>
        <v>202.05988514450519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11.727869653851844</v>
      </c>
      <c r="AV180" s="21">
        <f>EXP(-LN(2)/25)*AV179+(1-EXP(-LN(2)/25))/(LN(2)/25)*Calculateur!AQ180*Calculateur!AS180*VLOOKUP('Données projet'!$B$10,Paramètres!$A$1:$I$89,3,0)*0.475*44/12</f>
        <v>0.85236975957472771</v>
      </c>
      <c r="AW180" s="21">
        <f>EXP(-LN(2)/2)*AW179+(1-EXP(-LN(2)/2))/(LN(2)/2)*AQ180*AT180*VLOOKUP('Données projet'!$B$10,Paramètres!$A$1:$I$89,3,0)*0.475*44/12</f>
        <v>1.0554893261155681E-16</v>
      </c>
      <c r="AX180" s="21">
        <f t="shared" si="166"/>
        <v>12.580239413426572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-2.3055690689943732E-14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5.8584049049231908</v>
      </c>
      <c r="BJ180" s="59">
        <f t="shared" si="146"/>
        <v>42.266833200216638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2.4824164234013368E-20</v>
      </c>
      <c r="BS180" s="22">
        <f t="shared" si="169"/>
        <v>2.4824164234013368E-20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0</v>
      </c>
      <c r="CE180" s="59">
        <f t="shared" si="148"/>
        <v>0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0</v>
      </c>
      <c r="CZ180" s="59">
        <f t="shared" si="150"/>
        <v>0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0</v>
      </c>
      <c r="EP180" s="59">
        <f t="shared" si="154"/>
        <v>0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0</v>
      </c>
      <c r="FK180" s="59">
        <f t="shared" si="156"/>
        <v>0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0</v>
      </c>
      <c r="GF180" s="59">
        <f t="shared" si="158"/>
        <v>0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0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186.90544184210381</v>
      </c>
      <c r="T181" s="59">
        <f t="shared" si="142"/>
        <v>202.05988514450519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11.497893283233969</v>
      </c>
      <c r="AA181" s="21">
        <f>EXP(-LN(2)/25)*AA180+(1-EXP(-LN(2)/25))/(LN(2)/25)*Calculateur!V181*Calculateur!X181*VLOOKUP('Données projet'!$B$9,Paramètres!$A$1:$I$89,3,0)*0.475*44/12</f>
        <v>0.82906166367497924</v>
      </c>
      <c r="AB181" s="21">
        <f>EXP(-LN(2)/2)*AB180+(1-EXP(-LN(2)/2))/(LN(2)/2)*V181*Y181*VLOOKUP('Données projet'!$B$9,Paramètres!$A$1:$I$89,3,0)*0.475*44/12</f>
        <v>7.4634365996633748E-17</v>
      </c>
      <c r="AC181" s="22">
        <f t="shared" si="163"/>
        <v>12.326954946908948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186.90544184210381</v>
      </c>
      <c r="AO181" s="59">
        <f t="shared" si="144"/>
        <v>202.05988514450519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11.497893283233969</v>
      </c>
      <c r="AV181" s="21">
        <f>EXP(-LN(2)/25)*AV180+(1-EXP(-LN(2)/25))/(LN(2)/25)*Calculateur!AQ181*Calculateur!AS181*VLOOKUP('Données projet'!$B$10,Paramètres!$A$1:$I$89,3,0)*0.475*44/12</f>
        <v>0.82906166367497924</v>
      </c>
      <c r="AW181" s="21">
        <f>EXP(-LN(2)/2)*AW180+(1-EXP(-LN(2)/2))/(LN(2)/2)*AQ181*AT181*VLOOKUP('Données projet'!$B$10,Paramètres!$A$1:$I$89,3,0)*0.475*44/12</f>
        <v>7.4634365996633748E-17</v>
      </c>
      <c r="AX181" s="21">
        <f t="shared" si="166"/>
        <v>12.326954946908948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-2.3055690689943732E-14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5.8584049049231908</v>
      </c>
      <c r="BJ181" s="59">
        <f t="shared" si="146"/>
        <v>42.266833200216638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1.7553334867159409E-20</v>
      </c>
      <c r="BS181" s="22">
        <f t="shared" si="169"/>
        <v>1.7553334867159409E-20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0</v>
      </c>
      <c r="CE181" s="59">
        <f t="shared" si="148"/>
        <v>0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0</v>
      </c>
      <c r="CZ181" s="59">
        <f t="shared" si="150"/>
        <v>0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0</v>
      </c>
      <c r="EP181" s="59">
        <f t="shared" si="154"/>
        <v>0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0</v>
      </c>
      <c r="FK181" s="59">
        <f t="shared" si="156"/>
        <v>0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0</v>
      </c>
      <c r="GF181" s="59">
        <f t="shared" si="158"/>
        <v>0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0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186.90544184210381</v>
      </c>
      <c r="T182" s="59">
        <f t="shared" si="142"/>
        <v>202.05988514450519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11.272426608972175</v>
      </c>
      <c r="AA182" s="21">
        <f>EXP(-LN(2)/25)*AA181+(1-EXP(-LN(2)/25))/(LN(2)/25)*Calculateur!V182*Calculateur!X182*VLOOKUP('Données projet'!$B$9,Paramètres!$A$1:$I$89,3,0)*0.475*44/12</f>
        <v>0.80639092888332886</v>
      </c>
      <c r="AB182" s="21">
        <f>EXP(-LN(2)/2)*AB181+(1-EXP(-LN(2)/2))/(LN(2)/2)*V182*Y182*VLOOKUP('Données projet'!$B$9,Paramètres!$A$1:$I$89,3,0)*0.475*44/12</f>
        <v>5.2774466305778403E-17</v>
      </c>
      <c r="AC182" s="22">
        <f t="shared" si="163"/>
        <v>12.078817537855503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186.90544184210381</v>
      </c>
      <c r="AO182" s="59">
        <f t="shared" si="144"/>
        <v>202.05988514450519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11.272426608972175</v>
      </c>
      <c r="AV182" s="21">
        <f>EXP(-LN(2)/25)*AV181+(1-EXP(-LN(2)/25))/(LN(2)/25)*Calculateur!AQ182*Calculateur!AS182*VLOOKUP('Données projet'!$B$10,Paramètres!$A$1:$I$89,3,0)*0.475*44/12</f>
        <v>0.80639092888332886</v>
      </c>
      <c r="AW182" s="21">
        <f>EXP(-LN(2)/2)*AW181+(1-EXP(-LN(2)/2))/(LN(2)/2)*AQ182*AT182*VLOOKUP('Données projet'!$B$10,Paramètres!$A$1:$I$89,3,0)*0.475*44/12</f>
        <v>5.2774466305778403E-17</v>
      </c>
      <c r="AX182" s="21">
        <f t="shared" si="166"/>
        <v>12.078817537855503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-2.3055690689943732E-14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5.8584049049231908</v>
      </c>
      <c r="BJ182" s="59">
        <f t="shared" si="146"/>
        <v>42.266833200216638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1.2412082117006684E-20</v>
      </c>
      <c r="BS182" s="22">
        <f t="shared" si="169"/>
        <v>1.2412082117006684E-20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0</v>
      </c>
      <c r="CE182" s="59">
        <f t="shared" si="148"/>
        <v>0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0</v>
      </c>
      <c r="CZ182" s="59">
        <f t="shared" si="150"/>
        <v>0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0</v>
      </c>
      <c r="EP182" s="59">
        <f t="shared" si="154"/>
        <v>0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0</v>
      </c>
      <c r="FK182" s="59">
        <f t="shared" si="156"/>
        <v>0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0</v>
      </c>
      <c r="GF182" s="59">
        <f t="shared" si="158"/>
        <v>0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0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186.90544184210381</v>
      </c>
      <c r="T183" s="59">
        <f t="shared" si="142"/>
        <v>202.05988514450519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11.051381198671564</v>
      </c>
      <c r="AA183" s="21">
        <f>EXP(-LN(2)/25)*AA182+(1-EXP(-LN(2)/25))/(LN(2)/25)*Calculateur!V183*Calculateur!X183*VLOOKUP('Données projet'!$B$9,Paramètres!$A$1:$I$89,3,0)*0.475*44/12</f>
        <v>0.78434012652675833</v>
      </c>
      <c r="AB183" s="21">
        <f>EXP(-LN(2)/2)*AB182+(1-EXP(-LN(2)/2))/(LN(2)/2)*V183*Y183*VLOOKUP('Données projet'!$B$9,Paramètres!$A$1:$I$89,3,0)*0.475*44/12</f>
        <v>3.7317182998316874E-17</v>
      </c>
      <c r="AC183" s="22">
        <f t="shared" si="163"/>
        <v>11.835721325198323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186.90544184210381</v>
      </c>
      <c r="AO183" s="59">
        <f t="shared" si="144"/>
        <v>202.05988514450519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11.051381198671564</v>
      </c>
      <c r="AV183" s="21">
        <f>EXP(-LN(2)/25)*AV182+(1-EXP(-LN(2)/25))/(LN(2)/25)*Calculateur!AQ183*Calculateur!AS183*VLOOKUP('Données projet'!$B$10,Paramètres!$A$1:$I$89,3,0)*0.475*44/12</f>
        <v>0.78434012652675833</v>
      </c>
      <c r="AW183" s="21">
        <f>EXP(-LN(2)/2)*AW182+(1-EXP(-LN(2)/2))/(LN(2)/2)*AQ183*AT183*VLOOKUP('Données projet'!$B$10,Paramètres!$A$1:$I$89,3,0)*0.475*44/12</f>
        <v>3.7317182998316874E-17</v>
      </c>
      <c r="AX183" s="21">
        <f t="shared" si="166"/>
        <v>11.835721325198323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-2.3055690689943732E-14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5.8584049049231908</v>
      </c>
      <c r="BJ183" s="59">
        <f t="shared" si="146"/>
        <v>42.266833200216638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8.7766674335797046E-21</v>
      </c>
      <c r="BS183" s="22">
        <f t="shared" si="169"/>
        <v>8.7766674335797046E-21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0</v>
      </c>
      <c r="CE183" s="59">
        <f t="shared" si="148"/>
        <v>0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0</v>
      </c>
      <c r="CZ183" s="59">
        <f t="shared" si="150"/>
        <v>0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0</v>
      </c>
      <c r="EP183" s="59">
        <f t="shared" si="154"/>
        <v>0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0</v>
      </c>
      <c r="FK183" s="59">
        <f t="shared" si="156"/>
        <v>0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0</v>
      </c>
      <c r="GF183" s="59">
        <f t="shared" si="158"/>
        <v>0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0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186.90544184210381</v>
      </c>
      <c r="T184" s="59">
        <f t="shared" si="142"/>
        <v>202.05988514450519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10.83467035404256</v>
      </c>
      <c r="AA184" s="21">
        <f>EXP(-LN(2)/25)*AA183+(1-EXP(-LN(2)/25))/(LN(2)/25)*Calculateur!V184*Calculateur!X184*VLOOKUP('Données projet'!$B$9,Paramètres!$A$1:$I$89,3,0)*0.475*44/12</f>
        <v>0.76289230452022949</v>
      </c>
      <c r="AB184" s="21">
        <f>EXP(-LN(2)/2)*AB183+(1-EXP(-LN(2)/2))/(LN(2)/2)*V184*Y184*VLOOKUP('Données projet'!$B$9,Paramètres!$A$1:$I$89,3,0)*0.475*44/12</f>
        <v>2.6387233152889202E-17</v>
      </c>
      <c r="AC184" s="22">
        <f t="shared" si="163"/>
        <v>11.59756265856279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186.90544184210381</v>
      </c>
      <c r="AO184" s="59">
        <f t="shared" si="144"/>
        <v>202.05988514450519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10.83467035404256</v>
      </c>
      <c r="AV184" s="21">
        <f>EXP(-LN(2)/25)*AV183+(1-EXP(-LN(2)/25))/(LN(2)/25)*Calculateur!AQ184*Calculateur!AS184*VLOOKUP('Données projet'!$B$10,Paramètres!$A$1:$I$89,3,0)*0.475*44/12</f>
        <v>0.76289230452022949</v>
      </c>
      <c r="AW184" s="21">
        <f>EXP(-LN(2)/2)*AW183+(1-EXP(-LN(2)/2))/(LN(2)/2)*AQ184*AT184*VLOOKUP('Données projet'!$B$10,Paramètres!$A$1:$I$89,3,0)*0.475*44/12</f>
        <v>2.6387233152889202E-17</v>
      </c>
      <c r="AX184" s="21">
        <f t="shared" si="166"/>
        <v>11.59756265856279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-2.3055690689943732E-14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5.8584049049231908</v>
      </c>
      <c r="BJ184" s="59">
        <f t="shared" si="146"/>
        <v>42.266833200216638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6.2060410585033419E-21</v>
      </c>
      <c r="BS184" s="22">
        <f t="shared" si="169"/>
        <v>6.2060410585033419E-21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0</v>
      </c>
      <c r="CE184" s="59">
        <f t="shared" si="148"/>
        <v>0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0</v>
      </c>
      <c r="CZ184" s="59">
        <f t="shared" si="150"/>
        <v>0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0</v>
      </c>
      <c r="EP184" s="59">
        <f t="shared" si="154"/>
        <v>0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0</v>
      </c>
      <c r="FK184" s="59">
        <f t="shared" si="156"/>
        <v>0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0</v>
      </c>
      <c r="GF184" s="59">
        <f t="shared" si="158"/>
        <v>0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0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186.90544184210381</v>
      </c>
      <c r="T185" s="59">
        <f t="shared" si="142"/>
        <v>202.05988514450519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10.622209076896166</v>
      </c>
      <c r="AA185" s="21">
        <f>EXP(-LN(2)/25)*AA184+(1-EXP(-LN(2)/25))/(LN(2)/25)*Calculateur!V185*Calculateur!X185*VLOOKUP('Données projet'!$B$9,Paramètres!$A$1:$I$89,3,0)*0.475*44/12</f>
        <v>0.74203097433436116</v>
      </c>
      <c r="AB185" s="21">
        <f>EXP(-LN(2)/2)*AB184+(1-EXP(-LN(2)/2))/(LN(2)/2)*V185*Y185*VLOOKUP('Données projet'!$B$9,Paramètres!$A$1:$I$89,3,0)*0.475*44/12</f>
        <v>1.8658591499158437E-17</v>
      </c>
      <c r="AC185" s="22">
        <f t="shared" si="163"/>
        <v>11.364240051230526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186.90544184210381</v>
      </c>
      <c r="AO185" s="59">
        <f t="shared" si="144"/>
        <v>202.05988514450519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10.622209076896166</v>
      </c>
      <c r="AV185" s="21">
        <f>EXP(-LN(2)/25)*AV184+(1-EXP(-LN(2)/25))/(LN(2)/25)*Calculateur!AQ185*Calculateur!AS185*VLOOKUP('Données projet'!$B$10,Paramètres!$A$1:$I$89,3,0)*0.475*44/12</f>
        <v>0.74203097433436116</v>
      </c>
      <c r="AW185" s="21">
        <f>EXP(-LN(2)/2)*AW184+(1-EXP(-LN(2)/2))/(LN(2)/2)*AQ185*AT185*VLOOKUP('Données projet'!$B$10,Paramètres!$A$1:$I$89,3,0)*0.475*44/12</f>
        <v>1.8658591499158437E-17</v>
      </c>
      <c r="AX185" s="21">
        <f t="shared" si="166"/>
        <v>11.364240051230526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-2.3055690689943732E-14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5.8584049049231908</v>
      </c>
      <c r="BJ185" s="59">
        <f t="shared" si="146"/>
        <v>42.266833200216638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4.3883337167898523E-21</v>
      </c>
      <c r="BS185" s="22">
        <f t="shared" si="169"/>
        <v>4.3883337167898523E-21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0</v>
      </c>
      <c r="CE185" s="59">
        <f t="shared" si="148"/>
        <v>0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0</v>
      </c>
      <c r="CZ185" s="59">
        <f t="shared" si="150"/>
        <v>0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0</v>
      </c>
      <c r="EP185" s="59">
        <f t="shared" si="154"/>
        <v>0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0</v>
      </c>
      <c r="FK185" s="59">
        <f t="shared" si="156"/>
        <v>0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0</v>
      </c>
      <c r="GF185" s="59">
        <f t="shared" si="158"/>
        <v>0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0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186.90544184210381</v>
      </c>
      <c r="T186" s="59">
        <f t="shared" si="142"/>
        <v>202.05988514450519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10.41391403580603</v>
      </c>
      <c r="AA186" s="21">
        <f>EXP(-LN(2)/25)*AA185+(1-EXP(-LN(2)/25))/(LN(2)/25)*Calculateur!V186*Calculateur!X186*VLOOKUP('Données projet'!$B$9,Paramètres!$A$1:$I$89,3,0)*0.475*44/12</f>
        <v>0.72174009831947505</v>
      </c>
      <c r="AB186" s="21">
        <f>EXP(-LN(2)/2)*AB185+(1-EXP(-LN(2)/2))/(LN(2)/2)*V186*Y186*VLOOKUP('Données projet'!$B$9,Paramètres!$A$1:$I$89,3,0)*0.475*44/12</f>
        <v>1.3193616576444601E-17</v>
      </c>
      <c r="AC186" s="22">
        <f t="shared" si="163"/>
        <v>11.135654134125506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186.90544184210381</v>
      </c>
      <c r="AO186" s="59">
        <f t="shared" si="144"/>
        <v>202.05988514450519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10.41391403580603</v>
      </c>
      <c r="AV186" s="21">
        <f>EXP(-LN(2)/25)*AV185+(1-EXP(-LN(2)/25))/(LN(2)/25)*Calculateur!AQ186*Calculateur!AS186*VLOOKUP('Données projet'!$B$10,Paramètres!$A$1:$I$89,3,0)*0.475*44/12</f>
        <v>0.72174009831947505</v>
      </c>
      <c r="AW186" s="21">
        <f>EXP(-LN(2)/2)*AW185+(1-EXP(-LN(2)/2))/(LN(2)/2)*AQ186*AT186*VLOOKUP('Données projet'!$B$10,Paramètres!$A$1:$I$89,3,0)*0.475*44/12</f>
        <v>1.3193616576444601E-17</v>
      </c>
      <c r="AX186" s="21">
        <f t="shared" si="166"/>
        <v>11.135654134125506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-2.3055690689943732E-14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5.8584049049231908</v>
      </c>
      <c r="BJ186" s="59">
        <f t="shared" si="146"/>
        <v>42.266833200216638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3.103020529251671E-21</v>
      </c>
      <c r="BS186" s="22">
        <f t="shared" si="169"/>
        <v>3.103020529251671E-21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0</v>
      </c>
      <c r="CE186" s="59">
        <f t="shared" si="148"/>
        <v>0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0</v>
      </c>
      <c r="CZ186" s="59">
        <f t="shared" si="150"/>
        <v>0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0</v>
      </c>
      <c r="EP186" s="59">
        <f t="shared" si="154"/>
        <v>0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0</v>
      </c>
      <c r="FK186" s="59">
        <f t="shared" si="156"/>
        <v>0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0</v>
      </c>
      <c r="GF186" s="59">
        <f t="shared" si="158"/>
        <v>0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0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186.90544184210381</v>
      </c>
      <c r="T187" s="59">
        <f t="shared" si="142"/>
        <v>202.05988514450519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10.209703533424241</v>
      </c>
      <c r="AA187" s="21">
        <f>EXP(-LN(2)/25)*AA186+(1-EXP(-LN(2)/25))/(LN(2)/25)*Calculateur!V187*Calculateur!X187*VLOOKUP('Données projet'!$B$9,Paramètres!$A$1:$I$89,3,0)*0.475*44/12</f>
        <v>0.7020040773762668</v>
      </c>
      <c r="AB187" s="21">
        <f>EXP(-LN(2)/2)*AB186+(1-EXP(-LN(2)/2))/(LN(2)/2)*V187*Y187*VLOOKUP('Données projet'!$B$9,Paramètres!$A$1:$I$89,3,0)*0.475*44/12</f>
        <v>9.3292957495792185E-18</v>
      </c>
      <c r="AC187" s="22">
        <f t="shared" si="163"/>
        <v>10.911707610800509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186.90544184210381</v>
      </c>
      <c r="AO187" s="59">
        <f t="shared" si="144"/>
        <v>202.05988514450519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10.209703533424241</v>
      </c>
      <c r="AV187" s="21">
        <f>EXP(-LN(2)/25)*AV186+(1-EXP(-LN(2)/25))/(LN(2)/25)*Calculateur!AQ187*Calculateur!AS187*VLOOKUP('Données projet'!$B$10,Paramètres!$A$1:$I$89,3,0)*0.475*44/12</f>
        <v>0.7020040773762668</v>
      </c>
      <c r="AW187" s="21">
        <f>EXP(-LN(2)/2)*AW186+(1-EXP(-LN(2)/2))/(LN(2)/2)*AQ187*AT187*VLOOKUP('Données projet'!$B$10,Paramètres!$A$1:$I$89,3,0)*0.475*44/12</f>
        <v>9.3292957495792185E-18</v>
      </c>
      <c r="AX187" s="21">
        <f t="shared" si="166"/>
        <v>10.911707610800509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-2.3055690689943732E-14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5.8584049049231908</v>
      </c>
      <c r="BJ187" s="59">
        <f t="shared" si="146"/>
        <v>42.266833200216638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2.1941668583949262E-21</v>
      </c>
      <c r="BS187" s="22">
        <f t="shared" si="169"/>
        <v>2.1941668583949262E-21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0</v>
      </c>
      <c r="CE187" s="59">
        <f t="shared" si="148"/>
        <v>0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0</v>
      </c>
      <c r="CZ187" s="59">
        <f t="shared" si="150"/>
        <v>0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0</v>
      </c>
      <c r="EP187" s="59">
        <f t="shared" si="154"/>
        <v>0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0</v>
      </c>
      <c r="FK187" s="59">
        <f t="shared" si="156"/>
        <v>0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0</v>
      </c>
      <c r="GF187" s="59">
        <f t="shared" si="158"/>
        <v>0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0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186.90544184210381</v>
      </c>
      <c r="T188" s="59">
        <f t="shared" si="142"/>
        <v>202.05988514450519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10.009497474438051</v>
      </c>
      <c r="AA188" s="21">
        <f>EXP(-LN(2)/25)*AA187+(1-EXP(-LN(2)/25))/(LN(2)/25)*Calculateur!V188*Calculateur!X188*VLOOKUP('Données projet'!$B$9,Paramètres!$A$1:$I$89,3,0)*0.475*44/12</f>
        <v>0.68280773896362279</v>
      </c>
      <c r="AB188" s="21">
        <f>EXP(-LN(2)/2)*AB187+(1-EXP(-LN(2)/2))/(LN(2)/2)*V188*Y188*VLOOKUP('Données projet'!$B$9,Paramètres!$A$1:$I$89,3,0)*0.475*44/12</f>
        <v>6.5968082882223004E-18</v>
      </c>
      <c r="AC188" s="22">
        <f t="shared" si="163"/>
        <v>10.692305213401674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186.90544184210381</v>
      </c>
      <c r="AO188" s="59">
        <f t="shared" si="144"/>
        <v>202.05988514450519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10.009497474438051</v>
      </c>
      <c r="AV188" s="21">
        <f>EXP(-LN(2)/25)*AV187+(1-EXP(-LN(2)/25))/(LN(2)/25)*Calculateur!AQ188*Calculateur!AS188*VLOOKUP('Données projet'!$B$10,Paramètres!$A$1:$I$89,3,0)*0.475*44/12</f>
        <v>0.68280773896362279</v>
      </c>
      <c r="AW188" s="21">
        <f>EXP(-LN(2)/2)*AW187+(1-EXP(-LN(2)/2))/(LN(2)/2)*AQ188*AT188*VLOOKUP('Données projet'!$B$10,Paramètres!$A$1:$I$89,3,0)*0.475*44/12</f>
        <v>6.5968082882223004E-18</v>
      </c>
      <c r="AX188" s="21">
        <f t="shared" si="166"/>
        <v>10.692305213401674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-2.3055690689943732E-14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5.8584049049231908</v>
      </c>
      <c r="BJ188" s="59">
        <f t="shared" si="146"/>
        <v>42.266833200216638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1.5515102646258355E-21</v>
      </c>
      <c r="BS188" s="22">
        <f t="shared" si="169"/>
        <v>1.5515102646258355E-21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0</v>
      </c>
      <c r="CE188" s="59">
        <f t="shared" si="148"/>
        <v>0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0</v>
      </c>
      <c r="CZ188" s="59">
        <f t="shared" si="150"/>
        <v>0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0</v>
      </c>
      <c r="EP188" s="59">
        <f t="shared" si="154"/>
        <v>0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0</v>
      </c>
      <c r="FK188" s="59">
        <f t="shared" si="156"/>
        <v>0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0</v>
      </c>
      <c r="GF188" s="59">
        <f t="shared" si="158"/>
        <v>0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0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186.90544184210381</v>
      </c>
      <c r="T189" s="59">
        <f t="shared" si="142"/>
        <v>202.05988514450519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9.8132173341549436</v>
      </c>
      <c r="AA189" s="21">
        <f>EXP(-LN(2)/25)*AA188+(1-EXP(-LN(2)/25))/(LN(2)/25)*Calculateur!V189*Calculateur!X189*VLOOKUP('Données projet'!$B$9,Paramètres!$A$1:$I$89,3,0)*0.475*44/12</f>
        <v>0.66413632543436407</v>
      </c>
      <c r="AB189" s="21">
        <f>EXP(-LN(2)/2)*AB188+(1-EXP(-LN(2)/2))/(LN(2)/2)*V189*Y189*VLOOKUP('Données projet'!$B$9,Paramètres!$A$1:$I$89,3,0)*0.475*44/12</f>
        <v>4.6646478747896092E-18</v>
      </c>
      <c r="AC189" s="22">
        <f t="shared" si="163"/>
        <v>10.477353659589308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186.90544184210381</v>
      </c>
      <c r="AO189" s="59">
        <f t="shared" si="144"/>
        <v>202.05988514450519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9.8132173341549436</v>
      </c>
      <c r="AV189" s="21">
        <f>EXP(-LN(2)/25)*AV188+(1-EXP(-LN(2)/25))/(LN(2)/25)*Calculateur!AQ189*Calculateur!AS189*VLOOKUP('Données projet'!$B$10,Paramètres!$A$1:$I$89,3,0)*0.475*44/12</f>
        <v>0.66413632543436407</v>
      </c>
      <c r="AW189" s="21">
        <f>EXP(-LN(2)/2)*AW188+(1-EXP(-LN(2)/2))/(LN(2)/2)*AQ189*AT189*VLOOKUP('Données projet'!$B$10,Paramètres!$A$1:$I$89,3,0)*0.475*44/12</f>
        <v>4.6646478747896092E-18</v>
      </c>
      <c r="AX189" s="21">
        <f t="shared" si="166"/>
        <v>10.477353659589308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-2.3055690689943732E-14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5.8584049049231908</v>
      </c>
      <c r="BJ189" s="59">
        <f t="shared" si="146"/>
        <v>42.266833200216638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1.0970834291974631E-21</v>
      </c>
      <c r="BS189" s="22">
        <f t="shared" si="169"/>
        <v>1.0970834291974631E-21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0</v>
      </c>
      <c r="CE189" s="59">
        <f t="shared" si="148"/>
        <v>0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0</v>
      </c>
      <c r="CZ189" s="59">
        <f t="shared" si="150"/>
        <v>0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0</v>
      </c>
      <c r="EP189" s="59">
        <f t="shared" si="154"/>
        <v>0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0</v>
      </c>
      <c r="FK189" s="59">
        <f t="shared" si="156"/>
        <v>0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0</v>
      </c>
      <c r="GF189" s="59">
        <f t="shared" si="158"/>
        <v>0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0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186.90544184210381</v>
      </c>
      <c r="T190" s="59">
        <f t="shared" si="142"/>
        <v>202.05988514450519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9.6207861277037221</v>
      </c>
      <c r="AA190" s="21">
        <f>EXP(-LN(2)/25)*AA189+(1-EXP(-LN(2)/25))/(LN(2)/25)*Calculateur!V190*Calculateur!X190*VLOOKUP('Données projet'!$B$9,Paramètres!$A$1:$I$89,3,0)*0.475*44/12</f>
        <v>0.64597548268994998</v>
      </c>
      <c r="AB190" s="21">
        <f>EXP(-LN(2)/2)*AB189+(1-EXP(-LN(2)/2))/(LN(2)/2)*V190*Y190*VLOOKUP('Données projet'!$B$9,Paramètres!$A$1:$I$89,3,0)*0.475*44/12</f>
        <v>3.2984041441111502E-18</v>
      </c>
      <c r="AC190" s="22">
        <f t="shared" si="163"/>
        <v>10.266761610393672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186.90544184210381</v>
      </c>
      <c r="AO190" s="59">
        <f t="shared" si="144"/>
        <v>202.05988514450519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9.6207861277037221</v>
      </c>
      <c r="AV190" s="21">
        <f>EXP(-LN(2)/25)*AV189+(1-EXP(-LN(2)/25))/(LN(2)/25)*Calculateur!AQ190*Calculateur!AS190*VLOOKUP('Données projet'!$B$10,Paramètres!$A$1:$I$89,3,0)*0.475*44/12</f>
        <v>0.64597548268994998</v>
      </c>
      <c r="AW190" s="21">
        <f>EXP(-LN(2)/2)*AW189+(1-EXP(-LN(2)/2))/(LN(2)/2)*AQ190*AT190*VLOOKUP('Données projet'!$B$10,Paramètres!$A$1:$I$89,3,0)*0.475*44/12</f>
        <v>3.2984041441111502E-18</v>
      </c>
      <c r="AX190" s="21">
        <f t="shared" si="166"/>
        <v>10.266761610393672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-2.3055690689943732E-14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5.8584049049231908</v>
      </c>
      <c r="BJ190" s="59">
        <f t="shared" si="146"/>
        <v>42.266833200216638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7.7575513231291774E-22</v>
      </c>
      <c r="BS190" s="22">
        <f t="shared" si="169"/>
        <v>7.7575513231291774E-22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0</v>
      </c>
      <c r="CE190" s="59">
        <f t="shared" si="148"/>
        <v>0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0</v>
      </c>
      <c r="CZ190" s="59">
        <f t="shared" si="150"/>
        <v>0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0</v>
      </c>
      <c r="EP190" s="59">
        <f t="shared" si="154"/>
        <v>0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0</v>
      </c>
      <c r="FK190" s="59">
        <f t="shared" si="156"/>
        <v>0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0</v>
      </c>
      <c r="GF190" s="59">
        <f t="shared" si="158"/>
        <v>0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0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186.90544184210381</v>
      </c>
      <c r="T191" s="59">
        <f t="shared" si="142"/>
        <v>202.05988514450519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9.432128379839563</v>
      </c>
      <c r="AA191" s="21">
        <f>EXP(-LN(2)/25)*AA190+(1-EXP(-LN(2)/25))/(LN(2)/25)*Calculateur!V191*Calculateur!X191*VLOOKUP('Données projet'!$B$9,Paramètres!$A$1:$I$89,3,0)*0.475*44/12</f>
        <v>0.62831124914541903</v>
      </c>
      <c r="AB191" s="21">
        <f>EXP(-LN(2)/2)*AB190+(1-EXP(-LN(2)/2))/(LN(2)/2)*V191*Y191*VLOOKUP('Données projet'!$B$9,Paramètres!$A$1:$I$89,3,0)*0.475*44/12</f>
        <v>2.3323239373948046E-18</v>
      </c>
      <c r="AC191" s="22">
        <f t="shared" si="163"/>
        <v>10.060439628984982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186.90544184210381</v>
      </c>
      <c r="AO191" s="59">
        <f t="shared" si="144"/>
        <v>202.05988514450519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9.432128379839563</v>
      </c>
      <c r="AV191" s="21">
        <f>EXP(-LN(2)/25)*AV190+(1-EXP(-LN(2)/25))/(LN(2)/25)*Calculateur!AQ191*Calculateur!AS191*VLOOKUP('Données projet'!$B$10,Paramètres!$A$1:$I$89,3,0)*0.475*44/12</f>
        <v>0.62831124914541903</v>
      </c>
      <c r="AW191" s="21">
        <f>EXP(-LN(2)/2)*AW190+(1-EXP(-LN(2)/2))/(LN(2)/2)*AQ191*AT191*VLOOKUP('Données projet'!$B$10,Paramètres!$A$1:$I$89,3,0)*0.475*44/12</f>
        <v>2.3323239373948046E-18</v>
      </c>
      <c r="AX191" s="21">
        <f t="shared" si="166"/>
        <v>10.060439628984982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-2.3055690689943732E-14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5.8584049049231908</v>
      </c>
      <c r="BJ191" s="59">
        <f t="shared" si="146"/>
        <v>42.266833200216638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5.4854171459873154E-22</v>
      </c>
      <c r="BS191" s="22">
        <f t="shared" si="169"/>
        <v>5.4854171459873154E-22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0</v>
      </c>
      <c r="CE191" s="59">
        <f t="shared" si="148"/>
        <v>0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0</v>
      </c>
      <c r="CZ191" s="59">
        <f t="shared" si="150"/>
        <v>0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0</v>
      </c>
      <c r="EP191" s="59">
        <f t="shared" si="154"/>
        <v>0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0</v>
      </c>
      <c r="FK191" s="59">
        <f t="shared" si="156"/>
        <v>0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0</v>
      </c>
      <c r="GF191" s="59">
        <f t="shared" si="158"/>
        <v>0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0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186.90544184210381</v>
      </c>
      <c r="T192" s="59">
        <f t="shared" si="142"/>
        <v>202.05988514450519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9.247170095341156</v>
      </c>
      <c r="AA192" s="21">
        <f>EXP(-LN(2)/25)*AA191+(1-EXP(-LN(2)/25))/(LN(2)/25)*Calculateur!V192*Calculateur!X192*VLOOKUP('Données projet'!$B$9,Paramètres!$A$1:$I$89,3,0)*0.475*44/12</f>
        <v>0.61113004499608492</v>
      </c>
      <c r="AB192" s="21">
        <f>EXP(-LN(2)/2)*AB191+(1-EXP(-LN(2)/2))/(LN(2)/2)*V192*Y192*VLOOKUP('Données projet'!$B$9,Paramètres!$A$1:$I$89,3,0)*0.475*44/12</f>
        <v>1.6492020720555751E-18</v>
      </c>
      <c r="AC192" s="22">
        <f t="shared" si="163"/>
        <v>9.8583001403372403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186.90544184210381</v>
      </c>
      <c r="AO192" s="59">
        <f t="shared" si="144"/>
        <v>202.05988514450519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9.247170095341156</v>
      </c>
      <c r="AV192" s="21">
        <f>EXP(-LN(2)/25)*AV191+(1-EXP(-LN(2)/25))/(LN(2)/25)*Calculateur!AQ192*Calculateur!AS192*VLOOKUP('Données projet'!$B$10,Paramètres!$A$1:$I$89,3,0)*0.475*44/12</f>
        <v>0.61113004499608492</v>
      </c>
      <c r="AW192" s="21">
        <f>EXP(-LN(2)/2)*AW191+(1-EXP(-LN(2)/2))/(LN(2)/2)*AQ192*AT192*VLOOKUP('Données projet'!$B$10,Paramètres!$A$1:$I$89,3,0)*0.475*44/12</f>
        <v>1.6492020720555751E-18</v>
      </c>
      <c r="AX192" s="21">
        <f t="shared" si="166"/>
        <v>9.8583001403372403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-2.3055690689943732E-14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5.8584049049231908</v>
      </c>
      <c r="BJ192" s="59">
        <f t="shared" si="146"/>
        <v>42.266833200216638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3.8787756615645887E-22</v>
      </c>
      <c r="BS192" s="22">
        <f t="shared" si="169"/>
        <v>3.8787756615645887E-22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0</v>
      </c>
      <c r="CE192" s="59">
        <f t="shared" si="148"/>
        <v>0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0</v>
      </c>
      <c r="CZ192" s="59">
        <f t="shared" si="150"/>
        <v>0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0</v>
      </c>
      <c r="EP192" s="59">
        <f t="shared" si="154"/>
        <v>0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0</v>
      </c>
      <c r="FK192" s="59">
        <f t="shared" si="156"/>
        <v>0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0</v>
      </c>
      <c r="GF192" s="59">
        <f t="shared" si="158"/>
        <v>0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0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186.90544184210381</v>
      </c>
      <c r="T193" s="59">
        <f t="shared" si="142"/>
        <v>202.05988514450519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9.0658387299883483</v>
      </c>
      <c r="AA193" s="21">
        <f>EXP(-LN(2)/25)*AA192+(1-EXP(-LN(2)/25))/(LN(2)/25)*Calculateur!V193*Calculateur!X193*VLOOKUP('Données projet'!$B$9,Paramètres!$A$1:$I$89,3,0)*0.475*44/12</f>
        <v>0.59441866177773461</v>
      </c>
      <c r="AB193" s="21">
        <f>EXP(-LN(2)/2)*AB192+(1-EXP(-LN(2)/2))/(LN(2)/2)*V193*Y193*VLOOKUP('Données projet'!$B$9,Paramètres!$A$1:$I$89,3,0)*0.475*44/12</f>
        <v>1.1661619686974023E-18</v>
      </c>
      <c r="AC193" s="22">
        <f t="shared" si="163"/>
        <v>9.6602573917660823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186.90544184210381</v>
      </c>
      <c r="AO193" s="59">
        <f t="shared" si="144"/>
        <v>202.05988514450519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9.0658387299883483</v>
      </c>
      <c r="AV193" s="21">
        <f>EXP(-LN(2)/25)*AV192+(1-EXP(-LN(2)/25))/(LN(2)/25)*Calculateur!AQ193*Calculateur!AS193*VLOOKUP('Données projet'!$B$10,Paramètres!$A$1:$I$89,3,0)*0.475*44/12</f>
        <v>0.59441866177773461</v>
      </c>
      <c r="AW193" s="21">
        <f>EXP(-LN(2)/2)*AW192+(1-EXP(-LN(2)/2))/(LN(2)/2)*AQ193*AT193*VLOOKUP('Données projet'!$B$10,Paramètres!$A$1:$I$89,3,0)*0.475*44/12</f>
        <v>1.1661619686974023E-18</v>
      </c>
      <c r="AX193" s="21">
        <f t="shared" si="166"/>
        <v>9.6602573917660823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-2.3055690689943732E-14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5.8584049049231908</v>
      </c>
      <c r="BJ193" s="59">
        <f t="shared" si="146"/>
        <v>42.266833200216638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2.7427085729936577E-22</v>
      </c>
      <c r="BS193" s="22">
        <f t="shared" si="169"/>
        <v>2.7427085729936577E-22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0</v>
      </c>
      <c r="CE193" s="59">
        <f t="shared" si="148"/>
        <v>0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0</v>
      </c>
      <c r="CZ193" s="59">
        <f t="shared" si="150"/>
        <v>0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0</v>
      </c>
      <c r="EP193" s="59">
        <f t="shared" si="154"/>
        <v>0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0</v>
      </c>
      <c r="FK193" s="59">
        <f t="shared" si="156"/>
        <v>0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0</v>
      </c>
      <c r="GF193" s="59">
        <f t="shared" si="158"/>
        <v>0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0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186.90544184210381</v>
      </c>
      <c r="T194" s="59">
        <f t="shared" si="142"/>
        <v>202.05988514450519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8.8880631621088977</v>
      </c>
      <c r="AA194" s="21">
        <f>EXP(-LN(2)/25)*AA193+(1-EXP(-LN(2)/25))/(LN(2)/25)*Calculateur!V194*Calculateur!X194*VLOOKUP('Données projet'!$B$9,Paramètres!$A$1:$I$89,3,0)*0.475*44/12</f>
        <v>0.57816425221230361</v>
      </c>
      <c r="AB194" s="21">
        <f>EXP(-LN(2)/2)*AB193+(1-EXP(-LN(2)/2))/(LN(2)/2)*V194*Y194*VLOOKUP('Données projet'!$B$9,Paramètres!$A$1:$I$89,3,0)*0.475*44/12</f>
        <v>8.2460103602778755E-19</v>
      </c>
      <c r="AC194" s="22">
        <f t="shared" si="163"/>
        <v>9.4662274143212013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186.90544184210381</v>
      </c>
      <c r="AO194" s="59">
        <f t="shared" si="144"/>
        <v>202.05988514450519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8.8880631621088977</v>
      </c>
      <c r="AV194" s="21">
        <f>EXP(-LN(2)/25)*AV193+(1-EXP(-LN(2)/25))/(LN(2)/25)*Calculateur!AQ194*Calculateur!AS194*VLOOKUP('Données projet'!$B$10,Paramètres!$A$1:$I$89,3,0)*0.475*44/12</f>
        <v>0.57816425221230361</v>
      </c>
      <c r="AW194" s="21">
        <f>EXP(-LN(2)/2)*AW193+(1-EXP(-LN(2)/2))/(LN(2)/2)*AQ194*AT194*VLOOKUP('Données projet'!$B$10,Paramètres!$A$1:$I$89,3,0)*0.475*44/12</f>
        <v>8.2460103602778755E-19</v>
      </c>
      <c r="AX194" s="21">
        <f t="shared" si="166"/>
        <v>9.4662274143212013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-2.3055690689943732E-14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5.8584049049231908</v>
      </c>
      <c r="BJ194" s="59">
        <f t="shared" si="146"/>
        <v>42.266833200216638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1.9393878307822943E-22</v>
      </c>
      <c r="BS194" s="22">
        <f t="shared" si="169"/>
        <v>1.9393878307822943E-22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0</v>
      </c>
      <c r="CE194" s="59">
        <f t="shared" si="148"/>
        <v>0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0</v>
      </c>
      <c r="CZ194" s="59">
        <f t="shared" si="150"/>
        <v>0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0</v>
      </c>
      <c r="EP194" s="59">
        <f t="shared" si="154"/>
        <v>0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0</v>
      </c>
      <c r="FK194" s="59">
        <f t="shared" si="156"/>
        <v>0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0</v>
      </c>
      <c r="GF194" s="59">
        <f t="shared" si="158"/>
        <v>0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0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186.90544184210381</v>
      </c>
      <c r="T195" s="59">
        <f t="shared" si="142"/>
        <v>202.05988514450519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8.713773664683174</v>
      </c>
      <c r="AA195" s="21">
        <f>EXP(-LN(2)/25)*AA194+(1-EXP(-LN(2)/25))/(LN(2)/25)*Calculateur!V195*Calculateur!X195*VLOOKUP('Données projet'!$B$9,Paramètres!$A$1:$I$89,3,0)*0.475*44/12</f>
        <v>0.56235432033122157</v>
      </c>
      <c r="AB195" s="21">
        <f>EXP(-LN(2)/2)*AB194+(1-EXP(-LN(2)/2))/(LN(2)/2)*V195*Y195*VLOOKUP('Données projet'!$B$9,Paramètres!$A$1:$I$89,3,0)*0.475*44/12</f>
        <v>5.8308098434870115E-19</v>
      </c>
      <c r="AC195" s="22">
        <f t="shared" si="163"/>
        <v>9.2761279850143961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186.90544184210381</v>
      </c>
      <c r="AO195" s="59">
        <f t="shared" si="144"/>
        <v>202.05988514450519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8.713773664683174</v>
      </c>
      <c r="AV195" s="21">
        <f>EXP(-LN(2)/25)*AV194+(1-EXP(-LN(2)/25))/(LN(2)/25)*Calculateur!AQ195*Calculateur!AS195*VLOOKUP('Données projet'!$B$10,Paramètres!$A$1:$I$89,3,0)*0.475*44/12</f>
        <v>0.56235432033122157</v>
      </c>
      <c r="AW195" s="21">
        <f>EXP(-LN(2)/2)*AW194+(1-EXP(-LN(2)/2))/(LN(2)/2)*AQ195*AT195*VLOOKUP('Données projet'!$B$10,Paramètres!$A$1:$I$89,3,0)*0.475*44/12</f>
        <v>5.8308098434870115E-19</v>
      </c>
      <c r="AX195" s="21">
        <f t="shared" si="166"/>
        <v>9.2761279850143961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-2.3055690689943732E-14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5.8584049049231908</v>
      </c>
      <c r="BJ195" s="59">
        <f t="shared" si="146"/>
        <v>42.266833200216638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1.3713542864968288E-22</v>
      </c>
      <c r="BS195" s="22">
        <f t="shared" si="169"/>
        <v>1.3713542864968288E-22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0</v>
      </c>
      <c r="CE195" s="59">
        <f t="shared" si="148"/>
        <v>0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0</v>
      </c>
      <c r="CZ195" s="59">
        <f t="shared" si="150"/>
        <v>0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0</v>
      </c>
      <c r="EP195" s="59">
        <f t="shared" si="154"/>
        <v>0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0</v>
      </c>
      <c r="FK195" s="59">
        <f t="shared" si="156"/>
        <v>0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0</v>
      </c>
      <c r="GF195" s="59">
        <f t="shared" si="158"/>
        <v>0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0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186.90544184210381</v>
      </c>
      <c r="T196" s="59">
        <f t="shared" si="142"/>
        <v>202.05988514450519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8.5429018779958721</v>
      </c>
      <c r="AA196" s="21">
        <f>EXP(-LN(2)/25)*AA195+(1-EXP(-LN(2)/25))/(LN(2)/25)*Calculateur!V196*Calculateur!X196*VLOOKUP('Données projet'!$B$9,Paramètres!$A$1:$I$89,3,0)*0.475*44/12</f>
        <v>0.5469767118688359</v>
      </c>
      <c r="AB196" s="21">
        <f>EXP(-LN(2)/2)*AB195+(1-EXP(-LN(2)/2))/(LN(2)/2)*V196*Y196*VLOOKUP('Données projet'!$B$9,Paramètres!$A$1:$I$89,3,0)*0.475*44/12</f>
        <v>4.1230051801389377E-19</v>
      </c>
      <c r="AC196" s="22">
        <f t="shared" si="163"/>
        <v>9.0898785898647088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186.90544184210381</v>
      </c>
      <c r="AO196" s="59">
        <f t="shared" si="144"/>
        <v>202.05988514450519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8.5429018779958721</v>
      </c>
      <c r="AV196" s="21">
        <f>EXP(-LN(2)/25)*AV195+(1-EXP(-LN(2)/25))/(LN(2)/25)*Calculateur!AQ196*Calculateur!AS196*VLOOKUP('Données projet'!$B$10,Paramètres!$A$1:$I$89,3,0)*0.475*44/12</f>
        <v>0.5469767118688359</v>
      </c>
      <c r="AW196" s="21">
        <f>EXP(-LN(2)/2)*AW195+(1-EXP(-LN(2)/2))/(LN(2)/2)*AQ196*AT196*VLOOKUP('Données projet'!$B$10,Paramètres!$A$1:$I$89,3,0)*0.475*44/12</f>
        <v>4.1230051801389377E-19</v>
      </c>
      <c r="AX196" s="21">
        <f t="shared" si="166"/>
        <v>9.0898785898647088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-2.3055690689943732E-14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5.8584049049231908</v>
      </c>
      <c r="BJ196" s="59">
        <f t="shared" si="146"/>
        <v>42.266833200216638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9.6969391539114717E-23</v>
      </c>
      <c r="BS196" s="22">
        <f t="shared" si="169"/>
        <v>9.6969391539114717E-23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0</v>
      </c>
      <c r="CE196" s="59">
        <f t="shared" si="148"/>
        <v>0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0</v>
      </c>
      <c r="CZ196" s="59">
        <f t="shared" si="150"/>
        <v>0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0</v>
      </c>
      <c r="EP196" s="59">
        <f t="shared" si="154"/>
        <v>0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0</v>
      </c>
      <c r="FK196" s="59">
        <f t="shared" si="156"/>
        <v>0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0</v>
      </c>
      <c r="GF196" s="59">
        <f t="shared" si="158"/>
        <v>0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0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186.90544184210381</v>
      </c>
      <c r="T197" s="59">
        <f t="shared" ref="T197:T203" si="204">$T$3</f>
        <v>202.05988514450519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8.3753807828240099</v>
      </c>
      <c r="AA197" s="21">
        <f>EXP(-LN(2)/25)*AA196+(1-EXP(-LN(2)/25))/(LN(2)/25)*Calculateur!V197*Calculateur!X197*VLOOKUP('Données projet'!$B$9,Paramètres!$A$1:$I$89,3,0)*0.475*44/12</f>
        <v>0.5320196049185274</v>
      </c>
      <c r="AB197" s="21">
        <f>EXP(-LN(2)/2)*AB196+(1-EXP(-LN(2)/2))/(LN(2)/2)*V197*Y197*VLOOKUP('Données projet'!$B$9,Paramètres!$A$1:$I$89,3,0)*0.475*44/12</f>
        <v>2.9154049217435058E-19</v>
      </c>
      <c r="AC197" s="22">
        <f t="shared" si="163"/>
        <v>8.9074003877425376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186.90544184210381</v>
      </c>
      <c r="AO197" s="59">
        <f t="shared" ref="AO197:AO203" si="205">$AO$3</f>
        <v>202.05988514450519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8.3753807828240099</v>
      </c>
      <c r="AV197" s="21">
        <f>EXP(-LN(2)/25)*AV196+(1-EXP(-LN(2)/25))/(LN(2)/25)*Calculateur!AQ197*Calculateur!AS197*VLOOKUP('Données projet'!$B$10,Paramètres!$A$1:$I$89,3,0)*0.475*44/12</f>
        <v>0.5320196049185274</v>
      </c>
      <c r="AW197" s="21">
        <f>EXP(-LN(2)/2)*AW196+(1-EXP(-LN(2)/2))/(LN(2)/2)*AQ197*AT197*VLOOKUP('Données projet'!$B$10,Paramètres!$A$1:$I$89,3,0)*0.475*44/12</f>
        <v>2.9154049217435058E-19</v>
      </c>
      <c r="AX197" s="21">
        <f t="shared" si="166"/>
        <v>8.9074003877425376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-2.3055690689943732E-14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5.8584049049231908</v>
      </c>
      <c r="BJ197" s="59">
        <f t="shared" ref="BJ197:BJ203" si="206">$BJ$3</f>
        <v>42.266833200216638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6.8567714324841442E-23</v>
      </c>
      <c r="BS197" s="22">
        <f t="shared" si="169"/>
        <v>6.8567714324841442E-23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0</v>
      </c>
      <c r="CE197" s="59">
        <f t="shared" ref="CE197:CE203" si="207">$CE$3</f>
        <v>0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0</v>
      </c>
      <c r="CZ197" s="59">
        <f t="shared" ref="CZ197:CZ203" si="208">$CZ$3</f>
        <v>0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0</v>
      </c>
      <c r="EP197" s="59">
        <f t="shared" ref="EP197:EP203" si="210">$EP$3</f>
        <v>0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0</v>
      </c>
      <c r="FK197" s="59">
        <f t="shared" ref="FK197:FK203" si="211">$FK$3</f>
        <v>0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0</v>
      </c>
      <c r="GF197" s="59">
        <f t="shared" ref="GF197:GF203" si="212">$GF$3</f>
        <v>0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0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186.90544184210381</v>
      </c>
      <c r="T198" s="59">
        <f t="shared" si="204"/>
        <v>202.05988514450519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8.2111446741506882</v>
      </c>
      <c r="AA198" s="21">
        <f>EXP(-LN(2)/25)*AA197+(1-EXP(-LN(2)/25))/(LN(2)/25)*Calculateur!V198*Calculateur!X198*VLOOKUP('Données projet'!$B$9,Paramètres!$A$1:$I$89,3,0)*0.475*44/12</f>
        <v>0.51747150084433524</v>
      </c>
      <c r="AB198" s="21">
        <f>EXP(-LN(2)/2)*AB197+(1-EXP(-LN(2)/2))/(LN(2)/2)*V198*Y198*VLOOKUP('Données projet'!$B$9,Paramètres!$A$1:$I$89,3,0)*0.475*44/12</f>
        <v>2.0615025900694689E-19</v>
      </c>
      <c r="AC198" s="22">
        <f t="shared" si="163"/>
        <v>8.7286161749950235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186.90544184210381</v>
      </c>
      <c r="AO198" s="59">
        <f t="shared" si="205"/>
        <v>202.05988514450519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8.2111446741506882</v>
      </c>
      <c r="AV198" s="21">
        <f>EXP(-LN(2)/25)*AV197+(1-EXP(-LN(2)/25))/(LN(2)/25)*Calculateur!AQ198*Calculateur!AS198*VLOOKUP('Données projet'!$B$10,Paramètres!$A$1:$I$89,3,0)*0.475*44/12</f>
        <v>0.51747150084433524</v>
      </c>
      <c r="AW198" s="21">
        <f>EXP(-LN(2)/2)*AW197+(1-EXP(-LN(2)/2))/(LN(2)/2)*AQ198*AT198*VLOOKUP('Données projet'!$B$10,Paramètres!$A$1:$I$89,3,0)*0.475*44/12</f>
        <v>2.0615025900694689E-19</v>
      </c>
      <c r="AX198" s="21">
        <f t="shared" si="166"/>
        <v>8.7286161749950235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-2.3055690689943732E-14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5.8584049049231908</v>
      </c>
      <c r="BJ198" s="59">
        <f t="shared" si="206"/>
        <v>42.266833200216638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4.8484695769557359E-23</v>
      </c>
      <c r="BS198" s="22">
        <f t="shared" si="169"/>
        <v>4.8484695769557359E-23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0</v>
      </c>
      <c r="CE198" s="59">
        <f t="shared" si="207"/>
        <v>0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0</v>
      </c>
      <c r="CZ198" s="59">
        <f t="shared" si="208"/>
        <v>0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0</v>
      </c>
      <c r="EP198" s="59">
        <f t="shared" si="210"/>
        <v>0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0</v>
      </c>
      <c r="FK198" s="59">
        <f t="shared" si="211"/>
        <v>0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0</v>
      </c>
      <c r="GF198" s="59">
        <f t="shared" si="212"/>
        <v>0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0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186.90544184210381</v>
      </c>
      <c r="T199" s="59">
        <f t="shared" si="204"/>
        <v>202.05988514450519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8.0501291353943163</v>
      </c>
      <c r="AA199" s="21">
        <f>EXP(-LN(2)/25)*AA198+(1-EXP(-LN(2)/25))/(LN(2)/25)*Calculateur!V199*Calculateur!X199*VLOOKUP('Données projet'!$B$9,Paramètres!$A$1:$I$89,3,0)*0.475*44/12</f>
        <v>0.50332121544110331</v>
      </c>
      <c r="AB199" s="21">
        <f>EXP(-LN(2)/2)*AB198+(1-EXP(-LN(2)/2))/(LN(2)/2)*V199*Y199*VLOOKUP('Données projet'!$B$9,Paramètres!$A$1:$I$89,3,0)*0.475*44/12</f>
        <v>1.4577024608717529E-19</v>
      </c>
      <c r="AC199" s="22">
        <f t="shared" si="163"/>
        <v>8.5534503508354192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186.90544184210381</v>
      </c>
      <c r="AO199" s="59">
        <f t="shared" si="205"/>
        <v>202.05988514450519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8.0501291353943163</v>
      </c>
      <c r="AV199" s="21">
        <f>EXP(-LN(2)/25)*AV198+(1-EXP(-LN(2)/25))/(LN(2)/25)*Calculateur!AQ199*Calculateur!AS199*VLOOKUP('Données projet'!$B$10,Paramètres!$A$1:$I$89,3,0)*0.475*44/12</f>
        <v>0.50332121544110331</v>
      </c>
      <c r="AW199" s="21">
        <f>EXP(-LN(2)/2)*AW198+(1-EXP(-LN(2)/2))/(LN(2)/2)*AQ199*AT199*VLOOKUP('Données projet'!$B$10,Paramètres!$A$1:$I$89,3,0)*0.475*44/12</f>
        <v>1.4577024608717529E-19</v>
      </c>
      <c r="AX199" s="21">
        <f t="shared" si="166"/>
        <v>8.5534503508354192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-2.3055690689943732E-14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5.8584049049231908</v>
      </c>
      <c r="BJ199" s="59">
        <f t="shared" si="206"/>
        <v>42.266833200216638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3.4283857162420721E-23</v>
      </c>
      <c r="BS199" s="22">
        <f t="shared" si="169"/>
        <v>3.4283857162420721E-23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0</v>
      </c>
      <c r="CE199" s="59">
        <f t="shared" si="207"/>
        <v>0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0</v>
      </c>
      <c r="CZ199" s="59">
        <f t="shared" si="208"/>
        <v>0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0</v>
      </c>
      <c r="EP199" s="59">
        <f t="shared" si="210"/>
        <v>0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0</v>
      </c>
      <c r="FK199" s="59">
        <f t="shared" si="211"/>
        <v>0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0</v>
      </c>
      <c r="GF199" s="59">
        <f t="shared" si="212"/>
        <v>0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0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186.90544184210381</v>
      </c>
      <c r="T200" s="59">
        <f t="shared" si="204"/>
        <v>202.05988514450519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7.8922710131431746</v>
      </c>
      <c r="AA200" s="21">
        <f>EXP(-LN(2)/25)*AA199+(1-EXP(-LN(2)/25))/(LN(2)/25)*Calculateur!V200*Calculateur!X200*VLOOKUP('Données projet'!$B$9,Paramètres!$A$1:$I$89,3,0)*0.475*44/12</f>
        <v>0.48955787033635395</v>
      </c>
      <c r="AB200" s="21">
        <f>EXP(-LN(2)/2)*AB199+(1-EXP(-LN(2)/2))/(LN(2)/2)*V200*Y200*VLOOKUP('Données projet'!$B$9,Paramètres!$A$1:$I$89,3,0)*0.475*44/12</f>
        <v>1.0307512950347344E-19</v>
      </c>
      <c r="AC200" s="22">
        <f t="shared" si="163"/>
        <v>8.3818288834795283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186.90544184210381</v>
      </c>
      <c r="AO200" s="59">
        <f t="shared" si="205"/>
        <v>202.05988514450519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7.8922710131431746</v>
      </c>
      <c r="AV200" s="21">
        <f>EXP(-LN(2)/25)*AV199+(1-EXP(-LN(2)/25))/(LN(2)/25)*Calculateur!AQ200*Calculateur!AS200*VLOOKUP('Données projet'!$B$10,Paramètres!$A$1:$I$89,3,0)*0.475*44/12</f>
        <v>0.48955787033635395</v>
      </c>
      <c r="AW200" s="21">
        <f>EXP(-LN(2)/2)*AW199+(1-EXP(-LN(2)/2))/(LN(2)/2)*AQ200*AT200*VLOOKUP('Données projet'!$B$10,Paramètres!$A$1:$I$89,3,0)*0.475*44/12</f>
        <v>1.0307512950347344E-19</v>
      </c>
      <c r="AX200" s="21">
        <f t="shared" si="166"/>
        <v>8.3818288834795283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-2.3055690689943732E-14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5.8584049049231908</v>
      </c>
      <c r="BJ200" s="59">
        <f t="shared" si="206"/>
        <v>42.266833200216638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2.4242347884778679E-23</v>
      </c>
      <c r="BS200" s="22">
        <f t="shared" si="169"/>
        <v>2.4242347884778679E-23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0</v>
      </c>
      <c r="CE200" s="59">
        <f t="shared" si="207"/>
        <v>0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0</v>
      </c>
      <c r="CZ200" s="59">
        <f t="shared" si="208"/>
        <v>0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0</v>
      </c>
      <c r="EP200" s="59">
        <f t="shared" si="210"/>
        <v>0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0</v>
      </c>
      <c r="FK200" s="59">
        <f t="shared" si="211"/>
        <v>0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0</v>
      </c>
      <c r="GF200" s="59">
        <f t="shared" si="212"/>
        <v>0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0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186.90544184210381</v>
      </c>
      <c r="T201" s="59">
        <f t="shared" si="204"/>
        <v>202.05988514450519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7.7375083923854309</v>
      </c>
      <c r="AA201" s="21">
        <f>EXP(-LN(2)/25)*AA200+(1-EXP(-LN(2)/25))/(LN(2)/25)*Calculateur!V201*Calculateur!X201*VLOOKUP('Données projet'!$B$9,Paramètres!$A$1:$I$89,3,0)*0.475*44/12</f>
        <v>0.47617088462727686</v>
      </c>
      <c r="AB201" s="21">
        <f>EXP(-LN(2)/2)*AB200+(1-EXP(-LN(2)/2))/(LN(2)/2)*V201*Y201*VLOOKUP('Données projet'!$B$9,Paramètres!$A$1:$I$89,3,0)*0.475*44/12</f>
        <v>7.2885123043587644E-20</v>
      </c>
      <c r="AC201" s="22">
        <f t="shared" si="163"/>
        <v>8.2136792770127069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186.90544184210381</v>
      </c>
      <c r="AO201" s="59">
        <f t="shared" si="205"/>
        <v>202.05988514450519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7.7375083923854309</v>
      </c>
      <c r="AV201" s="21">
        <f>EXP(-LN(2)/25)*AV200+(1-EXP(-LN(2)/25))/(LN(2)/25)*Calculateur!AQ201*Calculateur!AS201*VLOOKUP('Données projet'!$B$10,Paramètres!$A$1:$I$89,3,0)*0.475*44/12</f>
        <v>0.47617088462727686</v>
      </c>
      <c r="AW201" s="21">
        <f>EXP(-LN(2)/2)*AW200+(1-EXP(-LN(2)/2))/(LN(2)/2)*AQ201*AT201*VLOOKUP('Données projet'!$B$10,Paramètres!$A$1:$I$89,3,0)*0.475*44/12</f>
        <v>7.2885123043587644E-20</v>
      </c>
      <c r="AX201" s="21">
        <f t="shared" si="166"/>
        <v>8.2136792770127069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-2.3055690689943732E-14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5.8584049049231908</v>
      </c>
      <c r="BJ201" s="59">
        <f t="shared" si="206"/>
        <v>42.266833200216638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1.7141928581210361E-23</v>
      </c>
      <c r="BS201" s="22">
        <f t="shared" si="169"/>
        <v>1.7141928581210361E-23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0</v>
      </c>
      <c r="CE201" s="59">
        <f t="shared" si="207"/>
        <v>0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0</v>
      </c>
      <c r="CZ201" s="59">
        <f t="shared" si="208"/>
        <v>0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0</v>
      </c>
      <c r="EP201" s="59">
        <f t="shared" si="210"/>
        <v>0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0</v>
      </c>
      <c r="FK201" s="59">
        <f t="shared" si="211"/>
        <v>0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0</v>
      </c>
      <c r="GF201" s="59">
        <f t="shared" si="212"/>
        <v>0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0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186.90544184210381</v>
      </c>
      <c r="T202" s="59">
        <f t="shared" si="204"/>
        <v>202.05988514450519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7.5857805722248681</v>
      </c>
      <c r="AA202" s="21">
        <f>EXP(-LN(2)/25)*AA201+(1-EXP(-LN(2)/25))/(LN(2)/25)*Calculateur!V202*Calculateur!X202*VLOOKUP('Données projet'!$B$9,Paramètres!$A$1:$I$89,3,0)*0.475*44/12</f>
        <v>0.46314996674640546</v>
      </c>
      <c r="AB202" s="21">
        <f>EXP(-LN(2)/2)*AB201+(1-EXP(-LN(2)/2))/(LN(2)/2)*V202*Y202*VLOOKUP('Données projet'!$B$9,Paramètres!$A$1:$I$89,3,0)*0.475*44/12</f>
        <v>5.1537564751736722E-20</v>
      </c>
      <c r="AC202" s="22">
        <f t="shared" si="163"/>
        <v>8.0489305389712733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186.90544184210381</v>
      </c>
      <c r="AO202" s="59">
        <f t="shared" si="205"/>
        <v>202.05988514450519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7.5857805722248681</v>
      </c>
      <c r="AV202" s="21">
        <f>EXP(-LN(2)/25)*AV201+(1-EXP(-LN(2)/25))/(LN(2)/25)*Calculateur!AQ202*Calculateur!AS202*VLOOKUP('Données projet'!$B$10,Paramètres!$A$1:$I$89,3,0)*0.475*44/12</f>
        <v>0.46314996674640546</v>
      </c>
      <c r="AW202" s="21">
        <f>EXP(-LN(2)/2)*AW201+(1-EXP(-LN(2)/2))/(LN(2)/2)*AQ202*AT202*VLOOKUP('Données projet'!$B$10,Paramètres!$A$1:$I$89,3,0)*0.475*44/12</f>
        <v>5.1537564751736722E-20</v>
      </c>
      <c r="AX202" s="21">
        <f t="shared" si="166"/>
        <v>8.0489305389712733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-2.3055690689943732E-14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5.8584049049231908</v>
      </c>
      <c r="BJ202" s="59">
        <f t="shared" si="206"/>
        <v>42.266833200216638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1.212117394238934E-23</v>
      </c>
      <c r="BS202" s="22">
        <f t="shared" si="169"/>
        <v>1.212117394238934E-23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0</v>
      </c>
      <c r="CE202" s="59">
        <f t="shared" si="207"/>
        <v>0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0</v>
      </c>
      <c r="CZ202" s="59">
        <f t="shared" si="208"/>
        <v>0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0</v>
      </c>
      <c r="EP202" s="59">
        <f t="shared" si="210"/>
        <v>0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0</v>
      </c>
      <c r="FK202" s="59">
        <f t="shared" si="211"/>
        <v>0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0</v>
      </c>
      <c r="GF202" s="59">
        <f t="shared" si="212"/>
        <v>0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0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186.90544184210381</v>
      </c>
      <c r="T203" s="59">
        <f t="shared" si="204"/>
        <v>202.05988514450519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7.4370280420728223</v>
      </c>
      <c r="AA203" s="21">
        <f>EXP(-LN(2)/25)*AA202+(1-EXP(-LN(2)/25))/(LN(2)/25)*Calculateur!V203*Calculateur!X203*VLOOKUP('Données projet'!$B$9,Paramètres!$A$1:$I$89,3,0)*0.475*44/12</f>
        <v>0.45048510654972679</v>
      </c>
      <c r="AB203" s="21">
        <f>EXP(-LN(2)/2)*AB202+(1-EXP(-LN(2)/2))/(LN(2)/2)*V203*Y203*VLOOKUP('Données projet'!$B$9,Paramètres!$A$1:$I$89,3,0)*0.475*44/12</f>
        <v>3.6442561521793822E-20</v>
      </c>
      <c r="AC203" s="22">
        <f t="shared" si="163"/>
        <v>7.8875131486225492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186.90544184210381</v>
      </c>
      <c r="AO203" s="59">
        <f t="shared" si="205"/>
        <v>202.05988514450519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7.4370280420728223</v>
      </c>
      <c r="AV203" s="21">
        <f>EXP(-LN(2)/25)*AV202+(1-EXP(-LN(2)/25))/(LN(2)/25)*Calculateur!AQ203*Calculateur!AS203*VLOOKUP('Données projet'!$B$10,Paramètres!$A$1:$I$89,3,0)*0.475*44/12</f>
        <v>0.45048510654972679</v>
      </c>
      <c r="AW203" s="21">
        <f>EXP(-LN(2)/2)*AW202+(1-EXP(-LN(2)/2))/(LN(2)/2)*AQ203*AT203*VLOOKUP('Données projet'!$B$10,Paramètres!$A$1:$I$89,3,0)*0.475*44/12</f>
        <v>3.6442561521793822E-20</v>
      </c>
      <c r="AX203" s="21">
        <f t="shared" si="166"/>
        <v>7.8875131486225492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-2.3055690689943732E-14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5.8584049049231908</v>
      </c>
      <c r="BJ203" s="59">
        <f t="shared" si="206"/>
        <v>42.266833200216638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8.5709642906051803E-24</v>
      </c>
      <c r="BS203" s="22">
        <f t="shared" si="169"/>
        <v>8.5709642906051803E-24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0</v>
      </c>
      <c r="CE203" s="59">
        <f t="shared" si="207"/>
        <v>0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0</v>
      </c>
      <c r="CZ203" s="59">
        <f t="shared" si="208"/>
        <v>0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0</v>
      </c>
      <c r="EP203" s="59">
        <f t="shared" si="210"/>
        <v>0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0</v>
      </c>
      <c r="FK203" s="59">
        <f t="shared" si="211"/>
        <v>0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0</v>
      </c>
      <c r="GF203" s="59">
        <f t="shared" si="212"/>
        <v>0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0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1.3160740129524926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1.3160740129524926</v>
      </c>
      <c r="BA205" s="82">
        <f>EXP(LN('Données projet'!B88)/'Données projet'!A88)</f>
        <v>1.199469418763945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Q7" sqref="Q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96</v>
      </c>
      <c r="C6" s="147">
        <f ca="1">IF(OR('Données projet'!B9="",'Données projet'!C9="",'Données projet'!C9=0%),0,Calculateur!S3)</f>
        <v>186.90544184210381</v>
      </c>
      <c r="D6" s="147">
        <f>IF(OR('Données projet'!B9="",'Données projet'!C9="",'Données projet'!C9=0%),0,Calculateur!T3)</f>
        <v>202.05988514450519</v>
      </c>
      <c r="E6" s="147">
        <f ca="1">MIN(C6,D6)</f>
        <v>186.90544184210381</v>
      </c>
      <c r="F6" s="147">
        <f ca="1">E6*B6</f>
        <v>17942.922416841968</v>
      </c>
      <c r="G6" s="147">
        <f ca="1">F6*(100%-'Données projet'!$C$24)*(100%-'Données projet'!$C$25)*(100%-'Données projet'!$C$26)*(100%-'Données projet'!$C$27)</f>
        <v>13726.335648884105</v>
      </c>
      <c r="H6" s="148">
        <f>IF(OR('Données projet'!B9="",'Données projet'!C9="",'Données projet'!C9=0%),0,AVERAGE(Calculateur!$AC$3:$AC$33)*B6)</f>
        <v>703.07411086231627</v>
      </c>
      <c r="I6" s="149">
        <f>H6*(100%-'Données projet'!$C$24)*(100%-'Données projet'!$C$25)*(100%-'Données projet'!$C$26)*(100%-'Données projet'!$C$27)</f>
        <v>537.85169480967193</v>
      </c>
      <c r="J6" s="150">
        <f>IF(OR('Données projet'!B9="",'Données projet'!C9="",'Données projet'!C9=0%),0,SUM(Calculateur!$V$3:$V$33)*VLOOKUP('Données projet'!$B$9,Paramètres!$A$1:$I$89,9,0)*B6)</f>
        <v>5833.92</v>
      </c>
      <c r="K6" s="151">
        <f>J6*(100%-'Données projet'!$C$24)*(100%-'Données projet'!$C$25)*(100%-'Données projet'!$C$26)*(100%-'Données projet'!$C$27)</f>
        <v>4462.9488000000001</v>
      </c>
      <c r="L6" s="152">
        <f ca="1">G6+I6+K6</f>
        <v>18727.136143693777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34.5</v>
      </c>
      <c r="C7" s="147">
        <f ca="1">IF(OR('Données projet'!B10="",'Données projet'!C10="",'Données projet'!C10=0%),0,Calculateur!AN3)</f>
        <v>186.90544184210381</v>
      </c>
      <c r="D7" s="147">
        <f>IF(OR('Données projet'!B10="",'Données projet'!C10="",'Données projet'!C10=0%),0,Calculateur!AO3)</f>
        <v>202.05988514450519</v>
      </c>
      <c r="E7" s="147">
        <f t="shared" ref="E7:E15" ca="1" si="0">MIN(C7,D7)</f>
        <v>186.90544184210381</v>
      </c>
      <c r="F7" s="147">
        <f t="shared" ref="F7:F15" ca="1" si="1">E7*B7</f>
        <v>6448.2377435525814</v>
      </c>
      <c r="G7" s="147">
        <f ca="1">F7*(100%-'Données projet'!$C$24)*(100%-'Données projet'!$C$25)*(100%-'Données projet'!$C$26)*(100%-'Données projet'!$C$27)</f>
        <v>4932.9018738177247</v>
      </c>
      <c r="H7" s="155">
        <f>IF(OR('Données projet'!B10="",'Données projet'!C10="",'Données projet'!C10=0%),0,AVERAGE(Calculateur!$AX$3:$AX$33)*B7)</f>
        <v>252.66725859114493</v>
      </c>
      <c r="I7" s="149">
        <f>H7*(100%-'Données projet'!$C$24)*(100%-'Données projet'!$C$25)*(100%-'Données projet'!$C$26)*(100%-'Données projet'!$C$27)</f>
        <v>193.29045282222586</v>
      </c>
      <c r="J7" s="150">
        <f>IF(OR('Données projet'!B10="",'Données projet'!C10="",'Données projet'!C10=0%),0,SUM(Calculateur!$AQ$3:$AQ$33)*VLOOKUP('Données projet'!$B$10,Paramètres!$A$1:$I$89,9,0)*B7)</f>
        <v>1528.0049999999999</v>
      </c>
      <c r="K7" s="151">
        <f>J7*(100%-'Données projet'!$C$24)*(100%-'Données projet'!$C$25)*(100%-'Données projet'!$C$26)*(100%-'Données projet'!$C$27)</f>
        <v>1168.9238249999999</v>
      </c>
      <c r="L7" s="152">
        <f t="shared" ref="L7:L15" ca="1" si="2">G7+I7+K7</f>
        <v>6295.1161516399507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15</v>
      </c>
      <c r="C8" s="147">
        <f ca="1">IF(OR('Données projet'!B11="",'Données projet'!C11="",'Données projet'!C11=0%),0,Calculateur!BI3)</f>
        <v>5.8584049049231908</v>
      </c>
      <c r="D8" s="147">
        <f>IF(OR('Données projet'!B11="",'Données projet'!C11="",'Données projet'!C11=0%),0,Calculateur!BJ3)</f>
        <v>42.266833200216638</v>
      </c>
      <c r="E8" s="147">
        <f t="shared" ca="1" si="0"/>
        <v>5.8584049049231908</v>
      </c>
      <c r="F8" s="147">
        <f t="shared" ca="1" si="1"/>
        <v>87.876073573847862</v>
      </c>
      <c r="G8" s="147">
        <f ca="1">F8*(100%-'Données projet'!$C$24)*(100%-'Données projet'!$C$25)*(100%-'Données projet'!$C$26)*(100%-'Données projet'!$C$27)</f>
        <v>67.225196283993611</v>
      </c>
      <c r="H8" s="155">
        <f>IF(OR('Données projet'!B11="",'Données projet'!C11="",'Données projet'!C11=0%),0,AVERAGE(Calculateur!$BS$3:$BS$33)*B8)</f>
        <v>14.762801031938793</v>
      </c>
      <c r="I8" s="149">
        <f>H8*(100%-'Données projet'!$C$24)*(100%-'Données projet'!$C$25)*(100%-'Données projet'!$C$26)*(100%-'Données projet'!$C$27)</f>
        <v>11.293542789433175</v>
      </c>
      <c r="J8" s="150">
        <f>IF(OR('Données projet'!B11="",'Données projet'!C11="",'Données projet'!C11=0%),0,SUM(Calculateur!$BL$3:$BL$33)*VLOOKUP('Données projet'!$B$11,Paramètres!$A$1:$I$89,9,0)*B8)</f>
        <v>67.5</v>
      </c>
      <c r="K8" s="151">
        <f>J8*(100%-'Données projet'!$C$24)*(100%-'Données projet'!$C$25)*(100%-'Données projet'!$C$26)*(100%-'Données projet'!$C$27)</f>
        <v>51.637499999999996</v>
      </c>
      <c r="L8" s="152">
        <f t="shared" ca="1" si="2"/>
        <v>130.15623907342678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Chêne-liège</v>
      </c>
      <c r="B9" s="154">
        <f>'Données projet'!D12</f>
        <v>1.2750000000000001</v>
      </c>
      <c r="C9" s="147">
        <f ca="1"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ca="1" si="0"/>
        <v>0</v>
      </c>
      <c r="F9" s="147">
        <f t="shared" ca="1" si="1"/>
        <v>0</v>
      </c>
      <c r="G9" s="147">
        <f ca="1"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tauzin</v>
      </c>
      <c r="B10" s="154">
        <f>'Données projet'!D13</f>
        <v>0.9</v>
      </c>
      <c r="C10" s="147">
        <f ca="1"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ca="1" si="0"/>
        <v>0</v>
      </c>
      <c r="F10" s="147">
        <f t="shared" ca="1" si="1"/>
        <v>0</v>
      </c>
      <c r="G10" s="147">
        <f ca="1"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vert</v>
      </c>
      <c r="B11" s="154">
        <f>'Données projet'!D14</f>
        <v>1.2750000000000001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Arbousier</v>
      </c>
      <c r="B12" s="154">
        <f>'Données projet'!D15</f>
        <v>0.45</v>
      </c>
      <c r="C12" s="147">
        <f ca="1"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ca="1" si="0"/>
        <v>0</v>
      </c>
      <c r="F12" s="147">
        <f t="shared" ca="1" si="1"/>
        <v>0</v>
      </c>
      <c r="G12" s="147">
        <f ca="1"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Pin pignon</v>
      </c>
      <c r="B13" s="154">
        <f>'Données projet'!D16</f>
        <v>0.3</v>
      </c>
      <c r="C13" s="147">
        <f ca="1"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ca="1" si="0"/>
        <v>0</v>
      </c>
      <c r="F13" s="147">
        <f t="shared" ca="1" si="1"/>
        <v>0</v>
      </c>
      <c r="G13" s="147">
        <f ca="1"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Pin sylvestre</v>
      </c>
      <c r="B14" s="154">
        <f>'Données projet'!D17</f>
        <v>0.3</v>
      </c>
      <c r="C14" s="147">
        <f ca="1"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ca="1" si="0"/>
        <v>0</v>
      </c>
      <c r="F14" s="147">
        <f t="shared" ca="1" si="1"/>
        <v>0</v>
      </c>
      <c r="G14" s="147">
        <f ca="1"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24479.036233968396</v>
      </c>
      <c r="G16" s="166">
        <f t="shared" ca="1" si="3"/>
        <v>18726.462718985826</v>
      </c>
      <c r="H16" s="167">
        <f t="shared" si="3"/>
        <v>970.50417048539998</v>
      </c>
      <c r="I16" s="167">
        <f t="shared" si="3"/>
        <v>742.43569042133106</v>
      </c>
      <c r="J16" s="168">
        <f t="shared" si="3"/>
        <v>7429.4250000000002</v>
      </c>
      <c r="K16" s="168">
        <f t="shared" si="3"/>
        <v>5683.5101249999998</v>
      </c>
      <c r="L16" s="169">
        <f t="shared" ca="1" si="3"/>
        <v>25152.408534407154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Chêne-liège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tauzin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vert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Arbousier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Pin pignon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Pin sylvestre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80" zoomScaleNormal="8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2355.9053483785128</v>
      </c>
      <c r="U10" s="178">
        <f>'Données projet'!D9</f>
        <v>96</v>
      </c>
      <c r="V10" s="177">
        <f>U10*T10</f>
        <v>226166.91344433723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2135.4624901172956</v>
      </c>
      <c r="U11" s="178">
        <f>'Données projet'!D10</f>
        <v>34.5</v>
      </c>
      <c r="V11" s="177">
        <f t="shared" ref="V11" si="0">U11*T11</f>
        <v>73673.455909046694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-3481.2602275588929</v>
      </c>
      <c r="U12" s="178">
        <f>'Données projet'!D11</f>
        <v>15</v>
      </c>
      <c r="V12" s="177">
        <f t="shared" ref="V12:V19" si="1">U12*T12</f>
        <v>-52218.903413383392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Chêne-liège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-14958</v>
      </c>
      <c r="U13" s="178">
        <f>'Données projet'!D12</f>
        <v>1.2750000000000001</v>
      </c>
      <c r="V13" s="177">
        <f t="shared" si="1"/>
        <v>-19071.45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tauzin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-14958</v>
      </c>
      <c r="U14" s="178">
        <f>'Données projet'!D13</f>
        <v>0.9</v>
      </c>
      <c r="V14" s="177">
        <f t="shared" si="1"/>
        <v>-13462.2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vert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-14958</v>
      </c>
      <c r="U15" s="178">
        <f>'Données projet'!D14</f>
        <v>1.2750000000000001</v>
      </c>
      <c r="V15" s="177">
        <f t="shared" si="1"/>
        <v>-19071.45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62</v>
      </c>
      <c r="O16" s="23"/>
      <c r="P16" s="23"/>
      <c r="Q16" s="234"/>
      <c r="R16" s="23"/>
      <c r="S16" s="36" t="str">
        <f>B200</f>
        <v>Arbousier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-14958</v>
      </c>
      <c r="U16" s="178">
        <f>'Données projet'!D15</f>
        <v>0.45</v>
      </c>
      <c r="V16" s="177">
        <f t="shared" si="1"/>
        <v>-6731.1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/>
      <c r="D17" s="197" t="s">
        <v>132</v>
      </c>
      <c r="E17" s="193">
        <v>537</v>
      </c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61.99999999999995</v>
      </c>
      <c r="O17" s="23"/>
      <c r="P17" s="23"/>
      <c r="Q17" s="234"/>
      <c r="R17" s="23"/>
      <c r="S17" s="36" t="str">
        <f>B231</f>
        <v>Pin pignon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-14958</v>
      </c>
      <c r="U17" s="178">
        <f>'Données projet'!D16</f>
        <v>0.3</v>
      </c>
      <c r="V17" s="177">
        <f t="shared" si="1"/>
        <v>-4487.3999999999996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15</v>
      </c>
      <c r="O18" s="23"/>
      <c r="P18" s="23"/>
      <c r="Q18" s="234"/>
      <c r="R18" s="23"/>
      <c r="S18" s="36" t="str">
        <f>B262</f>
        <v>Pin sylvestre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-14956</v>
      </c>
      <c r="U18" s="178">
        <f>'Données projet'!D17</f>
        <v>0.3</v>
      </c>
      <c r="V18" s="177">
        <f t="shared" si="1"/>
        <v>-4486.8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929.9999999999992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0</v>
      </c>
      <c r="I20" s="191">
        <f>560+22+5</f>
        <v>587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100+22+5</f>
        <v>127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100+22+5</f>
        <v>127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16</v>
      </c>
      <c r="B23" s="181">
        <f>'Données projet'!D36</f>
        <v>15</v>
      </c>
      <c r="C23" s="193">
        <v>15</v>
      </c>
      <c r="D23" s="182">
        <f>B23*C23</f>
        <v>225</v>
      </c>
      <c r="E23" s="193"/>
      <c r="F23" s="230"/>
      <c r="H23" s="190">
        <v>3</v>
      </c>
      <c r="I23" s="191">
        <f>55+22+5</f>
        <v>82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-36709.518907979742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22</v>
      </c>
      <c r="C24" s="193">
        <v>20</v>
      </c>
      <c r="D24" s="182">
        <f t="shared" ref="D24:D42" si="2">B24*C24</f>
        <v>440</v>
      </c>
      <c r="E24" s="193"/>
      <c r="F24" s="233"/>
      <c r="H24" s="190">
        <v>4</v>
      </c>
      <c r="I24" s="191">
        <f>22+5</f>
        <v>27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9106.7664706972864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31</v>
      </c>
      <c r="C25" s="193">
        <v>25</v>
      </c>
      <c r="D25" s="182">
        <f t="shared" si="2"/>
        <v>775</v>
      </c>
      <c r="E25" s="193"/>
      <c r="F25" s="233"/>
      <c r="H25" s="190">
        <v>5</v>
      </c>
      <c r="I25" s="191">
        <f t="shared" ref="I25:I80" si="3">22+5</f>
        <v>27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-45816.285378677028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28</v>
      </c>
      <c r="B26" s="181">
        <f>'Données projet'!D39</f>
        <v>35</v>
      </c>
      <c r="C26" s="193">
        <v>30</v>
      </c>
      <c r="D26" s="182">
        <f t="shared" si="2"/>
        <v>1050</v>
      </c>
      <c r="E26" s="193"/>
      <c r="F26" s="233"/>
      <c r="G26" s="229"/>
      <c r="H26" s="190">
        <v>6</v>
      </c>
      <c r="I26" s="191">
        <f t="shared" si="3"/>
        <v>27</v>
      </c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34</v>
      </c>
      <c r="B27" s="181">
        <f>'Données projet'!D40</f>
        <v>46</v>
      </c>
      <c r="C27" s="193">
        <v>35</v>
      </c>
      <c r="D27" s="182">
        <f t="shared" si="2"/>
        <v>1610</v>
      </c>
      <c r="E27" s="193"/>
      <c r="F27" s="233"/>
      <c r="G27" s="229"/>
      <c r="H27" s="190">
        <v>7</v>
      </c>
      <c r="I27" s="191">
        <f t="shared" si="3"/>
        <v>27</v>
      </c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41</v>
      </c>
      <c r="C28" s="193">
        <v>40</v>
      </c>
      <c r="D28" s="182">
        <f t="shared" si="2"/>
        <v>1640</v>
      </c>
      <c r="E28" s="193"/>
      <c r="F28" s="233"/>
      <c r="G28" s="205"/>
      <c r="H28" s="190">
        <v>8</v>
      </c>
      <c r="I28" s="191">
        <f t="shared" si="3"/>
        <v>27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46</v>
      </c>
      <c r="B29" s="181">
        <f>'Données projet'!D42</f>
        <v>29</v>
      </c>
      <c r="C29" s="193">
        <v>45</v>
      </c>
      <c r="D29" s="182">
        <f t="shared" si="2"/>
        <v>1305</v>
      </c>
      <c r="E29" s="193"/>
      <c r="F29" s="233"/>
      <c r="G29" s="203"/>
      <c r="H29" s="190">
        <v>9</v>
      </c>
      <c r="I29" s="191">
        <f t="shared" si="3"/>
        <v>27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16</v>
      </c>
      <c r="C30" s="193">
        <v>50</v>
      </c>
      <c r="D30" s="182">
        <f t="shared" si="2"/>
        <v>800</v>
      </c>
      <c r="E30" s="193"/>
      <c r="F30" s="233"/>
      <c r="G30" s="203"/>
      <c r="H30" s="190">
        <v>10</v>
      </c>
      <c r="I30" s="191">
        <f t="shared" si="3"/>
        <v>27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62</v>
      </c>
      <c r="B31" s="181">
        <f>'Données projet'!D44</f>
        <v>316</v>
      </c>
      <c r="C31" s="193">
        <v>55</v>
      </c>
      <c r="D31" s="182">
        <f t="shared" si="2"/>
        <v>17380</v>
      </c>
      <c r="E31" s="193"/>
      <c r="F31" s="233"/>
      <c r="G31" s="203"/>
      <c r="H31" s="190">
        <v>11</v>
      </c>
      <c r="I31" s="191">
        <f t="shared" si="3"/>
        <v>27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f t="shared" si="3"/>
        <v>27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f t="shared" si="3"/>
        <v>27</v>
      </c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f t="shared" si="3"/>
        <v>27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f>22+5+65</f>
        <v>92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f t="shared" si="3"/>
        <v>27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f t="shared" si="3"/>
        <v>27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f t="shared" si="3"/>
        <v>27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f>22+5+65</f>
        <v>92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f t="shared" si="3"/>
        <v>27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f t="shared" si="3"/>
        <v>27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f t="shared" si="3"/>
        <v>27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f>22+5+65</f>
        <v>92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f t="shared" si="3"/>
        <v>27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f t="shared" si="3"/>
        <v>27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f t="shared" si="3"/>
        <v>27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f>22+5+65</f>
        <v>92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575</v>
      </c>
      <c r="F48" s="231"/>
      <c r="G48" s="203"/>
      <c r="H48" s="190">
        <v>28</v>
      </c>
      <c r="I48" s="191">
        <f t="shared" si="3"/>
        <v>27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f t="shared" si="3"/>
        <v>27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f t="shared" si="3"/>
        <v>27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f t="shared" si="3"/>
        <v>27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f t="shared" si="3"/>
        <v>27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f>22+5+65</f>
        <v>92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16</v>
      </c>
      <c r="B54" s="181">
        <f>'Données projet'!D62</f>
        <v>15</v>
      </c>
      <c r="C54" s="191">
        <v>15</v>
      </c>
      <c r="D54" s="179">
        <f>B54*C54</f>
        <v>225</v>
      </c>
      <c r="E54" s="193"/>
      <c r="F54" s="232"/>
      <c r="G54" s="205"/>
      <c r="H54" s="190">
        <v>34</v>
      </c>
      <c r="I54" s="191">
        <f t="shared" si="3"/>
        <v>27</v>
      </c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4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22</v>
      </c>
      <c r="C55" s="191">
        <v>20</v>
      </c>
      <c r="D55" s="179">
        <f t="shared" ref="D55:D73" si="5">B55*C55</f>
        <v>440</v>
      </c>
      <c r="E55" s="193"/>
      <c r="F55" s="232"/>
      <c r="G55" s="205"/>
      <c r="H55" s="190">
        <v>35</v>
      </c>
      <c r="I55" s="191">
        <f t="shared" si="3"/>
        <v>27</v>
      </c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4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24</v>
      </c>
      <c r="B56" s="181">
        <f>'Données projet'!D64</f>
        <v>31</v>
      </c>
      <c r="C56" s="191">
        <v>25</v>
      </c>
      <c r="D56" s="179">
        <f t="shared" si="5"/>
        <v>775</v>
      </c>
      <c r="E56" s="193"/>
      <c r="F56" s="232"/>
      <c r="G56" s="205"/>
      <c r="H56" s="190">
        <v>36</v>
      </c>
      <c r="I56" s="191">
        <f t="shared" si="3"/>
        <v>27</v>
      </c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4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28</v>
      </c>
      <c r="B57" s="181">
        <f>'Données projet'!D65</f>
        <v>35</v>
      </c>
      <c r="C57" s="191">
        <v>30</v>
      </c>
      <c r="D57" s="179">
        <f t="shared" si="5"/>
        <v>1050</v>
      </c>
      <c r="E57" s="193"/>
      <c r="F57" s="232"/>
      <c r="G57" s="205"/>
      <c r="H57" s="190">
        <v>37</v>
      </c>
      <c r="I57" s="191">
        <f t="shared" si="3"/>
        <v>27</v>
      </c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4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34</v>
      </c>
      <c r="B58" s="181">
        <f>'Données projet'!D66</f>
        <v>46</v>
      </c>
      <c r="C58" s="191">
        <v>35</v>
      </c>
      <c r="D58" s="179">
        <f t="shared" si="5"/>
        <v>1610</v>
      </c>
      <c r="E58" s="193"/>
      <c r="F58" s="232"/>
      <c r="G58" s="205"/>
      <c r="H58" s="190">
        <v>38</v>
      </c>
      <c r="I58" s="191">
        <f t="shared" si="3"/>
        <v>27</v>
      </c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4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41</v>
      </c>
      <c r="C59" s="191">
        <v>40</v>
      </c>
      <c r="D59" s="179">
        <f t="shared" si="5"/>
        <v>1640</v>
      </c>
      <c r="E59" s="193"/>
      <c r="F59" s="232"/>
      <c r="G59" s="205"/>
      <c r="H59" s="190">
        <v>39</v>
      </c>
      <c r="I59" s="191">
        <f>22+5+65</f>
        <v>92</v>
      </c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4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46</v>
      </c>
      <c r="B60" s="181">
        <f>'Données projet'!D68</f>
        <v>29</v>
      </c>
      <c r="C60" s="191">
        <v>45</v>
      </c>
      <c r="D60" s="179">
        <f t="shared" si="5"/>
        <v>1305</v>
      </c>
      <c r="E60" s="193"/>
      <c r="F60" s="232"/>
      <c r="G60" s="206"/>
      <c r="H60" s="190">
        <v>40</v>
      </c>
      <c r="I60" s="191">
        <f t="shared" si="3"/>
        <v>27</v>
      </c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4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54</v>
      </c>
      <c r="B61" s="181">
        <f>'Données projet'!D69</f>
        <v>16</v>
      </c>
      <c r="C61" s="191">
        <v>50</v>
      </c>
      <c r="D61" s="179">
        <f t="shared" si="5"/>
        <v>800</v>
      </c>
      <c r="E61" s="193"/>
      <c r="F61" s="232"/>
      <c r="G61" s="206"/>
      <c r="H61" s="190">
        <v>41</v>
      </c>
      <c r="I61" s="191">
        <f t="shared" si="3"/>
        <v>27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4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62</v>
      </c>
      <c r="B62" s="181">
        <f>'Données projet'!D70</f>
        <v>316</v>
      </c>
      <c r="C62" s="191">
        <v>55</v>
      </c>
      <c r="D62" s="179">
        <f t="shared" si="5"/>
        <v>17380</v>
      </c>
      <c r="E62" s="193"/>
      <c r="F62" s="232"/>
      <c r="G62" s="206"/>
      <c r="H62" s="190">
        <v>42</v>
      </c>
      <c r="I62" s="191">
        <f t="shared" si="3"/>
        <v>27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4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>
        <v>43</v>
      </c>
      <c r="I63" s="191">
        <f t="shared" si="3"/>
        <v>27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4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>
        <v>44</v>
      </c>
      <c r="I64" s="191">
        <f t="shared" si="3"/>
        <v>27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4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>
        <v>45</v>
      </c>
      <c r="I65" s="191">
        <f>22+5+65</f>
        <v>92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6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>
        <v>46</v>
      </c>
      <c r="I66" s="191">
        <f t="shared" si="3"/>
        <v>27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6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>
        <v>47</v>
      </c>
      <c r="I67" s="191">
        <f t="shared" si="3"/>
        <v>27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6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>
        <v>48</v>
      </c>
      <c r="I68" s="191">
        <f t="shared" si="3"/>
        <v>27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6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>
        <v>49</v>
      </c>
      <c r="I69" s="191">
        <f t="shared" si="3"/>
        <v>27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6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>
        <v>50</v>
      </c>
      <c r="I70" s="191">
        <f t="shared" si="3"/>
        <v>27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6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>
        <v>51</v>
      </c>
      <c r="I71" s="191">
        <f t="shared" si="3"/>
        <v>27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6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>
        <v>52</v>
      </c>
      <c r="I72" s="191">
        <f t="shared" si="3"/>
        <v>27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6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>
        <v>53</v>
      </c>
      <c r="I73" s="191">
        <f>22+5+65</f>
        <v>92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6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54</v>
      </c>
      <c r="I74" s="191">
        <f t="shared" si="3"/>
        <v>27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6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55</v>
      </c>
      <c r="I75" s="191">
        <f t="shared" si="3"/>
        <v>27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6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>
        <v>56</v>
      </c>
      <c r="I76" s="191">
        <f t="shared" si="3"/>
        <v>27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57</v>
      </c>
      <c r="I77" s="191">
        <f t="shared" si="3"/>
        <v>27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f t="shared" si="3"/>
        <v>27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3088</v>
      </c>
      <c r="F79" s="231"/>
      <c r="G79" s="206"/>
      <c r="H79" s="190">
        <v>59</v>
      </c>
      <c r="I79" s="191">
        <f t="shared" si="3"/>
        <v>27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v>210</v>
      </c>
      <c r="F80" s="231"/>
      <c r="G80" s="23"/>
      <c r="H80" s="190">
        <v>60</v>
      </c>
      <c r="I80" s="191">
        <f t="shared" si="3"/>
        <v>27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v>210</v>
      </c>
      <c r="F81" s="231"/>
      <c r="G81" s="23"/>
      <c r="H81" s="190">
        <v>61</v>
      </c>
      <c r="I81" s="191">
        <f>22+5+65</f>
        <v>92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>
        <v>10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11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75</v>
      </c>
      <c r="C88" s="191"/>
      <c r="D88" s="179">
        <f t="shared" si="7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Chêne-liège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14958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tauzin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14958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vert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14958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Arbousier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14958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Pin pignon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14958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Pin sylvestre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14956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Clémentine LANDAIS</cp:lastModifiedBy>
  <dcterms:created xsi:type="dcterms:W3CDTF">2021-02-01T08:22:39Z</dcterms:created>
  <dcterms:modified xsi:type="dcterms:W3CDTF">2025-02-12T09:07:57Z</dcterms:modified>
</cp:coreProperties>
</file>