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ACHELET Fabien/71_Saône-et-Loire_Rigny Sur Arroux GV_5,8ha (Fabien BACHELET)/2.Dossier_LBC_déposé/"/>
    </mc:Choice>
  </mc:AlternateContent>
  <xr:revisionPtr revIDLastSave="94" documentId="8_{D478ACBD-3C45-4AE1-B926-D08771AB1956}" xr6:coauthVersionLast="47" xr6:coauthVersionMax="47" xr10:uidLastSave="{99F01689-8559-4354-8212-86ABDAA2B037}"/>
  <bookViews>
    <workbookView xWindow="3000" yWindow="3000" windowWidth="14400" windowHeight="817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6" l="1"/>
  <c r="E48" i="6"/>
  <c r="E79" i="6"/>
  <c r="E110" i="6"/>
  <c r="E141" i="6"/>
  <c r="E172" i="6"/>
  <c r="E203" i="6"/>
  <c r="E23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A155" i="2"/>
  <c r="DI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AB156" i="2"/>
  <c r="DH156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D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D162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DH164" i="2"/>
  <c r="FS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B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Y168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A172" i="2"/>
  <c r="ED172" i="2" s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ED178" i="2" s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DF179" i="2"/>
  <c r="EV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EY184" i="2" s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EA185" i="2"/>
  <c r="EB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A192" i="2"/>
  <c r="ED192" i="2" s="1"/>
  <c r="EB192" i="2"/>
  <c r="EW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DI192" i="2"/>
  <c r="EB193" i="2"/>
  <c r="EA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DH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89" i="2" a="1"/>
  <c r="FD189" i="2" s="1"/>
  <c r="FD64" i="2" a="1"/>
  <c r="FD64" i="2" s="1"/>
  <c r="FD43" i="2" a="1"/>
  <c r="FD43" i="2" s="1"/>
  <c r="FD107" i="2" a="1"/>
  <c r="FD107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67" i="2" l="1" a="1"/>
  <c r="FD167" i="2" s="1"/>
  <c r="FD131" i="2" a="1"/>
  <c r="FD131" i="2" s="1"/>
  <c r="FD14" i="2" a="1"/>
  <c r="FD14" i="2" s="1"/>
  <c r="FS203" i="2"/>
  <c r="FD144" i="2" a="1"/>
  <c r="FD144" i="2" s="1"/>
  <c r="FD21" i="2" a="1"/>
  <c r="FD21" i="2" s="1"/>
  <c r="FD159" i="2" a="1"/>
  <c r="FD159" i="2" s="1"/>
  <c r="DN56" i="2" a="1"/>
  <c r="DN56" i="2" s="1"/>
  <c r="CS129" i="2" a="1"/>
  <c r="CS129" i="2" s="1"/>
  <c r="CS66" i="2" a="1"/>
  <c r="CS66" i="2" s="1"/>
  <c r="CS161" i="2" a="1"/>
  <c r="CS161" i="2" s="1"/>
  <c r="AH163" i="2" a="1"/>
  <c r="AH163" i="2" s="1"/>
  <c r="AH62" i="2" a="1"/>
  <c r="AH62" i="2" s="1"/>
  <c r="AH199" i="2" a="1"/>
  <c r="AH199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129" i="2" l="1"/>
  <c r="FJ196" i="2"/>
  <c r="FJ199" i="2"/>
  <c r="FJ134" i="2"/>
  <c r="FJ156" i="2"/>
  <c r="FJ155" i="2"/>
  <c r="FJ55" i="2"/>
  <c r="FJ69" i="2"/>
  <c r="FJ161" i="2"/>
  <c r="FJ126" i="2"/>
  <c r="FJ15" i="2"/>
  <c r="FJ71" i="2"/>
  <c r="FJ61" i="2"/>
  <c r="FJ203" i="2"/>
  <c r="FJ113" i="2"/>
  <c r="FJ123" i="2"/>
  <c r="FJ73" i="2"/>
  <c r="FJ141" i="2"/>
  <c r="FJ3" i="2"/>
  <c r="C13" i="4" s="1"/>
  <c r="E13" i="4" s="1"/>
  <c r="F13" i="4" s="1"/>
  <c r="G13" i="4" s="1"/>
  <c r="L13" i="4" s="1"/>
  <c r="FJ121" i="2"/>
  <c r="FJ136" i="2"/>
  <c r="FJ194" i="2"/>
  <c r="FJ149" i="2"/>
  <c r="FJ91" i="2"/>
  <c r="FJ17" i="2"/>
  <c r="FJ19" i="2"/>
  <c r="FJ58" i="2"/>
  <c r="FJ34" i="2"/>
  <c r="FJ201" i="2"/>
  <c r="FJ14" i="2"/>
  <c r="FJ48" i="2"/>
  <c r="FJ164" i="2"/>
  <c r="FJ62" i="2"/>
  <c r="FJ197" i="2"/>
  <c r="FJ40" i="2"/>
  <c r="FJ51" i="2"/>
  <c r="FJ88" i="2"/>
  <c r="FJ98" i="2"/>
  <c r="FJ169" i="2"/>
  <c r="FJ160" i="2"/>
  <c r="FJ79" i="2"/>
  <c r="FJ41" i="2"/>
  <c r="FJ104" i="2"/>
  <c r="FJ56" i="2"/>
  <c r="FJ202" i="2"/>
  <c r="FJ29" i="2"/>
  <c r="FJ119" i="2"/>
  <c r="FJ50" i="2"/>
  <c r="FJ172" i="2"/>
  <c r="FJ99" i="2"/>
  <c r="FJ132" i="2"/>
  <c r="FJ110" i="2"/>
  <c r="FJ96" i="2"/>
  <c r="FJ118" i="2"/>
  <c r="FJ114" i="2"/>
  <c r="FJ43" i="2"/>
  <c r="FJ35" i="2"/>
  <c r="FJ6" i="2"/>
  <c r="FJ20" i="2"/>
  <c r="FJ84" i="2"/>
  <c r="FJ112" i="2"/>
  <c r="FJ30" i="2"/>
  <c r="FJ179" i="2"/>
  <c r="FJ103" i="2"/>
  <c r="FJ97" i="2"/>
  <c r="FJ195" i="2"/>
  <c r="FJ59" i="2"/>
  <c r="FJ159" i="2"/>
  <c r="FJ145" i="2"/>
  <c r="FJ140" i="2"/>
  <c r="FJ177" i="2"/>
  <c r="FJ111" i="2"/>
  <c r="FJ75" i="2"/>
  <c r="FJ105" i="2"/>
  <c r="FJ188" i="2"/>
  <c r="FJ68" i="2"/>
  <c r="FJ200" i="2"/>
  <c r="FJ192" i="2"/>
  <c r="FJ189" i="2"/>
  <c r="FJ190" i="2"/>
  <c r="FJ130" i="2"/>
  <c r="FJ38" i="2"/>
  <c r="FJ174" i="2"/>
  <c r="FJ26" i="2"/>
  <c r="FJ66" i="2"/>
  <c r="FJ10" i="2"/>
  <c r="FJ60" i="2"/>
  <c r="FJ176" i="2"/>
  <c r="FJ186" i="2"/>
  <c r="FJ16" i="2"/>
  <c r="FJ65" i="2"/>
  <c r="FJ185" i="2"/>
  <c r="FJ94" i="2"/>
  <c r="FJ193" i="2"/>
  <c r="FJ175" i="2"/>
  <c r="FJ180" i="2"/>
  <c r="FJ120" i="2"/>
  <c r="FJ85" i="2"/>
  <c r="FJ109" i="2"/>
  <c r="FJ27" i="2"/>
  <c r="FJ42" i="2"/>
  <c r="FJ36" i="2"/>
  <c r="FJ168" i="2"/>
  <c r="FJ76" i="2"/>
  <c r="FJ122" i="2"/>
  <c r="FJ137" i="2"/>
  <c r="FJ47" i="2"/>
  <c r="FJ150" i="2"/>
  <c r="FJ102" i="2"/>
  <c r="FJ165" i="2"/>
  <c r="FJ54" i="2"/>
  <c r="FJ182" i="2"/>
  <c r="FJ151" i="2"/>
  <c r="FJ93" i="2"/>
  <c r="FJ157" i="2"/>
  <c r="FJ77" i="2"/>
  <c r="FJ148" i="2"/>
  <c r="FJ167" i="2"/>
  <c r="FJ143" i="2"/>
  <c r="FJ139" i="2"/>
  <c r="FJ8" i="2"/>
  <c r="FJ78" i="2"/>
  <c r="FJ9" i="2"/>
  <c r="FJ117" i="2"/>
  <c r="FJ74" i="2"/>
  <c r="FJ183" i="2"/>
  <c r="FJ100" i="2"/>
  <c r="FJ163" i="2"/>
  <c r="FJ7" i="2"/>
  <c r="FJ82" i="2"/>
  <c r="FJ127" i="2"/>
  <c r="FJ46" i="2"/>
  <c r="FJ24" i="2"/>
  <c r="FJ191" i="2"/>
  <c r="FJ44" i="2"/>
  <c r="FJ57" i="2"/>
  <c r="FJ53" i="2"/>
  <c r="FJ154" i="2"/>
  <c r="FJ133" i="2"/>
  <c r="FJ70" i="2"/>
  <c r="FJ95" i="2"/>
  <c r="FJ106" i="2"/>
  <c r="FJ146" i="2"/>
  <c r="FJ33" i="2"/>
  <c r="FJ135" i="2"/>
  <c r="FJ83" i="2"/>
  <c r="FJ25" i="2"/>
  <c r="FJ11" i="2"/>
  <c r="FJ37" i="2"/>
  <c r="FJ147" i="2"/>
  <c r="FJ158" i="2"/>
  <c r="FJ144" i="2"/>
  <c r="FJ108" i="2"/>
  <c r="FJ198" i="2"/>
  <c r="FJ128" i="2"/>
  <c r="FJ171" i="2"/>
  <c r="FJ4" i="2"/>
  <c r="FJ64" i="2"/>
  <c r="FJ32" i="2"/>
  <c r="FJ23" i="2"/>
  <c r="FJ86" i="2"/>
  <c r="FJ170" i="2"/>
  <c r="FJ52" i="2"/>
  <c r="FJ72" i="2"/>
  <c r="FJ21" i="2"/>
  <c r="FJ22" i="2"/>
  <c r="FJ142" i="2"/>
  <c r="FJ28" i="2"/>
  <c r="FJ67" i="2"/>
  <c r="FJ90" i="2"/>
  <c r="FJ166" i="2"/>
  <c r="FJ81" i="2"/>
  <c r="FJ181" i="2"/>
  <c r="FJ12" i="2"/>
  <c r="FJ31" i="2"/>
  <c r="FJ124" i="2"/>
  <c r="FJ63" i="2"/>
  <c r="FJ152" i="2"/>
  <c r="FJ184" i="2"/>
  <c r="FJ5" i="2"/>
  <c r="FJ49" i="2"/>
  <c r="FJ45" i="2"/>
  <c r="FJ107" i="2"/>
  <c r="FJ125" i="2"/>
  <c r="FJ153" i="2"/>
  <c r="FJ18" i="2"/>
  <c r="FJ13" i="2"/>
  <c r="FJ116" i="2"/>
  <c r="FJ92" i="2"/>
  <c r="FJ178" i="2"/>
  <c r="FJ173" i="2"/>
  <c r="FJ101" i="2"/>
  <c r="FJ115" i="2"/>
  <c r="FJ162" i="2"/>
  <c r="FJ131" i="2"/>
  <c r="FJ80" i="2"/>
  <c r="FJ87" i="2"/>
  <c r="FJ138" i="2"/>
  <c r="FJ89" i="2"/>
  <c r="FJ39" i="2"/>
  <c r="FJ187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52" i="2" l="1"/>
  <c r="CD200" i="2"/>
  <c r="CD176" i="2"/>
  <c r="CD25" i="2"/>
  <c r="CD199" i="2"/>
  <c r="CD169" i="2"/>
  <c r="CD104" i="2"/>
  <c r="CD44" i="2"/>
  <c r="CD59" i="2"/>
  <c r="CD136" i="2"/>
  <c r="CD132" i="2"/>
  <c r="CD57" i="2"/>
  <c r="CD56" i="2"/>
  <c r="CD105" i="2"/>
  <c r="CD89" i="2"/>
  <c r="CD85" i="2"/>
  <c r="CD140" i="2"/>
  <c r="CD70" i="2"/>
  <c r="CD150" i="2"/>
  <c r="CD12" i="2"/>
  <c r="CD46" i="2"/>
  <c r="CD108" i="2"/>
  <c r="CD103" i="2"/>
  <c r="CD184" i="2"/>
  <c r="CD106" i="2"/>
  <c r="CD74" i="2"/>
  <c r="CD186" i="2"/>
  <c r="CD167" i="2"/>
  <c r="CD155" i="2"/>
  <c r="CD160" i="2"/>
  <c r="CD27" i="2"/>
  <c r="CD76" i="2"/>
  <c r="CD18" i="2"/>
  <c r="CD34" i="2"/>
  <c r="CD137" i="2"/>
  <c r="CD39" i="2"/>
  <c r="CD180" i="2"/>
  <c r="CD164" i="2"/>
  <c r="CD90" i="2"/>
  <c r="CD62" i="2"/>
  <c r="CD48" i="2"/>
  <c r="CD129" i="2"/>
  <c r="CD127" i="2"/>
  <c r="CD16" i="2"/>
  <c r="CD120" i="2"/>
  <c r="CD93" i="2"/>
  <c r="CD144" i="2"/>
  <c r="CD165" i="2"/>
  <c r="CD117" i="2"/>
  <c r="CD196" i="2"/>
  <c r="CD77" i="2"/>
  <c r="CD36" i="2"/>
  <c r="CD35" i="2"/>
  <c r="CD78" i="2"/>
  <c r="CD73" i="2"/>
  <c r="CD171" i="2"/>
  <c r="CD159" i="2"/>
  <c r="CD172" i="2"/>
  <c r="CD182" i="2"/>
  <c r="CD41" i="2"/>
  <c r="CD87" i="2"/>
  <c r="CD96" i="2"/>
  <c r="CD50" i="2"/>
  <c r="CD161" i="2"/>
  <c r="CD170" i="2"/>
  <c r="CD38" i="2"/>
  <c r="CD153" i="2"/>
  <c r="CD95" i="2"/>
  <c r="CD151" i="2"/>
  <c r="CD139" i="2"/>
  <c r="CD138" i="2"/>
  <c r="CD149" i="2"/>
  <c r="CD53" i="2"/>
  <c r="CD8" i="2"/>
  <c r="CD195" i="2"/>
  <c r="CD45" i="2"/>
  <c r="CD72" i="2"/>
  <c r="CD177" i="2"/>
  <c r="CD126" i="2"/>
  <c r="CD113" i="2"/>
  <c r="CD168" i="2"/>
  <c r="CD30" i="2"/>
  <c r="CD156" i="2"/>
  <c r="CD19" i="2"/>
  <c r="CD131" i="2"/>
  <c r="CD75" i="2"/>
  <c r="CD185" i="2"/>
  <c r="CD119" i="2"/>
  <c r="CD107" i="2"/>
  <c r="CD197" i="2"/>
  <c r="CD143" i="2"/>
  <c r="CD58" i="2"/>
  <c r="CD67" i="2"/>
  <c r="CD83" i="2"/>
  <c r="CD145" i="2"/>
  <c r="CD109" i="2"/>
  <c r="CD60" i="2"/>
  <c r="CD63" i="2"/>
  <c r="CD22" i="2"/>
  <c r="CD198" i="2"/>
  <c r="CD28" i="2"/>
  <c r="CD5" i="2"/>
  <c r="CD202" i="2"/>
  <c r="CD114" i="2"/>
  <c r="CD71" i="2"/>
  <c r="CD94" i="2"/>
  <c r="CD173" i="2"/>
  <c r="CD191" i="2"/>
  <c r="CD203" i="2"/>
  <c r="CD130" i="2"/>
  <c r="CD175" i="2"/>
  <c r="CD17" i="2"/>
  <c r="CD10" i="2"/>
  <c r="CD29" i="2"/>
  <c r="CD68" i="2"/>
  <c r="CD42" i="2"/>
  <c r="CD100" i="2"/>
  <c r="CD31" i="2"/>
  <c r="CD54" i="2"/>
  <c r="CD123" i="2"/>
  <c r="CD82" i="2"/>
  <c r="CD99" i="2"/>
  <c r="CD33" i="2"/>
  <c r="CD118" i="2"/>
  <c r="CD166" i="2"/>
  <c r="CD88" i="2"/>
  <c r="CD201" i="2"/>
  <c r="CD189" i="2"/>
  <c r="CD141" i="2"/>
  <c r="CD122" i="2"/>
  <c r="CD23" i="2"/>
  <c r="CD49" i="2"/>
  <c r="CD47" i="2"/>
  <c r="CD125" i="2"/>
  <c r="CD187" i="2"/>
  <c r="CD163" i="2"/>
  <c r="CD101" i="2"/>
  <c r="CD111" i="2"/>
  <c r="CD193" i="2"/>
  <c r="CD194" i="2"/>
  <c r="CD86" i="2"/>
  <c r="CD110" i="2"/>
  <c r="CD32" i="2"/>
  <c r="CD80" i="2"/>
  <c r="CD190" i="2"/>
  <c r="CD79" i="2"/>
  <c r="CD135" i="2"/>
  <c r="CD61" i="2"/>
  <c r="CD81" i="2"/>
  <c r="CD92" i="2"/>
  <c r="CD188" i="2"/>
  <c r="CD6" i="2"/>
  <c r="CD121" i="2"/>
  <c r="CD112" i="2"/>
  <c r="CD179" i="2"/>
  <c r="CD9" i="2"/>
  <c r="CD14" i="2"/>
  <c r="CD20" i="2"/>
  <c r="CD102" i="2"/>
  <c r="CD91" i="2"/>
  <c r="CD134" i="2"/>
  <c r="CD15" i="2"/>
  <c r="CD84" i="2"/>
  <c r="CD4" i="2"/>
  <c r="CD51" i="2"/>
  <c r="CD174" i="2"/>
  <c r="CD64" i="2"/>
  <c r="CD158" i="2"/>
  <c r="CD146" i="2"/>
  <c r="CD66" i="2"/>
  <c r="CD162" i="2"/>
  <c r="CD7" i="2"/>
  <c r="CD116" i="2"/>
  <c r="CD13" i="2"/>
  <c r="CD24" i="2"/>
  <c r="CD181" i="2"/>
  <c r="CD69" i="2"/>
  <c r="CD154" i="2"/>
  <c r="CD26" i="2"/>
  <c r="CD183" i="2"/>
  <c r="CD128" i="2"/>
  <c r="CD11" i="2"/>
  <c r="CD40" i="2"/>
  <c r="CD152" i="2"/>
  <c r="CD55" i="2"/>
  <c r="CD65" i="2"/>
  <c r="CD3" i="2"/>
  <c r="C9" i="4" s="1"/>
  <c r="E9" i="4" s="1"/>
  <c r="F9" i="4" s="1"/>
  <c r="G9" i="4" s="1"/>
  <c r="L9" i="4" s="1"/>
  <c r="CD21" i="2"/>
  <c r="CD97" i="2"/>
  <c r="CD178" i="2"/>
  <c r="CD133" i="2"/>
  <c r="CD115" i="2"/>
  <c r="CD43" i="2"/>
  <c r="CD142" i="2"/>
  <c r="CD37" i="2"/>
  <c r="CD98" i="2"/>
  <c r="CD192" i="2"/>
  <c r="CD124" i="2"/>
  <c r="CD148" i="2"/>
  <c r="CD157" i="2"/>
  <c r="CD147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<sst xmlns="http://schemas.openxmlformats.org/spreadsheetml/2006/main" count="1197" uniqueCount="337">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</sst>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224.00971024958221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339.68777684695175</c:v>
                </c:pt>
                <c:pt idx="22">
                  <c:v>360.15946409007734</c:v>
                </c:pt>
                <c:pt idx="23">
                  <c:v>380.60570876556659</c:v>
                </c:pt>
                <c:pt idx="24">
                  <c:v>401.02806913443993</c:v>
                </c:pt>
                <c:pt idx="25">
                  <c:v>421.42793186976087</c:v>
                </c:pt>
                <c:pt idx="26">
                  <c:v>411.03827995947967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460.62919798538456</c:v>
                </c:pt>
                <c:pt idx="30">
                  <c:v>477.13349754486757</c:v>
                </c:pt>
                <c:pt idx="31">
                  <c:v>469.45861841140703</c:v>
                </c:pt>
                <c:pt idx="32">
                  <c:v>482.88793138454997</c:v>
                </c:pt>
                <c:pt idx="33">
                  <c:v>496.30931275327686</c:v>
                </c:pt>
                <c:pt idx="34">
                  <c:v>509.72300718239154</c:v>
                </c:pt>
                <c:pt idx="35">
                  <c:v>523.12924541243797</c:v>
                </c:pt>
                <c:pt idx="36">
                  <c:v>517.76763064124964</c:v>
                </c:pt>
                <c:pt idx="37">
                  <c:v>529.63822214325558</c:v>
                </c:pt>
                <c:pt idx="38">
                  <c:v>541.50321514451991</c:v>
                </c:pt>
                <c:pt idx="39">
                  <c:v>553.36274958383808</c:v>
                </c:pt>
                <c:pt idx="40">
                  <c:v>565.21695891368051</c:v>
                </c:pt>
                <c:pt idx="41">
                  <c:v>563.30534449457014</c:v>
                </c:pt>
                <c:pt idx="42">
                  <c:v>574.77301329675186</c:v>
                </c:pt>
                <c:pt idx="43">
                  <c:v>586.23590668718793</c:v>
                </c:pt>
                <c:pt idx="44">
                  <c:v>597.69413118158775</c:v>
                </c:pt>
                <c:pt idx="45">
                  <c:v>609.1477888796602</c:v>
                </c:pt>
                <c:pt idx="46">
                  <c:v>595.78474694239264</c:v>
                </c:pt>
                <c:pt idx="47">
                  <c:v>595.78474694239264</c:v>
                </c:pt>
                <c:pt idx="48">
                  <c:v>595.78474694239264</c:v>
                </c:pt>
                <c:pt idx="49">
                  <c:v>595.78474694239264</c:v>
                </c:pt>
                <c:pt idx="50">
                  <c:v>595.78474694239264</c:v>
                </c:pt>
                <c:pt idx="51">
                  <c:v>595.78474694239264</c:v>
                </c:pt>
                <c:pt idx="52">
                  <c:v>595.78474694239264</c:v>
                </c:pt>
                <c:pt idx="53">
                  <c:v>595.78474694239264</c:v>
                </c:pt>
                <c:pt idx="54">
                  <c:v>595.78474694239264</c:v>
                </c:pt>
                <c:pt idx="55">
                  <c:v>595.78474694239264</c:v>
                </c:pt>
                <c:pt idx="56">
                  <c:v>595.78474694239264</c:v>
                </c:pt>
                <c:pt idx="57">
                  <c:v>595.78474694239264</c:v>
                </c:pt>
                <c:pt idx="58">
                  <c:v>595.78474694239264</c:v>
                </c:pt>
                <c:pt idx="59">
                  <c:v>595.78474694239264</c:v>
                </c:pt>
                <c:pt idx="60">
                  <c:v>595.78474694239264</c:v>
                </c:pt>
                <c:pt idx="61">
                  <c:v>595.78474694239264</c:v>
                </c:pt>
                <c:pt idx="62">
                  <c:v>595.78474694239264</c:v>
                </c:pt>
                <c:pt idx="63">
                  <c:v>595.78474694239264</c:v>
                </c:pt>
                <c:pt idx="64">
                  <c:v>595.78474694239264</c:v>
                </c:pt>
                <c:pt idx="65">
                  <c:v>595.78474694239264</c:v>
                </c:pt>
                <c:pt idx="66">
                  <c:v>595.78474694239264</c:v>
                </c:pt>
                <c:pt idx="67">
                  <c:v>595.78474694239264</c:v>
                </c:pt>
                <c:pt idx="68">
                  <c:v>595.78474694239264</c:v>
                </c:pt>
                <c:pt idx="69">
                  <c:v>595.78474694239264</c:v>
                </c:pt>
                <c:pt idx="70">
                  <c:v>595.78474694239264</c:v>
                </c:pt>
                <c:pt idx="71">
                  <c:v>595.78474694239264</c:v>
                </c:pt>
                <c:pt idx="72">
                  <c:v>595.78474694239264</c:v>
                </c:pt>
                <c:pt idx="73">
                  <c:v>595.78474694239264</c:v>
                </c:pt>
                <c:pt idx="74">
                  <c:v>595.78474694239264</c:v>
                </c:pt>
                <c:pt idx="75">
                  <c:v>595.78474694239264</c:v>
                </c:pt>
                <c:pt idx="76">
                  <c:v>595.78474694239264</c:v>
                </c:pt>
                <c:pt idx="77">
                  <c:v>595.78474694239264</c:v>
                </c:pt>
                <c:pt idx="78">
                  <c:v>595.78474694239264</c:v>
                </c:pt>
                <c:pt idx="79">
                  <c:v>595.78474694239264</c:v>
                </c:pt>
                <c:pt idx="80">
                  <c:v>595.78474694239264</c:v>
                </c:pt>
                <c:pt idx="81">
                  <c:v>595.78474694239264</c:v>
                </c:pt>
                <c:pt idx="82">
                  <c:v>595.78474694239264</c:v>
                </c:pt>
                <c:pt idx="83">
                  <c:v>595.78474694239264</c:v>
                </c:pt>
                <c:pt idx="84">
                  <c:v>595.78474694239264</c:v>
                </c:pt>
                <c:pt idx="85">
                  <c:v>595.78474694239264</c:v>
                </c:pt>
                <c:pt idx="86">
                  <c:v>595.78474694239264</c:v>
                </c:pt>
                <c:pt idx="87">
                  <c:v>595.78474694239264</c:v>
                </c:pt>
                <c:pt idx="88">
                  <c:v>595.78474694239264</c:v>
                </c:pt>
                <c:pt idx="89">
                  <c:v>595.78474694239264</c:v>
                </c:pt>
                <c:pt idx="90">
                  <c:v>595.78474694239264</c:v>
                </c:pt>
                <c:pt idx="91">
                  <c:v>595.78474694239264</c:v>
                </c:pt>
                <c:pt idx="92">
                  <c:v>595.78474694239264</c:v>
                </c:pt>
                <c:pt idx="93">
                  <c:v>595.78474694239264</c:v>
                </c:pt>
                <c:pt idx="94">
                  <c:v>595.78474694239264</c:v>
                </c:pt>
                <c:pt idx="95">
                  <c:v>595.78474694239264</c:v>
                </c:pt>
                <c:pt idx="96">
                  <c:v>595.78474694239264</c:v>
                </c:pt>
                <c:pt idx="97">
                  <c:v>595.78474694239264</c:v>
                </c:pt>
                <c:pt idx="98">
                  <c:v>595.78474694239264</c:v>
                </c:pt>
                <c:pt idx="99">
                  <c:v>595.78474694239264</c:v>
                </c:pt>
                <c:pt idx="100">
                  <c:v>595.78474694239264</c:v>
                </c:pt>
                <c:pt idx="101">
                  <c:v>595.78474694239264</c:v>
                </c:pt>
                <c:pt idx="102">
                  <c:v>595.78474694239264</c:v>
                </c:pt>
                <c:pt idx="103">
                  <c:v>595.78474694239264</c:v>
                </c:pt>
                <c:pt idx="104">
                  <c:v>595.78474694239264</c:v>
                </c:pt>
                <c:pt idx="105">
                  <c:v>595.78474694239264</c:v>
                </c:pt>
                <c:pt idx="106">
                  <c:v>595.78474694239264</c:v>
                </c:pt>
                <c:pt idx="107">
                  <c:v>595.78474694239264</c:v>
                </c:pt>
                <c:pt idx="108">
                  <c:v>595.78474694239264</c:v>
                </c:pt>
                <c:pt idx="109">
                  <c:v>595.78474694239264</c:v>
                </c:pt>
                <c:pt idx="110">
                  <c:v>595.78474694239264</c:v>
                </c:pt>
                <c:pt idx="111">
                  <c:v>595.78474694239264</c:v>
                </c:pt>
                <c:pt idx="112">
                  <c:v>595.78474694239264</c:v>
                </c:pt>
                <c:pt idx="113">
                  <c:v>595.78474694239264</c:v>
                </c:pt>
                <c:pt idx="114">
                  <c:v>595.78474694239264</c:v>
                </c:pt>
                <c:pt idx="115">
                  <c:v>595.78474694239264</c:v>
                </c:pt>
                <c:pt idx="116">
                  <c:v>595.78474694239264</c:v>
                </c:pt>
                <c:pt idx="117">
                  <c:v>595.78474694239264</c:v>
                </c:pt>
                <c:pt idx="118">
                  <c:v>595.78474694239264</c:v>
                </c:pt>
                <c:pt idx="119">
                  <c:v>595.78474694239264</c:v>
                </c:pt>
                <c:pt idx="120">
                  <c:v>595.78474694239264</c:v>
                </c:pt>
                <c:pt idx="121">
                  <c:v>595.78474694239264</c:v>
                </c:pt>
                <c:pt idx="122">
                  <c:v>595.78474694239264</c:v>
                </c:pt>
                <c:pt idx="123">
                  <c:v>595.78474694239264</c:v>
                </c:pt>
                <c:pt idx="124">
                  <c:v>595.78474694239264</c:v>
                </c:pt>
                <c:pt idx="125">
                  <c:v>595.78474694239264</c:v>
                </c:pt>
                <c:pt idx="126">
                  <c:v>595.78474694239264</c:v>
                </c:pt>
                <c:pt idx="127">
                  <c:v>595.78474694239264</c:v>
                </c:pt>
                <c:pt idx="128">
                  <c:v>595.78474694239264</c:v>
                </c:pt>
                <c:pt idx="129">
                  <c:v>595.78474694239264</c:v>
                </c:pt>
                <c:pt idx="130">
                  <c:v>595.78474694239264</c:v>
                </c:pt>
                <c:pt idx="131">
                  <c:v>595.78474694239264</c:v>
                </c:pt>
                <c:pt idx="132">
                  <c:v>595.78474694239264</c:v>
                </c:pt>
                <c:pt idx="133">
                  <c:v>595.78474694239264</c:v>
                </c:pt>
                <c:pt idx="134">
                  <c:v>595.78474694239264</c:v>
                </c:pt>
                <c:pt idx="135">
                  <c:v>595.78474694239264</c:v>
                </c:pt>
                <c:pt idx="136">
                  <c:v>595.78474694239264</c:v>
                </c:pt>
                <c:pt idx="137">
                  <c:v>595.78474694239264</c:v>
                </c:pt>
                <c:pt idx="138">
                  <c:v>595.78474694239264</c:v>
                </c:pt>
                <c:pt idx="139">
                  <c:v>595.78474694239264</c:v>
                </c:pt>
                <c:pt idx="140">
                  <c:v>595.78474694239264</c:v>
                </c:pt>
                <c:pt idx="141">
                  <c:v>595.78474694239264</c:v>
                </c:pt>
                <c:pt idx="142">
                  <c:v>595.78474694239264</c:v>
                </c:pt>
                <c:pt idx="143">
                  <c:v>595.78474694239264</c:v>
                </c:pt>
                <c:pt idx="144">
                  <c:v>595.78474694239264</c:v>
                </c:pt>
                <c:pt idx="145">
                  <c:v>595.78474694239264</c:v>
                </c:pt>
                <c:pt idx="146">
                  <c:v>595.78474694239264</c:v>
                </c:pt>
                <c:pt idx="147">
                  <c:v>595.78474694239264</c:v>
                </c:pt>
                <c:pt idx="148">
                  <c:v>595.78474694239264</c:v>
                </c:pt>
                <c:pt idx="149">
                  <c:v>595.78474694239264</c:v>
                </c:pt>
                <c:pt idx="150">
                  <c:v>595.78474694239264</c:v>
                </c:pt>
                <c:pt idx="151">
                  <c:v>595.78474694239264</c:v>
                </c:pt>
                <c:pt idx="152">
                  <c:v>595.78474694239264</c:v>
                </c:pt>
                <c:pt idx="153">
                  <c:v>595.78474694239264</c:v>
                </c:pt>
                <c:pt idx="154">
                  <c:v>595.78474694239264</c:v>
                </c:pt>
                <c:pt idx="155">
                  <c:v>595.78474694239264</c:v>
                </c:pt>
                <c:pt idx="156">
                  <c:v>595.78474694239264</c:v>
                </c:pt>
                <c:pt idx="157">
                  <c:v>595.78474694239264</c:v>
                </c:pt>
                <c:pt idx="158">
                  <c:v>595.78474694239264</c:v>
                </c:pt>
                <c:pt idx="159">
                  <c:v>595.78474694239264</c:v>
                </c:pt>
                <c:pt idx="160">
                  <c:v>595.78474694239264</c:v>
                </c:pt>
                <c:pt idx="161">
                  <c:v>595.78474694239264</c:v>
                </c:pt>
                <c:pt idx="162">
                  <c:v>595.78474694239264</c:v>
                </c:pt>
                <c:pt idx="163">
                  <c:v>595.78474694239264</c:v>
                </c:pt>
                <c:pt idx="164">
                  <c:v>595.78474694239264</c:v>
                </c:pt>
                <c:pt idx="165">
                  <c:v>595.78474694239264</c:v>
                </c:pt>
                <c:pt idx="166">
                  <c:v>595.78474694239264</c:v>
                </c:pt>
                <c:pt idx="167">
                  <c:v>595.78474694239264</c:v>
                </c:pt>
                <c:pt idx="168">
                  <c:v>595.78474694239264</c:v>
                </c:pt>
                <c:pt idx="169">
                  <c:v>595.78474694239264</c:v>
                </c:pt>
                <c:pt idx="170">
                  <c:v>595.78474694239264</c:v>
                </c:pt>
                <c:pt idx="171">
                  <c:v>595.78474694239264</c:v>
                </c:pt>
                <c:pt idx="172">
                  <c:v>595.78474694239264</c:v>
                </c:pt>
                <c:pt idx="173">
                  <c:v>595.78474694239264</c:v>
                </c:pt>
                <c:pt idx="174">
                  <c:v>595.78474694239264</c:v>
                </c:pt>
                <c:pt idx="175">
                  <c:v>595.78474694239264</c:v>
                </c:pt>
                <c:pt idx="176">
                  <c:v>595.78474694239264</c:v>
                </c:pt>
                <c:pt idx="177">
                  <c:v>595.78474694239264</c:v>
                </c:pt>
                <c:pt idx="178">
                  <c:v>595.78474694239264</c:v>
                </c:pt>
                <c:pt idx="179">
                  <c:v>595.78474694239264</c:v>
                </c:pt>
                <c:pt idx="180">
                  <c:v>595.78474694239264</c:v>
                </c:pt>
                <c:pt idx="181">
                  <c:v>595.78474694239264</c:v>
                </c:pt>
                <c:pt idx="182">
                  <c:v>595.78474694239264</c:v>
                </c:pt>
                <c:pt idx="183">
                  <c:v>595.78474694239264</c:v>
                </c:pt>
                <c:pt idx="184">
                  <c:v>595.78474694239264</c:v>
                </c:pt>
                <c:pt idx="185">
                  <c:v>595.78474694239264</c:v>
                </c:pt>
                <c:pt idx="186">
                  <c:v>595.78474694239264</c:v>
                </c:pt>
                <c:pt idx="187">
                  <c:v>595.78474694239264</c:v>
                </c:pt>
                <c:pt idx="188">
                  <c:v>595.78474694239264</c:v>
                </c:pt>
                <c:pt idx="189">
                  <c:v>595.78474694239264</c:v>
                </c:pt>
                <c:pt idx="190">
                  <c:v>595.78474694239264</c:v>
                </c:pt>
                <c:pt idx="191">
                  <c:v>595.78474694239264</c:v>
                </c:pt>
                <c:pt idx="192">
                  <c:v>595.78474694239264</c:v>
                </c:pt>
                <c:pt idx="193">
                  <c:v>595.78474694239264</c:v>
                </c:pt>
                <c:pt idx="194">
                  <c:v>595.78474694239264</c:v>
                </c:pt>
                <c:pt idx="195">
                  <c:v>595.78474694239264</c:v>
                </c:pt>
                <c:pt idx="196">
                  <c:v>595.78474694239264</c:v>
                </c:pt>
                <c:pt idx="197">
                  <c:v>595.78474694239264</c:v>
                </c:pt>
                <c:pt idx="198">
                  <c:v>595.78474694239264</c:v>
                </c:pt>
                <c:pt idx="199">
                  <c:v>595.78474694239264</c:v>
                </c:pt>
                <c:pt idx="200">
                  <c:v>595.78474694239264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2.8747828244893294</c:v>
                </c:pt>
                <c:pt idx="2">
                  <c:v>3.3544810996099632</c:v>
                </c:pt>
                <c:pt idx="3">
                  <c:v>3.9145137345609591</c:v>
                </c:pt>
                <c:pt idx="4">
                  <c:v>4.5683800461314039</c:v>
                </c:pt>
                <c:pt idx="5">
                  <c:v>5.3318549870572198</c:v>
                </c:pt>
                <c:pt idx="6">
                  <c:v>6.223373893479109</c:v>
                </c:pt>
                <c:pt idx="7">
                  <c:v>7.2644824601167564</c:v>
                </c:pt>
                <c:pt idx="8">
                  <c:v>8.4803630291655754</c:v>
                </c:pt>
                <c:pt idx="9">
                  <c:v>9.9004501673949186</c:v>
                </c:pt>
                <c:pt idx="10">
                  <c:v>11.559150716764741</c:v>
                </c:pt>
                <c:pt idx="11">
                  <c:v>13.496686092213752</c:v>
                </c:pt>
                <c:pt idx="12">
                  <c:v>15.760077630682696</c:v>
                </c:pt>
                <c:pt idx="13">
                  <c:v>18.404299343564364</c:v>
                </c:pt>
                <c:pt idx="14">
                  <c:v>21.493626579223562</c:v>
                </c:pt>
                <c:pt idx="15">
                  <c:v>25.103213966802468</c:v>
                </c:pt>
                <c:pt idx="16">
                  <c:v>29.320941708812455</c:v>
                </c:pt>
                <c:pt idx="17">
                  <c:v>34.249575960460788</c:v>
                </c:pt>
                <c:pt idx="18">
                  <c:v>40.009296845149635</c:v>
                </c:pt>
                <c:pt idx="19">
                  <c:v>46.74065680363119</c:v>
                </c:pt>
                <c:pt idx="20">
                  <c:v>54.608042687969252</c:v>
                </c:pt>
                <c:pt idx="21">
                  <c:v>63.803727559127225</c:v>
                </c:pt>
                <c:pt idx="22">
                  <c:v>74.552612843129126</c:v>
                </c:pt>
                <c:pt idx="23">
                  <c:v>87.117778713772225</c:v>
                </c:pt>
                <c:pt idx="24">
                  <c:v>101.80698073153373</c:v>
                </c:pt>
                <c:pt idx="25">
                  <c:v>118.9802543844894</c:v>
                </c:pt>
                <c:pt idx="26">
                  <c:v>139.0588168405454</c:v>
                </c:pt>
                <c:pt idx="27">
                  <c:v>162.53548762572882</c:v>
                </c:pt>
                <c:pt idx="28">
                  <c:v>189.98688790472684</c:v>
                </c:pt>
                <c:pt idx="29">
                  <c:v>222.0877225112788</c:v>
                </c:pt>
                <c:pt idx="30">
                  <c:v>259.62750097538111</c:v>
                </c:pt>
                <c:pt idx="31">
                  <c:v>276.35878069854044</c:v>
                </c:pt>
                <c:pt idx="32">
                  <c:v>293.0673223360206</c:v>
                </c:pt>
                <c:pt idx="33">
                  <c:v>309.75460457834254</c:v>
                </c:pt>
                <c:pt idx="34">
                  <c:v>326.42193377189795</c:v>
                </c:pt>
                <c:pt idx="35">
                  <c:v>343.07047196522035</c:v>
                </c:pt>
                <c:pt idx="36">
                  <c:v>236.72990976803965</c:v>
                </c:pt>
                <c:pt idx="37">
                  <c:v>256.10993035371683</c:v>
                </c:pt>
                <c:pt idx="38">
                  <c:v>275.45678057622769</c:v>
                </c:pt>
                <c:pt idx="39">
                  <c:v>294.77311736335713</c:v>
                </c:pt>
                <c:pt idx="40">
                  <c:v>314.06122093899086</c:v>
                </c:pt>
                <c:pt idx="41">
                  <c:v>333.32306857671642</c:v>
                </c:pt>
                <c:pt idx="42">
                  <c:v>272.91348910550539</c:v>
                </c:pt>
                <c:pt idx="43">
                  <c:v>292.29823772828144</c:v>
                </c:pt>
                <c:pt idx="44">
                  <c:v>311.65428799240095</c:v>
                </c:pt>
                <c:pt idx="45">
                  <c:v>330.98367240333863</c:v>
                </c:pt>
                <c:pt idx="46">
                  <c:v>350.28816671419708</c:v>
                </c:pt>
                <c:pt idx="47">
                  <c:v>369.56933501680805</c:v>
                </c:pt>
                <c:pt idx="48">
                  <c:v>388.82856492643549</c:v>
                </c:pt>
                <c:pt idx="49">
                  <c:v>307.98813318550884</c:v>
                </c:pt>
                <c:pt idx="50">
                  <c:v>326.34733194407158</c:v>
                </c:pt>
                <c:pt idx="51">
                  <c:v>344.68372557007592</c:v>
                </c:pt>
                <c:pt idx="52">
                  <c:v>362.99869753506283</c:v>
                </c:pt>
                <c:pt idx="53">
                  <c:v>381.2934803420855</c:v>
                </c:pt>
                <c:pt idx="54">
                  <c:v>399.56917860313166</c:v>
                </c:pt>
                <c:pt idx="55">
                  <c:v>417.8267876732541</c:v>
                </c:pt>
                <c:pt idx="56">
                  <c:v>342.04271603065894</c:v>
                </c:pt>
                <c:pt idx="57">
                  <c:v>359.33027031351253</c:v>
                </c:pt>
                <c:pt idx="58">
                  <c:v>376.59963489790681</c:v>
                </c:pt>
                <c:pt idx="59">
                  <c:v>393.85176102715633</c:v>
                </c:pt>
                <c:pt idx="60">
                  <c:v>411.08750983093159</c:v>
                </c:pt>
                <c:pt idx="61">
                  <c:v>428.30766436045047</c:v>
                </c:pt>
                <c:pt idx="62">
                  <c:v>445.51293958723454</c:v>
                </c:pt>
                <c:pt idx="63">
                  <c:v>462.70399077690763</c:v>
                </c:pt>
                <c:pt idx="64">
                  <c:v>393.58941444451165</c:v>
                </c:pt>
                <c:pt idx="65">
                  <c:v>410.26162439092121</c:v>
                </c:pt>
                <c:pt idx="66">
                  <c:v>426.91921072557199</c:v>
                </c:pt>
                <c:pt idx="67">
                  <c:v>443.56282415958503</c:v>
                </c:pt>
                <c:pt idx="68">
                  <c:v>460.19306260505238</c:v>
                </c:pt>
                <c:pt idx="69">
                  <c:v>476.81047725180878</c:v>
                </c:pt>
                <c:pt idx="70">
                  <c:v>493.41557775311458</c:v>
                </c:pt>
                <c:pt idx="71">
                  <c:v>510.00883667710286</c:v>
                </c:pt>
                <c:pt idx="72">
                  <c:v>444.19404895661381</c:v>
                </c:pt>
                <c:pt idx="73">
                  <c:v>460.29520093829274</c:v>
                </c:pt>
                <c:pt idx="74">
                  <c:v>476.38433494573314</c:v>
                </c:pt>
                <c:pt idx="75">
                  <c:v>492.46191385980097</c:v>
                </c:pt>
                <c:pt idx="76">
                  <c:v>508.52836788524309</c:v>
                </c:pt>
                <c:pt idx="77">
                  <c:v>524.58409783820764</c:v>
                </c:pt>
                <c:pt idx="78">
                  <c:v>540.62947801047574</c:v>
                </c:pt>
                <c:pt idx="79">
                  <c:v>556.66485867609651</c:v>
                </c:pt>
                <c:pt idx="80">
                  <c:v>572.6905682942953</c:v>
                </c:pt>
                <c:pt idx="81">
                  <c:v>494.71400852251162</c:v>
                </c:pt>
                <c:pt idx="82">
                  <c:v>510.06717841307358</c:v>
                </c:pt>
                <c:pt idx="83">
                  <c:v>525.41058767175025</c:v>
                </c:pt>
                <c:pt idx="84">
                  <c:v>540.74456135959088</c:v>
                </c:pt>
                <c:pt idx="85">
                  <c:v>556.06940460701037</c:v>
                </c:pt>
                <c:pt idx="86">
                  <c:v>571.38540436276537</c:v>
                </c:pt>
                <c:pt idx="87">
                  <c:v>586.69283094573245</c:v>
                </c:pt>
                <c:pt idx="88">
                  <c:v>601.99193942638897</c:v>
                </c:pt>
                <c:pt idx="89">
                  <c:v>617.28297086062821</c:v>
                </c:pt>
                <c:pt idx="90">
                  <c:v>531.05272861022161</c:v>
                </c:pt>
                <c:pt idx="91">
                  <c:v>545.7354804576114</c:v>
                </c:pt>
                <c:pt idx="92">
                  <c:v>560.40994499806072</c:v>
                </c:pt>
                <c:pt idx="93">
                  <c:v>575.07636971065381</c:v>
                </c:pt>
                <c:pt idx="94">
                  <c:v>589.73498842790389</c:v>
                </c:pt>
                <c:pt idx="95">
                  <c:v>604.3860224157869</c:v>
                </c:pt>
                <c:pt idx="96">
                  <c:v>619.02968134365608</c:v>
                </c:pt>
                <c:pt idx="97">
                  <c:v>633.66616415765509</c:v>
                </c:pt>
                <c:pt idx="98">
                  <c:v>648.29565986928333</c:v>
                </c:pt>
                <c:pt idx="99">
                  <c:v>662.91834826912498</c:v>
                </c:pt>
                <c:pt idx="100">
                  <c:v>579.25037098603059</c:v>
                </c:pt>
                <c:pt idx="101">
                  <c:v>593.52995641467794</c:v>
                </c:pt>
                <c:pt idx="102">
                  <c:v>607.80239484733306</c:v>
                </c:pt>
                <c:pt idx="103">
                  <c:v>622.06787767102014</c:v>
                </c:pt>
                <c:pt idx="104">
                  <c:v>636.32658678371843</c:v>
                </c:pt>
                <c:pt idx="105">
                  <c:v>650.57869527132823</c:v>
                </c:pt>
                <c:pt idx="106">
                  <c:v>664.82436802226709</c:v>
                </c:pt>
                <c:pt idx="107">
                  <c:v>679.06376228668103</c:v>
                </c:pt>
                <c:pt idx="108">
                  <c:v>693.29702818634189</c:v>
                </c:pt>
                <c:pt idx="109">
                  <c:v>707.52430918052517</c:v>
                </c:pt>
                <c:pt idx="110">
                  <c:v>617.00840376480016</c:v>
                </c:pt>
                <c:pt idx="111">
                  <c:v>630.9689184416651</c:v>
                </c:pt>
                <c:pt idx="112">
                  <c:v>644.92304651052189</c:v>
                </c:pt>
                <c:pt idx="113">
                  <c:v>658.87094555296858</c:v>
                </c:pt>
                <c:pt idx="114">
                  <c:v>672.81276593858729</c:v>
                </c:pt>
                <c:pt idx="115">
                  <c:v>686.74865130072124</c:v>
                </c:pt>
                <c:pt idx="116">
                  <c:v>700.67873897164679</c:v>
                </c:pt>
                <c:pt idx="117">
                  <c:v>714.6031603813675</c:v>
                </c:pt>
                <c:pt idx="118">
                  <c:v>728.52204142372818</c:v>
                </c:pt>
                <c:pt idx="119">
                  <c:v>742.43550279311557</c:v>
                </c:pt>
                <c:pt idx="120">
                  <c:v>443.93146762868668</c:v>
                </c:pt>
                <c:pt idx="121">
                  <c:v>451.79650256435679</c:v>
                </c:pt>
                <c:pt idx="122">
                  <c:v>459.65860994353926</c:v>
                </c:pt>
                <c:pt idx="123">
                  <c:v>467.51784692522273</c:v>
                </c:pt>
                <c:pt idx="124">
                  <c:v>313.36145225771844</c:v>
                </c:pt>
                <c:pt idx="125">
                  <c:v>318.19280216371067</c:v>
                </c:pt>
                <c:pt idx="126">
                  <c:v>323.02252769678699</c:v>
                </c:pt>
                <c:pt idx="127">
                  <c:v>327.8506566063536</c:v>
                </c:pt>
                <c:pt idx="128">
                  <c:v>227.38061176329856</c:v>
                </c:pt>
                <c:pt idx="129">
                  <c:v>230.52026705350534</c:v>
                </c:pt>
                <c:pt idx="130">
                  <c:v>233.65894470686348</c:v>
                </c:pt>
                <c:pt idx="131">
                  <c:v>236.79665974052932</c:v>
                </c:pt>
                <c:pt idx="132">
                  <c:v>1.2754091996854009E-11</c:v>
                </c:pt>
                <c:pt idx="133">
                  <c:v>1.2754091996854009E-11</c:v>
                </c:pt>
                <c:pt idx="134">
                  <c:v>1.2754091996854009E-11</c:v>
                </c:pt>
                <c:pt idx="135">
                  <c:v>1.2754091996854009E-11</c:v>
                </c:pt>
                <c:pt idx="136">
                  <c:v>1.2754091996854009E-11</c:v>
                </c:pt>
                <c:pt idx="137">
                  <c:v>1.2754091996854009E-11</c:v>
                </c:pt>
                <c:pt idx="138">
                  <c:v>1.2754091996854009E-11</c:v>
                </c:pt>
                <c:pt idx="139">
                  <c:v>1.2754091996854009E-11</c:v>
                </c:pt>
                <c:pt idx="140">
                  <c:v>1.2754091996854009E-11</c:v>
                </c:pt>
                <c:pt idx="141">
                  <c:v>1.2754091996854009E-11</c:v>
                </c:pt>
                <c:pt idx="142">
                  <c:v>1.2754091996854009E-11</c:v>
                </c:pt>
                <c:pt idx="143">
                  <c:v>1.2754091996854009E-11</c:v>
                </c:pt>
                <c:pt idx="144">
                  <c:v>1.2754091996854009E-11</c:v>
                </c:pt>
                <c:pt idx="145">
                  <c:v>1.2754091996854009E-11</c:v>
                </c:pt>
                <c:pt idx="146">
                  <c:v>1.2754091996854009E-11</c:v>
                </c:pt>
                <c:pt idx="147">
                  <c:v>1.2754091996854009E-11</c:v>
                </c:pt>
                <c:pt idx="148">
                  <c:v>1.2754091996854009E-11</c:v>
                </c:pt>
                <c:pt idx="149">
                  <c:v>1.2754091996854009E-11</c:v>
                </c:pt>
                <c:pt idx="150">
                  <c:v>1.2754091996854009E-11</c:v>
                </c:pt>
                <c:pt idx="151">
                  <c:v>1.2754091996854009E-11</c:v>
                </c:pt>
                <c:pt idx="152">
                  <c:v>1.2754091996854009E-11</c:v>
                </c:pt>
                <c:pt idx="153">
                  <c:v>1.2754091996854009E-11</c:v>
                </c:pt>
                <c:pt idx="154">
                  <c:v>1.2754091996854009E-11</c:v>
                </c:pt>
                <c:pt idx="155">
                  <c:v>1.2754091996854009E-11</c:v>
                </c:pt>
                <c:pt idx="156">
                  <c:v>1.2754091996854009E-11</c:v>
                </c:pt>
                <c:pt idx="157">
                  <c:v>1.2754091996854009E-11</c:v>
                </c:pt>
                <c:pt idx="158">
                  <c:v>1.2754091996854009E-11</c:v>
                </c:pt>
                <c:pt idx="159">
                  <c:v>1.2754091996854009E-11</c:v>
                </c:pt>
                <c:pt idx="160">
                  <c:v>1.2754091996854009E-11</c:v>
                </c:pt>
                <c:pt idx="161">
                  <c:v>1.2754091996854009E-11</c:v>
                </c:pt>
                <c:pt idx="162">
                  <c:v>1.2754091996854009E-11</c:v>
                </c:pt>
                <c:pt idx="163">
                  <c:v>1.2754091996854009E-11</c:v>
                </c:pt>
                <c:pt idx="164">
                  <c:v>1.2754091996854009E-11</c:v>
                </c:pt>
                <c:pt idx="165">
                  <c:v>1.2754091996854009E-11</c:v>
                </c:pt>
                <c:pt idx="166">
                  <c:v>1.2754091996854009E-11</c:v>
                </c:pt>
                <c:pt idx="167">
                  <c:v>1.2754091996854009E-11</c:v>
                </c:pt>
                <c:pt idx="168">
                  <c:v>1.2754091996854009E-11</c:v>
                </c:pt>
                <c:pt idx="169">
                  <c:v>1.2754091996854009E-11</c:v>
                </c:pt>
                <c:pt idx="170">
                  <c:v>1.2754091996854009E-11</c:v>
                </c:pt>
                <c:pt idx="171">
                  <c:v>1.2754091996854009E-11</c:v>
                </c:pt>
                <c:pt idx="172">
                  <c:v>1.2754091996854009E-11</c:v>
                </c:pt>
                <c:pt idx="173">
                  <c:v>1.2754091996854009E-11</c:v>
                </c:pt>
                <c:pt idx="174">
                  <c:v>1.2754091996854009E-11</c:v>
                </c:pt>
                <c:pt idx="175">
                  <c:v>1.2754091996854009E-11</c:v>
                </c:pt>
                <c:pt idx="176">
                  <c:v>1.2754091996854009E-11</c:v>
                </c:pt>
                <c:pt idx="177">
                  <c:v>1.2754091996854009E-11</c:v>
                </c:pt>
                <c:pt idx="178">
                  <c:v>1.2754091996854009E-11</c:v>
                </c:pt>
                <c:pt idx="179">
                  <c:v>1.2754091996854009E-11</c:v>
                </c:pt>
                <c:pt idx="180">
                  <c:v>1.2754091996854009E-11</c:v>
                </c:pt>
                <c:pt idx="181">
                  <c:v>1.2754091996854009E-11</c:v>
                </c:pt>
                <c:pt idx="182">
                  <c:v>1.2754091996854009E-11</c:v>
                </c:pt>
                <c:pt idx="183">
                  <c:v>1.2754091996854009E-11</c:v>
                </c:pt>
                <c:pt idx="184">
                  <c:v>1.2754091996854009E-11</c:v>
                </c:pt>
                <c:pt idx="185">
                  <c:v>1.2754091996854009E-11</c:v>
                </c:pt>
                <c:pt idx="186">
                  <c:v>1.2754091996854009E-11</c:v>
                </c:pt>
                <c:pt idx="187">
                  <c:v>1.2754091996854009E-11</c:v>
                </c:pt>
                <c:pt idx="188">
                  <c:v>1.2754091996854009E-11</c:v>
                </c:pt>
                <c:pt idx="189">
                  <c:v>1.2754091996854009E-11</c:v>
                </c:pt>
                <c:pt idx="190">
                  <c:v>1.2754091996854009E-11</c:v>
                </c:pt>
                <c:pt idx="191">
                  <c:v>1.2754091996854009E-11</c:v>
                </c:pt>
                <c:pt idx="192">
                  <c:v>1.2754091996854009E-11</c:v>
                </c:pt>
                <c:pt idx="193">
                  <c:v>1.2754091996854009E-11</c:v>
                </c:pt>
                <c:pt idx="194">
                  <c:v>1.2754091996854009E-11</c:v>
                </c:pt>
                <c:pt idx="195">
                  <c:v>1.2754091996854009E-11</c:v>
                </c:pt>
                <c:pt idx="196">
                  <c:v>1.2754091996854009E-11</c:v>
                </c:pt>
                <c:pt idx="197">
                  <c:v>1.2754091996854009E-11</c:v>
                </c:pt>
                <c:pt idx="198">
                  <c:v>1.2754091996854009E-11</c:v>
                </c:pt>
                <c:pt idx="199">
                  <c:v>1.2754091996854009E-11</c:v>
                </c:pt>
                <c:pt idx="200">
                  <c:v>1.2754091996854009E-11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293.4737779390652</c:v>
                </c:pt>
                <c:pt idx="92">
                  <c:v>293.4737779390652</c:v>
                </c:pt>
                <c:pt idx="93">
                  <c:v>293.4737779390652</c:v>
                </c:pt>
                <c:pt idx="94">
                  <c:v>293.4737779390652</c:v>
                </c:pt>
                <c:pt idx="95">
                  <c:v>293.4737779390652</c:v>
                </c:pt>
                <c:pt idx="96">
                  <c:v>293.4737779390652</c:v>
                </c:pt>
                <c:pt idx="97">
                  <c:v>293.4737779390652</c:v>
                </c:pt>
                <c:pt idx="98">
                  <c:v>293.4737779390652</c:v>
                </c:pt>
                <c:pt idx="99">
                  <c:v>293.4737779390652</c:v>
                </c:pt>
                <c:pt idx="100">
                  <c:v>293.4737779390652</c:v>
                </c:pt>
                <c:pt idx="101">
                  <c:v>293.4737779390652</c:v>
                </c:pt>
                <c:pt idx="102">
                  <c:v>293.4737779390652</c:v>
                </c:pt>
                <c:pt idx="103">
                  <c:v>293.4737779390652</c:v>
                </c:pt>
                <c:pt idx="104">
                  <c:v>293.4737779390652</c:v>
                </c:pt>
                <c:pt idx="105">
                  <c:v>293.4737779390652</c:v>
                </c:pt>
                <c:pt idx="106">
                  <c:v>293.4737779390652</c:v>
                </c:pt>
                <c:pt idx="107">
                  <c:v>293.4737779390652</c:v>
                </c:pt>
                <c:pt idx="108">
                  <c:v>293.4737779390652</c:v>
                </c:pt>
                <c:pt idx="109">
                  <c:v>293.4737779390652</c:v>
                </c:pt>
                <c:pt idx="110">
                  <c:v>293.4737779390652</c:v>
                </c:pt>
                <c:pt idx="111">
                  <c:v>293.4737779390652</c:v>
                </c:pt>
                <c:pt idx="112">
                  <c:v>293.4737779390652</c:v>
                </c:pt>
                <c:pt idx="113">
                  <c:v>293.4737779390652</c:v>
                </c:pt>
                <c:pt idx="114">
                  <c:v>293.4737779390652</c:v>
                </c:pt>
                <c:pt idx="115">
                  <c:v>293.4737779390652</c:v>
                </c:pt>
                <c:pt idx="116">
                  <c:v>293.4737779390652</c:v>
                </c:pt>
                <c:pt idx="117">
                  <c:v>293.4737779390652</c:v>
                </c:pt>
                <c:pt idx="118">
                  <c:v>293.4737779390652</c:v>
                </c:pt>
                <c:pt idx="119">
                  <c:v>293.4737779390652</c:v>
                </c:pt>
                <c:pt idx="120">
                  <c:v>293.4737779390652</c:v>
                </c:pt>
                <c:pt idx="121">
                  <c:v>293.4737779390652</c:v>
                </c:pt>
                <c:pt idx="122">
                  <c:v>293.4737779390652</c:v>
                </c:pt>
                <c:pt idx="123">
                  <c:v>293.4737779390652</c:v>
                </c:pt>
                <c:pt idx="124">
                  <c:v>293.4737779390652</c:v>
                </c:pt>
                <c:pt idx="125">
                  <c:v>293.4737779390652</c:v>
                </c:pt>
                <c:pt idx="126">
                  <c:v>293.4737779390652</c:v>
                </c:pt>
                <c:pt idx="127">
                  <c:v>293.4737779390652</c:v>
                </c:pt>
                <c:pt idx="128">
                  <c:v>293.4737779390652</c:v>
                </c:pt>
                <c:pt idx="129">
                  <c:v>293.4737779390652</c:v>
                </c:pt>
                <c:pt idx="130">
                  <c:v>293.4737779390652</c:v>
                </c:pt>
                <c:pt idx="131">
                  <c:v>293.4737779390652</c:v>
                </c:pt>
                <c:pt idx="132">
                  <c:v>293.4737779390652</c:v>
                </c:pt>
                <c:pt idx="133">
                  <c:v>293.4737779390652</c:v>
                </c:pt>
                <c:pt idx="134">
                  <c:v>293.4737779390652</c:v>
                </c:pt>
                <c:pt idx="135">
                  <c:v>293.4737779390652</c:v>
                </c:pt>
                <c:pt idx="136">
                  <c:v>293.4737779390652</c:v>
                </c:pt>
                <c:pt idx="137">
                  <c:v>293.4737779390652</c:v>
                </c:pt>
                <c:pt idx="138">
                  <c:v>293.4737779390652</c:v>
                </c:pt>
                <c:pt idx="139">
                  <c:v>293.4737779390652</c:v>
                </c:pt>
                <c:pt idx="140">
                  <c:v>293.4737779390652</c:v>
                </c:pt>
                <c:pt idx="141">
                  <c:v>293.4737779390652</c:v>
                </c:pt>
                <c:pt idx="142">
                  <c:v>293.4737779390652</c:v>
                </c:pt>
                <c:pt idx="143">
                  <c:v>293.4737779390652</c:v>
                </c:pt>
                <c:pt idx="144">
                  <c:v>293.4737779390652</c:v>
                </c:pt>
                <c:pt idx="145">
                  <c:v>293.4737779390652</c:v>
                </c:pt>
                <c:pt idx="146">
                  <c:v>293.4737779390652</c:v>
                </c:pt>
                <c:pt idx="147">
                  <c:v>293.4737779390652</c:v>
                </c:pt>
                <c:pt idx="148">
                  <c:v>293.4737779390652</c:v>
                </c:pt>
                <c:pt idx="149">
                  <c:v>293.4737779390652</c:v>
                </c:pt>
                <c:pt idx="150">
                  <c:v>293.4737779390652</c:v>
                </c:pt>
                <c:pt idx="151">
                  <c:v>293.4737779390652</c:v>
                </c:pt>
                <c:pt idx="152">
                  <c:v>293.4737779390652</c:v>
                </c:pt>
                <c:pt idx="153">
                  <c:v>293.4737779390652</c:v>
                </c:pt>
                <c:pt idx="154">
                  <c:v>293.4737779390652</c:v>
                </c:pt>
                <c:pt idx="155">
                  <c:v>293.4737779390652</c:v>
                </c:pt>
                <c:pt idx="156">
                  <c:v>293.4737779390652</c:v>
                </c:pt>
                <c:pt idx="157">
                  <c:v>293.4737779390652</c:v>
                </c:pt>
                <c:pt idx="158">
                  <c:v>293.4737779390652</c:v>
                </c:pt>
                <c:pt idx="159">
                  <c:v>293.4737779390652</c:v>
                </c:pt>
                <c:pt idx="160">
                  <c:v>293.4737779390652</c:v>
                </c:pt>
                <c:pt idx="161">
                  <c:v>293.4737779390652</c:v>
                </c:pt>
                <c:pt idx="162">
                  <c:v>293.4737779390652</c:v>
                </c:pt>
                <c:pt idx="163">
                  <c:v>293.4737779390652</c:v>
                </c:pt>
                <c:pt idx="164">
                  <c:v>293.4737779390652</c:v>
                </c:pt>
                <c:pt idx="165">
                  <c:v>293.4737779390652</c:v>
                </c:pt>
                <c:pt idx="166">
                  <c:v>293.4737779390652</c:v>
                </c:pt>
                <c:pt idx="167">
                  <c:v>293.4737779390652</c:v>
                </c:pt>
                <c:pt idx="168">
                  <c:v>293.4737779390652</c:v>
                </c:pt>
                <c:pt idx="169">
                  <c:v>293.4737779390652</c:v>
                </c:pt>
                <c:pt idx="170">
                  <c:v>293.4737779390652</c:v>
                </c:pt>
                <c:pt idx="171">
                  <c:v>293.4737779390652</c:v>
                </c:pt>
                <c:pt idx="172">
                  <c:v>293.4737779390652</c:v>
                </c:pt>
                <c:pt idx="173">
                  <c:v>293.4737779390652</c:v>
                </c:pt>
                <c:pt idx="174">
                  <c:v>293.4737779390652</c:v>
                </c:pt>
                <c:pt idx="175">
                  <c:v>293.4737779390652</c:v>
                </c:pt>
                <c:pt idx="176">
                  <c:v>293.4737779390652</c:v>
                </c:pt>
                <c:pt idx="177">
                  <c:v>293.4737779390652</c:v>
                </c:pt>
                <c:pt idx="178">
                  <c:v>293.4737779390652</c:v>
                </c:pt>
                <c:pt idx="179">
                  <c:v>293.4737779390652</c:v>
                </c:pt>
                <c:pt idx="180">
                  <c:v>293.4737779390652</c:v>
                </c:pt>
                <c:pt idx="181">
                  <c:v>293.4737779390652</c:v>
                </c:pt>
                <c:pt idx="182">
                  <c:v>293.4737779390652</c:v>
                </c:pt>
                <c:pt idx="183">
                  <c:v>293.4737779390652</c:v>
                </c:pt>
                <c:pt idx="184">
                  <c:v>293.4737779390652</c:v>
                </c:pt>
                <c:pt idx="185">
                  <c:v>293.4737779390652</c:v>
                </c:pt>
                <c:pt idx="186">
                  <c:v>293.4737779390652</c:v>
                </c:pt>
                <c:pt idx="187">
                  <c:v>293.4737779390652</c:v>
                </c:pt>
                <c:pt idx="188">
                  <c:v>293.4737779390652</c:v>
                </c:pt>
                <c:pt idx="189">
                  <c:v>293.4737779390652</c:v>
                </c:pt>
                <c:pt idx="190">
                  <c:v>293.4737779390652</c:v>
                </c:pt>
                <c:pt idx="191">
                  <c:v>293.4737779390652</c:v>
                </c:pt>
                <c:pt idx="192">
                  <c:v>293.4737779390652</c:v>
                </c:pt>
                <c:pt idx="193">
                  <c:v>293.4737779390652</c:v>
                </c:pt>
                <c:pt idx="194">
                  <c:v>293.4737779390652</c:v>
                </c:pt>
                <c:pt idx="195">
                  <c:v>293.4737779390652</c:v>
                </c:pt>
                <c:pt idx="196">
                  <c:v>293.4737779390652</c:v>
                </c:pt>
                <c:pt idx="197">
                  <c:v>293.4737779390652</c:v>
                </c:pt>
                <c:pt idx="198">
                  <c:v>293.4737779390652</c:v>
                </c:pt>
                <c:pt idx="199">
                  <c:v>293.4737779390652</c:v>
                </c:pt>
                <c:pt idx="200">
                  <c:v>293.4737779390652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413.33430507425345</c:v>
                </c:pt>
                <c:pt idx="92">
                  <c:v>413.33430507425345</c:v>
                </c:pt>
                <c:pt idx="93">
                  <c:v>413.33430507425345</c:v>
                </c:pt>
                <c:pt idx="94">
                  <c:v>413.33430507425345</c:v>
                </c:pt>
                <c:pt idx="95">
                  <c:v>413.33430507425345</c:v>
                </c:pt>
                <c:pt idx="96">
                  <c:v>413.33430507425345</c:v>
                </c:pt>
                <c:pt idx="97">
                  <c:v>413.33430507425345</c:v>
                </c:pt>
                <c:pt idx="98">
                  <c:v>413.33430507425345</c:v>
                </c:pt>
                <c:pt idx="99">
                  <c:v>413.33430507425345</c:v>
                </c:pt>
                <c:pt idx="100">
                  <c:v>413.33430507425345</c:v>
                </c:pt>
                <c:pt idx="101">
                  <c:v>413.33430507425345</c:v>
                </c:pt>
                <c:pt idx="102">
                  <c:v>413.33430507425345</c:v>
                </c:pt>
                <c:pt idx="103">
                  <c:v>413.33430507425345</c:v>
                </c:pt>
                <c:pt idx="104">
                  <c:v>413.33430507425345</c:v>
                </c:pt>
                <c:pt idx="105">
                  <c:v>413.33430507425345</c:v>
                </c:pt>
                <c:pt idx="106">
                  <c:v>413.33430507425345</c:v>
                </c:pt>
                <c:pt idx="107">
                  <c:v>413.33430507425345</c:v>
                </c:pt>
                <c:pt idx="108">
                  <c:v>413.33430507425345</c:v>
                </c:pt>
                <c:pt idx="109">
                  <c:v>413.33430507425345</c:v>
                </c:pt>
                <c:pt idx="110">
                  <c:v>413.33430507425345</c:v>
                </c:pt>
                <c:pt idx="111">
                  <c:v>413.33430507425345</c:v>
                </c:pt>
                <c:pt idx="112">
                  <c:v>413.33430507425345</c:v>
                </c:pt>
                <c:pt idx="113">
                  <c:v>413.33430507425345</c:v>
                </c:pt>
                <c:pt idx="114">
                  <c:v>413.33430507425345</c:v>
                </c:pt>
                <c:pt idx="115">
                  <c:v>413.33430507425345</c:v>
                </c:pt>
                <c:pt idx="116">
                  <c:v>413.33430507425345</c:v>
                </c:pt>
                <c:pt idx="117">
                  <c:v>413.33430507425345</c:v>
                </c:pt>
                <c:pt idx="118">
                  <c:v>413.33430507425345</c:v>
                </c:pt>
                <c:pt idx="119">
                  <c:v>413.33430507425345</c:v>
                </c:pt>
                <c:pt idx="120">
                  <c:v>413.33430507425345</c:v>
                </c:pt>
                <c:pt idx="121">
                  <c:v>413.33430507425345</c:v>
                </c:pt>
                <c:pt idx="122">
                  <c:v>413.33430507425345</c:v>
                </c:pt>
                <c:pt idx="123">
                  <c:v>413.33430507425345</c:v>
                </c:pt>
                <c:pt idx="124">
                  <c:v>413.33430507425345</c:v>
                </c:pt>
                <c:pt idx="125">
                  <c:v>413.33430507425345</c:v>
                </c:pt>
                <c:pt idx="126">
                  <c:v>413.33430507425345</c:v>
                </c:pt>
                <c:pt idx="127">
                  <c:v>413.33430507425345</c:v>
                </c:pt>
                <c:pt idx="128">
                  <c:v>413.33430507425345</c:v>
                </c:pt>
                <c:pt idx="129">
                  <c:v>413.33430507425345</c:v>
                </c:pt>
                <c:pt idx="130">
                  <c:v>413.33430507425345</c:v>
                </c:pt>
                <c:pt idx="131">
                  <c:v>413.33430507425345</c:v>
                </c:pt>
                <c:pt idx="132">
                  <c:v>413.33430507425345</c:v>
                </c:pt>
                <c:pt idx="133">
                  <c:v>413.33430507425345</c:v>
                </c:pt>
                <c:pt idx="134">
                  <c:v>413.33430507425345</c:v>
                </c:pt>
                <c:pt idx="135">
                  <c:v>413.33430507425345</c:v>
                </c:pt>
                <c:pt idx="136">
                  <c:v>413.33430507425345</c:v>
                </c:pt>
                <c:pt idx="137">
                  <c:v>413.33430507425345</c:v>
                </c:pt>
                <c:pt idx="138">
                  <c:v>413.33430507425345</c:v>
                </c:pt>
                <c:pt idx="139">
                  <c:v>413.33430507425345</c:v>
                </c:pt>
                <c:pt idx="140">
                  <c:v>413.33430507425345</c:v>
                </c:pt>
                <c:pt idx="141">
                  <c:v>413.33430507425345</c:v>
                </c:pt>
                <c:pt idx="142">
                  <c:v>413.33430507425345</c:v>
                </c:pt>
                <c:pt idx="143">
                  <c:v>413.33430507425345</c:v>
                </c:pt>
                <c:pt idx="144">
                  <c:v>413.33430507425345</c:v>
                </c:pt>
                <c:pt idx="145">
                  <c:v>413.33430507425345</c:v>
                </c:pt>
                <c:pt idx="146">
                  <c:v>413.33430507425345</c:v>
                </c:pt>
                <c:pt idx="147">
                  <c:v>413.33430507425345</c:v>
                </c:pt>
                <c:pt idx="148">
                  <c:v>413.33430507425345</c:v>
                </c:pt>
                <c:pt idx="149">
                  <c:v>413.33430507425345</c:v>
                </c:pt>
                <c:pt idx="150">
                  <c:v>413.33430507425345</c:v>
                </c:pt>
                <c:pt idx="151">
                  <c:v>413.33430507425345</c:v>
                </c:pt>
                <c:pt idx="152">
                  <c:v>413.33430507425345</c:v>
                </c:pt>
                <c:pt idx="153">
                  <c:v>413.33430507425345</c:v>
                </c:pt>
                <c:pt idx="154">
                  <c:v>413.33430507425345</c:v>
                </c:pt>
                <c:pt idx="155">
                  <c:v>413.33430507425345</c:v>
                </c:pt>
                <c:pt idx="156">
                  <c:v>413.33430507425345</c:v>
                </c:pt>
                <c:pt idx="157">
                  <c:v>413.33430507425345</c:v>
                </c:pt>
                <c:pt idx="158">
                  <c:v>413.33430507425345</c:v>
                </c:pt>
                <c:pt idx="159">
                  <c:v>413.33430507425345</c:v>
                </c:pt>
                <c:pt idx="160">
                  <c:v>413.33430507425345</c:v>
                </c:pt>
                <c:pt idx="161">
                  <c:v>413.33430507425345</c:v>
                </c:pt>
                <c:pt idx="162">
                  <c:v>413.33430507425345</c:v>
                </c:pt>
                <c:pt idx="163">
                  <c:v>413.33430507425345</c:v>
                </c:pt>
                <c:pt idx="164">
                  <c:v>413.33430507425345</c:v>
                </c:pt>
                <c:pt idx="165">
                  <c:v>413.33430507425345</c:v>
                </c:pt>
                <c:pt idx="166">
                  <c:v>413.33430507425345</c:v>
                </c:pt>
                <c:pt idx="167">
                  <c:v>413.33430507425345</c:v>
                </c:pt>
                <c:pt idx="168">
                  <c:v>413.33430507425345</c:v>
                </c:pt>
                <c:pt idx="169">
                  <c:v>413.33430507425345</c:v>
                </c:pt>
                <c:pt idx="170">
                  <c:v>413.33430507425345</c:v>
                </c:pt>
                <c:pt idx="171">
                  <c:v>413.33430507425345</c:v>
                </c:pt>
                <c:pt idx="172">
                  <c:v>413.33430507425345</c:v>
                </c:pt>
                <c:pt idx="173">
                  <c:v>413.33430507425345</c:v>
                </c:pt>
                <c:pt idx="174">
                  <c:v>413.33430507425345</c:v>
                </c:pt>
                <c:pt idx="175">
                  <c:v>413.33430507425345</c:v>
                </c:pt>
                <c:pt idx="176">
                  <c:v>413.33430507425345</c:v>
                </c:pt>
                <c:pt idx="177">
                  <c:v>413.33430507425345</c:v>
                </c:pt>
                <c:pt idx="178">
                  <c:v>413.33430507425345</c:v>
                </c:pt>
                <c:pt idx="179">
                  <c:v>413.33430507425345</c:v>
                </c:pt>
                <c:pt idx="180">
                  <c:v>413.33430507425345</c:v>
                </c:pt>
                <c:pt idx="181">
                  <c:v>413.33430507425345</c:v>
                </c:pt>
                <c:pt idx="182">
                  <c:v>413.33430507425345</c:v>
                </c:pt>
                <c:pt idx="183">
                  <c:v>413.33430507425345</c:v>
                </c:pt>
                <c:pt idx="184">
                  <c:v>413.33430507425345</c:v>
                </c:pt>
                <c:pt idx="185">
                  <c:v>413.33430507425345</c:v>
                </c:pt>
                <c:pt idx="186">
                  <c:v>413.33430507425345</c:v>
                </c:pt>
                <c:pt idx="187">
                  <c:v>413.33430507425345</c:v>
                </c:pt>
                <c:pt idx="188">
                  <c:v>413.33430507425345</c:v>
                </c:pt>
                <c:pt idx="189">
                  <c:v>413.33430507425345</c:v>
                </c:pt>
                <c:pt idx="190">
                  <c:v>413.33430507425345</c:v>
                </c:pt>
                <c:pt idx="191">
                  <c:v>413.33430507425345</c:v>
                </c:pt>
                <c:pt idx="192">
                  <c:v>413.33430507425345</c:v>
                </c:pt>
                <c:pt idx="193">
                  <c:v>413.33430507425345</c:v>
                </c:pt>
                <c:pt idx="194">
                  <c:v>413.33430507425345</c:v>
                </c:pt>
                <c:pt idx="195">
                  <c:v>413.33430507425345</c:v>
                </c:pt>
                <c:pt idx="196">
                  <c:v>413.33430507425345</c:v>
                </c:pt>
                <c:pt idx="197">
                  <c:v>413.33430507425345</c:v>
                </c:pt>
                <c:pt idx="198">
                  <c:v>413.33430507425345</c:v>
                </c:pt>
                <c:pt idx="199">
                  <c:v>413.33430507425345</c:v>
                </c:pt>
                <c:pt idx="200">
                  <c:v>413.33430507425345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E56" sqref="E5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4.9400000000000004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143</v>
      </c>
      <c r="C9" s="32">
        <v>0.47</v>
      </c>
      <c r="D9" s="33">
        <f t="shared" ref="D9:D18" si="0">C9*$C$5</f>
        <v>2.3218000000000001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">
        <v>250</v>
      </c>
      <c r="C10" s="32">
        <v>0.16</v>
      </c>
      <c r="D10" s="33">
        <f t="shared" si="0"/>
        <v>0.7904000000000001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">
        <v>141</v>
      </c>
      <c r="C11" s="32">
        <v>0.16</v>
      </c>
      <c r="D11" s="33">
        <f t="shared" si="0"/>
        <v>0.7904000000000001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 t="s">
        <v>105</v>
      </c>
      <c r="C12" s="32">
        <v>0.03</v>
      </c>
      <c r="D12" s="33">
        <f t="shared" si="0"/>
        <v>0.1482</v>
      </c>
      <c r="E12" s="34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 t="s">
        <v>168</v>
      </c>
      <c r="C13" s="32">
        <v>0.04</v>
      </c>
      <c r="D13" s="33">
        <f t="shared" si="0"/>
        <v>0.19760000000000003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 t="s">
        <v>166</v>
      </c>
      <c r="C14" s="32">
        <v>0.04</v>
      </c>
      <c r="D14" s="33">
        <f t="shared" si="0"/>
        <v>0.19760000000000003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 t="s">
        <v>115</v>
      </c>
      <c r="C15" s="32">
        <v>7.0000000000000007E-2</v>
      </c>
      <c r="D15" s="33">
        <f t="shared" si="0"/>
        <v>0.34580000000000005</v>
      </c>
      <c r="E15" s="34">
        <v>90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 t="s">
        <v>120</v>
      </c>
      <c r="C16" s="32">
        <v>0.03</v>
      </c>
      <c r="D16" s="33">
        <f t="shared" si="0"/>
        <v>0.1482</v>
      </c>
      <c r="E16" s="34">
        <v>90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1.0000000000000002</v>
      </c>
      <c r="D19" s="38">
        <f>SUM(D9:D18)</f>
        <v>4.9400000000000004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sessile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Robinier faux-acacia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5</v>
      </c>
      <c r="B62" s="60">
        <v>34</v>
      </c>
      <c r="C62" s="60">
        <v>1</v>
      </c>
      <c r="D62" s="60">
        <v>6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6.8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10</v>
      </c>
      <c r="B63" s="60">
        <v>99</v>
      </c>
      <c r="C63" s="60">
        <v>2</v>
      </c>
      <c r="D63" s="60">
        <v>29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15</v>
      </c>
      <c r="B64" s="60">
        <v>140</v>
      </c>
      <c r="C64" s="60">
        <v>3</v>
      </c>
      <c r="D64" s="60">
        <v>23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20</v>
      </c>
      <c r="B65" s="60">
        <v>180</v>
      </c>
      <c r="C65" s="60">
        <v>4</v>
      </c>
      <c r="D65" s="60">
        <v>19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12.6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25</v>
      </c>
      <c r="B66" s="60">
        <v>214</v>
      </c>
      <c r="C66" s="60">
        <v>5</v>
      </c>
      <c r="D66" s="60">
        <v>14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10.6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30</v>
      </c>
      <c r="B67" s="60">
        <v>243</v>
      </c>
      <c r="C67" s="60">
        <v>6</v>
      </c>
      <c r="D67" s="60">
        <v>11</v>
      </c>
      <c r="E67" s="51">
        <v>0</v>
      </c>
      <c r="F67" s="51">
        <v>0.5</v>
      </c>
      <c r="G67" s="51">
        <v>0</v>
      </c>
      <c r="H67" s="51">
        <v>0.5</v>
      </c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35</v>
      </c>
      <c r="B68" s="60">
        <v>267</v>
      </c>
      <c r="C68" s="60">
        <v>7</v>
      </c>
      <c r="D68" s="60">
        <v>9</v>
      </c>
      <c r="E68" s="51">
        <v>0</v>
      </c>
      <c r="F68" s="51">
        <v>0.5</v>
      </c>
      <c r="G68" s="51">
        <v>0</v>
      </c>
      <c r="H68" s="51">
        <v>0.5</v>
      </c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40</v>
      </c>
      <c r="B69" s="50">
        <v>289</v>
      </c>
      <c r="C69" s="50">
        <v>8</v>
      </c>
      <c r="D69" s="50">
        <v>7</v>
      </c>
      <c r="E69" s="51">
        <v>0.3</v>
      </c>
      <c r="F69" s="51">
        <v>0.4</v>
      </c>
      <c r="G69" s="51">
        <v>0</v>
      </c>
      <c r="H69" s="51">
        <v>0.3</v>
      </c>
      <c r="I69" s="49">
        <f t="shared" si="2"/>
        <v>6.2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45</v>
      </c>
      <c r="B70" s="50">
        <v>312</v>
      </c>
      <c r="C70" s="50">
        <v>9</v>
      </c>
      <c r="D70" s="50">
        <v>7</v>
      </c>
      <c r="E70" s="51">
        <v>0.3</v>
      </c>
      <c r="F70" s="51">
        <v>0.4</v>
      </c>
      <c r="G70" s="51">
        <v>0</v>
      </c>
      <c r="H70" s="51">
        <v>0.3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Chêne rouge d'Amérique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29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73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129</v>
      </c>
      <c r="C90" s="60">
        <v>1</v>
      </c>
      <c r="D90" s="60" t="s">
        <v>325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126</v>
      </c>
      <c r="C91" s="60">
        <v>2</v>
      </c>
      <c r="D91" s="60" t="s">
        <v>326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149</v>
      </c>
      <c r="C92" s="60">
        <v>3</v>
      </c>
      <c r="D92" s="60" t="s">
        <v>327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168</v>
      </c>
      <c r="C93" s="60">
        <v>4</v>
      </c>
      <c r="D93" s="60" t="s">
        <v>327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185</v>
      </c>
      <c r="C94" s="60">
        <v>5</v>
      </c>
      <c r="D94" s="60" t="s">
        <v>327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198</v>
      </c>
      <c r="C95" s="60">
        <v>6</v>
      </c>
      <c r="D95" s="60" t="s">
        <v>326</v>
      </c>
      <c r="E95" s="87">
        <v>0.4</v>
      </c>
      <c r="F95" s="87">
        <v>0.4</v>
      </c>
      <c r="G95" s="87">
        <v>0</v>
      </c>
      <c r="H95" s="87">
        <v>0.2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209</v>
      </c>
      <c r="C96" s="60">
        <v>7</v>
      </c>
      <c r="D96" s="60" t="s">
        <v>328</v>
      </c>
      <c r="E96" s="87">
        <v>0.4</v>
      </c>
      <c r="F96" s="87">
        <v>0.4</v>
      </c>
      <c r="G96" s="87">
        <v>0</v>
      </c>
      <c r="H96" s="87">
        <v>0.2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218</v>
      </c>
      <c r="C97" s="60">
        <v>8</v>
      </c>
      <c r="D97" s="60" t="s">
        <v>329</v>
      </c>
      <c r="E97" s="87">
        <v>0.4</v>
      </c>
      <c r="F97" s="87">
        <v>0.4</v>
      </c>
      <c r="G97" s="87">
        <v>0</v>
      </c>
      <c r="H97" s="87">
        <v>0.2</v>
      </c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225</v>
      </c>
      <c r="C98" s="60">
        <v>9</v>
      </c>
      <c r="D98" s="60" t="s">
        <v>330</v>
      </c>
      <c r="E98" s="87">
        <v>0.5</v>
      </c>
      <c r="F98" s="87">
        <v>0.4</v>
      </c>
      <c r="G98" s="87">
        <v>0</v>
      </c>
      <c r="H98" s="87">
        <v>0.1</v>
      </c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232</v>
      </c>
      <c r="C99" s="60">
        <v>10</v>
      </c>
      <c r="D99" s="60" t="s">
        <v>331</v>
      </c>
      <c r="E99" s="87">
        <v>0.5</v>
      </c>
      <c r="F99" s="87">
        <v>0.4</v>
      </c>
      <c r="G99" s="87">
        <v>0</v>
      </c>
      <c r="H99" s="87">
        <v>0.1</v>
      </c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237</v>
      </c>
      <c r="C100" s="60">
        <v>11</v>
      </c>
      <c r="D100" s="60" t="s">
        <v>332</v>
      </c>
      <c r="E100" s="65">
        <v>0.5</v>
      </c>
      <c r="F100" s="65">
        <v>0.4</v>
      </c>
      <c r="G100" s="65">
        <v>0</v>
      </c>
      <c r="H100" s="65">
        <v>0.1</v>
      </c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241</v>
      </c>
      <c r="C101" s="60">
        <v>12</v>
      </c>
      <c r="D101" s="60" t="s">
        <v>333</v>
      </c>
      <c r="E101" s="65">
        <v>0.6</v>
      </c>
      <c r="F101" s="65">
        <v>0.3</v>
      </c>
      <c r="G101" s="65">
        <v>0</v>
      </c>
      <c r="H101" s="65">
        <v>0.1</v>
      </c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245</v>
      </c>
      <c r="C102" s="60">
        <v>13</v>
      </c>
      <c r="D102" s="50" t="s">
        <v>334</v>
      </c>
      <c r="E102" s="54">
        <v>0.6</v>
      </c>
      <c r="F102" s="54">
        <v>0.3</v>
      </c>
      <c r="G102" s="54">
        <v>0</v>
      </c>
      <c r="H102" s="54">
        <v>0.1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248</v>
      </c>
      <c r="C103" s="60">
        <v>14</v>
      </c>
      <c r="D103" s="50" t="s">
        <v>335</v>
      </c>
      <c r="E103" s="54">
        <v>0.6</v>
      </c>
      <c r="F103" s="54">
        <v>0.3</v>
      </c>
      <c r="G103" s="54">
        <v>0</v>
      </c>
      <c r="H103" s="54">
        <v>0.1</v>
      </c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249</v>
      </c>
      <c r="C104" s="60">
        <v>15</v>
      </c>
      <c r="D104" s="50" t="s">
        <v>336</v>
      </c>
      <c r="E104" s="54">
        <v>0.6</v>
      </c>
      <c r="F104" s="54">
        <v>0.3</v>
      </c>
      <c r="G104" s="54">
        <v>0</v>
      </c>
      <c r="H104" s="54">
        <v>0.1</v>
      </c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95</v>
      </c>
      <c r="B105" s="50">
        <v>252</v>
      </c>
      <c r="C105" s="50">
        <v>16</v>
      </c>
      <c r="D105" s="50" t="s">
        <v>336</v>
      </c>
      <c r="E105" s="54">
        <v>0.7</v>
      </c>
      <c r="F105" s="54">
        <v>0.2</v>
      </c>
      <c r="G105" s="54">
        <v>0</v>
      </c>
      <c r="H105" s="54">
        <v>0.1</v>
      </c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100</v>
      </c>
      <c r="B106" s="50">
        <v>255</v>
      </c>
      <c r="C106" s="50">
        <v>17</v>
      </c>
      <c r="D106" s="50" t="s">
        <v>336</v>
      </c>
      <c r="E106" s="54">
        <v>0.7</v>
      </c>
      <c r="F106" s="54">
        <v>0.2</v>
      </c>
      <c r="G106" s="54">
        <v>0</v>
      </c>
      <c r="H106" s="54">
        <v>0.1</v>
      </c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>Alisier torminal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121.88461538461537</v>
      </c>
      <c r="C114" s="50" t="s">
        <v>324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4.0628205128205126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35</v>
      </c>
      <c r="B115" s="60">
        <v>162.16666666666669</v>
      </c>
      <c r="C115" s="50">
        <v>1</v>
      </c>
      <c r="D115" s="60">
        <v>60.602564102564102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8.0564102564102633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41</v>
      </c>
      <c r="B116" s="60">
        <v>157.44871794871796</v>
      </c>
      <c r="C116" s="50">
        <v>2</v>
      </c>
      <c r="D116" s="60">
        <v>38.512820512820511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9.3141025641025621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48</v>
      </c>
      <c r="B117" s="60">
        <v>184.35256410256409</v>
      </c>
      <c r="C117" s="50">
        <v>3</v>
      </c>
      <c r="D117" s="60">
        <v>48.025641025641022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9.3452380952380913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55</v>
      </c>
      <c r="B118" s="60">
        <v>198.44230769230768</v>
      </c>
      <c r="C118" s="50">
        <v>4</v>
      </c>
      <c r="D118" s="60">
        <v>45.147435897435898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8.8736263736263741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63</v>
      </c>
      <c r="B119" s="60">
        <v>220.28846153846152</v>
      </c>
      <c r="C119" s="50">
        <v>5</v>
      </c>
      <c r="D119" s="60">
        <v>41.724358974358978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4"/>
        <v>8.374198717948719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71</v>
      </c>
      <c r="B120" s="60">
        <v>243.36538461538464</v>
      </c>
      <c r="C120" s="60">
        <v>6</v>
      </c>
      <c r="D120" s="60">
        <v>39.935897435897431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8.1001602564102626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80</v>
      </c>
      <c r="B121" s="60">
        <v>274.01282051282055</v>
      </c>
      <c r="C121" s="60">
        <v>7</v>
      </c>
      <c r="D121" s="60">
        <v>45.608974358974358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7.8425925925925934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89</v>
      </c>
      <c r="B122" s="60">
        <v>295.85897435897436</v>
      </c>
      <c r="C122" s="60">
        <v>8</v>
      </c>
      <c r="D122" s="60">
        <v>49.391025641025635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7.4950142450142421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99</v>
      </c>
      <c r="B123" s="60">
        <v>318.25</v>
      </c>
      <c r="C123" s="60">
        <v>9</v>
      </c>
      <c r="D123" s="60">
        <v>48.019230769230766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7.1782051282051267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109</v>
      </c>
      <c r="B124" s="60">
        <v>340.16666666666663</v>
      </c>
      <c r="C124" s="60">
        <v>10</v>
      </c>
      <c r="D124" s="60">
        <v>51.28846153846154</v>
      </c>
      <c r="E124" s="87">
        <v>0.9</v>
      </c>
      <c r="F124" s="87">
        <v>0</v>
      </c>
      <c r="G124" s="87">
        <v>0</v>
      </c>
      <c r="H124" s="87">
        <v>0.1</v>
      </c>
      <c r="I124" s="53">
        <f t="shared" si="4"/>
        <v>6.9935897435897401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119</v>
      </c>
      <c r="B125" s="60">
        <v>357.33974358974359</v>
      </c>
      <c r="C125" s="60">
        <v>11</v>
      </c>
      <c r="D125" s="60">
        <v>150.02564102564102</v>
      </c>
      <c r="E125" s="87">
        <v>0.9</v>
      </c>
      <c r="F125" s="87">
        <v>0</v>
      </c>
      <c r="G125" s="87">
        <v>0</v>
      </c>
      <c r="H125" s="87">
        <v>0.1</v>
      </c>
      <c r="I125" s="53">
        <f t="shared" si="4"/>
        <v>6.8461538461538511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123</v>
      </c>
      <c r="B126" s="60">
        <v>222.63461538461539</v>
      </c>
      <c r="C126" s="60">
        <v>12</v>
      </c>
      <c r="D126" s="60">
        <v>77.17307692307692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3.8301282051282044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127</v>
      </c>
      <c r="B127" s="60">
        <v>154.80128205128204</v>
      </c>
      <c r="C127" s="60">
        <v>13</v>
      </c>
      <c r="D127" s="60">
        <v>49.916666666666671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2.3349358974358978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131</v>
      </c>
      <c r="B128" s="50">
        <v>110.91025641025641</v>
      </c>
      <c r="C128" s="50">
        <v>14</v>
      </c>
      <c r="D128" s="50">
        <v>110.91025641025641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1.5064102564102591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>Erable sycomore</v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37</v>
      </c>
      <c r="C140" s="50">
        <v>1</v>
      </c>
      <c r="D140" s="60">
        <v>15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80</v>
      </c>
      <c r="C141" s="50">
        <v>2</v>
      </c>
      <c r="D141" s="60">
        <v>28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115</v>
      </c>
      <c r="C142" s="50">
        <v>3</v>
      </c>
      <c r="D142" s="60">
        <v>28</v>
      </c>
      <c r="E142" s="51">
        <v>0</v>
      </c>
      <c r="F142" s="51">
        <v>7.0000000000000007E-2</v>
      </c>
      <c r="G142" s="51">
        <v>0</v>
      </c>
      <c r="H142" s="51">
        <v>0.93</v>
      </c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30</v>
      </c>
      <c r="B143" s="60">
        <v>146</v>
      </c>
      <c r="C143" s="50">
        <v>4</v>
      </c>
      <c r="D143" s="60">
        <v>28</v>
      </c>
      <c r="E143" s="51">
        <v>0.04</v>
      </c>
      <c r="F143" s="51">
        <v>0.28999999999999998</v>
      </c>
      <c r="G143" s="51">
        <v>0</v>
      </c>
      <c r="H143" s="51">
        <v>0.68</v>
      </c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35</v>
      </c>
      <c r="B144" s="60">
        <v>172</v>
      </c>
      <c r="C144" s="50">
        <v>5</v>
      </c>
      <c r="D144" s="60">
        <v>28</v>
      </c>
      <c r="E144" s="51">
        <v>0.18</v>
      </c>
      <c r="F144" s="51">
        <v>0.43</v>
      </c>
      <c r="G144" s="51">
        <v>0</v>
      </c>
      <c r="H144" s="51">
        <v>0.39</v>
      </c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40</v>
      </c>
      <c r="B145" s="60">
        <v>192</v>
      </c>
      <c r="C145" s="50">
        <v>6</v>
      </c>
      <c r="D145" s="60">
        <v>28</v>
      </c>
      <c r="E145" s="51">
        <v>0.39</v>
      </c>
      <c r="F145" s="51">
        <v>0.39</v>
      </c>
      <c r="G145" s="51">
        <v>0</v>
      </c>
      <c r="H145" s="51">
        <v>0.21</v>
      </c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45</v>
      </c>
      <c r="B146" s="60">
        <v>205</v>
      </c>
      <c r="C146" s="50">
        <v>7</v>
      </c>
      <c r="D146" s="60">
        <v>22</v>
      </c>
      <c r="E146" s="51">
        <v>0.59</v>
      </c>
      <c r="F146" s="51">
        <v>0.27</v>
      </c>
      <c r="G146" s="51">
        <v>0</v>
      </c>
      <c r="H146" s="51">
        <v>0.14000000000000001</v>
      </c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50</v>
      </c>
      <c r="B147" s="60">
        <v>219</v>
      </c>
      <c r="C147" s="50">
        <v>8</v>
      </c>
      <c r="D147" s="60">
        <v>17</v>
      </c>
      <c r="E147" s="51">
        <v>0.71</v>
      </c>
      <c r="F147" s="51">
        <v>0.18</v>
      </c>
      <c r="G147" s="51">
        <v>0</v>
      </c>
      <c r="H147" s="51">
        <v>0.12</v>
      </c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55</v>
      </c>
      <c r="B148" s="60">
        <v>232</v>
      </c>
      <c r="C148" s="50">
        <v>9</v>
      </c>
      <c r="D148" s="60">
        <v>13</v>
      </c>
      <c r="E148" s="51">
        <v>0.77</v>
      </c>
      <c r="F148" s="51">
        <v>0.15</v>
      </c>
      <c r="G148" s="51">
        <v>0</v>
      </c>
      <c r="H148" s="51">
        <v>0.08</v>
      </c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60</v>
      </c>
      <c r="B149" s="60">
        <v>245</v>
      </c>
      <c r="C149" s="50">
        <v>10</v>
      </c>
      <c r="D149" s="60">
        <v>12</v>
      </c>
      <c r="E149" s="51">
        <v>0.83</v>
      </c>
      <c r="F149" s="51">
        <v>0.08</v>
      </c>
      <c r="G149" s="51">
        <v>0</v>
      </c>
      <c r="H149" s="51">
        <v>0.08</v>
      </c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65</v>
      </c>
      <c r="B150" s="60">
        <v>255</v>
      </c>
      <c r="C150" s="50">
        <v>11</v>
      </c>
      <c r="D150" s="60">
        <v>11</v>
      </c>
      <c r="E150" s="51">
        <v>0.82</v>
      </c>
      <c r="F150" s="51">
        <v>0.09</v>
      </c>
      <c r="G150" s="51">
        <v>0</v>
      </c>
      <c r="H150" s="51">
        <v>0.09</v>
      </c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70</v>
      </c>
      <c r="B151" s="60">
        <v>263</v>
      </c>
      <c r="C151" s="50">
        <v>12</v>
      </c>
      <c r="D151" s="60">
        <v>10</v>
      </c>
      <c r="E151" s="51">
        <v>0.9</v>
      </c>
      <c r="F151" s="51">
        <v>0.1</v>
      </c>
      <c r="G151" s="51">
        <v>0</v>
      </c>
      <c r="H151" s="51">
        <v>0</v>
      </c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75</v>
      </c>
      <c r="B152" s="60">
        <v>270</v>
      </c>
      <c r="C152" s="50">
        <v>13</v>
      </c>
      <c r="D152" s="60">
        <v>9</v>
      </c>
      <c r="E152" s="54">
        <v>0.89</v>
      </c>
      <c r="F152" s="54">
        <v>0.11</v>
      </c>
      <c r="G152" s="54">
        <v>0</v>
      </c>
      <c r="H152" s="54">
        <v>0</v>
      </c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80</v>
      </c>
      <c r="B153" s="60">
        <v>275</v>
      </c>
      <c r="C153" s="50">
        <v>14</v>
      </c>
      <c r="D153" s="60">
        <v>8</v>
      </c>
      <c r="E153" s="54">
        <v>0.88</v>
      </c>
      <c r="F153" s="54">
        <v>0.13</v>
      </c>
      <c r="G153" s="54">
        <v>0</v>
      </c>
      <c r="H153" s="54">
        <v>0</v>
      </c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>Erable plane</v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>
        <v>7.0000000000000007E-2</v>
      </c>
      <c r="G168" s="51">
        <v>0</v>
      </c>
      <c r="H168" s="51">
        <v>0.93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30</v>
      </c>
      <c r="B169" s="60">
        <v>146</v>
      </c>
      <c r="C169" s="60">
        <v>4</v>
      </c>
      <c r="D169" s="60">
        <v>28</v>
      </c>
      <c r="E169" s="51">
        <v>0.04</v>
      </c>
      <c r="F169" s="51">
        <v>0.28999999999999998</v>
      </c>
      <c r="G169" s="51">
        <v>0</v>
      </c>
      <c r="H169" s="51">
        <v>0.68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35</v>
      </c>
      <c r="B170" s="60">
        <v>172</v>
      </c>
      <c r="C170" s="60">
        <v>5</v>
      </c>
      <c r="D170" s="60">
        <v>28</v>
      </c>
      <c r="E170" s="51">
        <v>0.18</v>
      </c>
      <c r="F170" s="51">
        <v>0.43</v>
      </c>
      <c r="G170" s="51">
        <v>0</v>
      </c>
      <c r="H170" s="51">
        <v>0.39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40</v>
      </c>
      <c r="B171" s="60">
        <v>192</v>
      </c>
      <c r="C171" s="60">
        <v>6</v>
      </c>
      <c r="D171" s="60">
        <v>28</v>
      </c>
      <c r="E171" s="51">
        <v>0.39</v>
      </c>
      <c r="F171" s="51">
        <v>0.39</v>
      </c>
      <c r="G171" s="51">
        <v>0</v>
      </c>
      <c r="H171" s="51">
        <v>0.21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45</v>
      </c>
      <c r="B172" s="60">
        <v>205</v>
      </c>
      <c r="C172" s="60">
        <v>7</v>
      </c>
      <c r="D172" s="60">
        <v>22</v>
      </c>
      <c r="E172" s="51">
        <v>0.59</v>
      </c>
      <c r="F172" s="51">
        <v>0.27</v>
      </c>
      <c r="G172" s="51">
        <v>0</v>
      </c>
      <c r="H172" s="51">
        <v>0.14000000000000001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50</v>
      </c>
      <c r="B173" s="50">
        <v>219</v>
      </c>
      <c r="C173" s="50">
        <v>8</v>
      </c>
      <c r="D173" s="50">
        <v>17</v>
      </c>
      <c r="E173" s="51">
        <v>0.71</v>
      </c>
      <c r="F173" s="51">
        <v>0.18</v>
      </c>
      <c r="G173" s="51">
        <v>0</v>
      </c>
      <c r="H173" s="51">
        <v>0.12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55</v>
      </c>
      <c r="B174" s="50">
        <v>232</v>
      </c>
      <c r="C174" s="50">
        <v>9</v>
      </c>
      <c r="D174" s="50">
        <v>13</v>
      </c>
      <c r="E174" s="51">
        <v>0.77</v>
      </c>
      <c r="F174" s="51">
        <v>0.15</v>
      </c>
      <c r="G174" s="51">
        <v>0</v>
      </c>
      <c r="H174" s="51">
        <v>0.08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60</v>
      </c>
      <c r="B175" s="50">
        <v>245</v>
      </c>
      <c r="C175" s="50">
        <v>10</v>
      </c>
      <c r="D175" s="50">
        <v>12</v>
      </c>
      <c r="E175" s="51">
        <v>0.83</v>
      </c>
      <c r="F175" s="51">
        <v>0.08</v>
      </c>
      <c r="G175" s="51">
        <v>0</v>
      </c>
      <c r="H175" s="51">
        <v>0.08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65</v>
      </c>
      <c r="B176" s="50">
        <v>255</v>
      </c>
      <c r="C176" s="50">
        <v>11</v>
      </c>
      <c r="D176" s="50">
        <v>11</v>
      </c>
      <c r="E176" s="51">
        <v>0.82</v>
      </c>
      <c r="F176" s="51">
        <v>0.09</v>
      </c>
      <c r="G176" s="51">
        <v>0</v>
      </c>
      <c r="H176" s="51">
        <v>0.09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70</v>
      </c>
      <c r="B177" s="50">
        <v>263</v>
      </c>
      <c r="C177" s="50">
        <v>12</v>
      </c>
      <c r="D177" s="50">
        <v>10</v>
      </c>
      <c r="E177" s="51">
        <v>0.9</v>
      </c>
      <c r="F177" s="51">
        <v>0.1</v>
      </c>
      <c r="G177" s="51">
        <v>0</v>
      </c>
      <c r="H177" s="51">
        <v>0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75</v>
      </c>
      <c r="B178" s="50">
        <v>270</v>
      </c>
      <c r="C178" s="50">
        <v>13</v>
      </c>
      <c r="D178" s="50">
        <v>9</v>
      </c>
      <c r="E178" s="51">
        <v>0.89</v>
      </c>
      <c r="F178" s="51">
        <v>0.11</v>
      </c>
      <c r="G178" s="51">
        <v>0</v>
      </c>
      <c r="H178" s="51">
        <v>0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80</v>
      </c>
      <c r="B179" s="50">
        <v>275</v>
      </c>
      <c r="C179" s="50">
        <v>14</v>
      </c>
      <c r="D179" s="50">
        <v>8</v>
      </c>
      <c r="E179" s="51">
        <v>0.88</v>
      </c>
      <c r="F179" s="51">
        <v>0.13</v>
      </c>
      <c r="G179" s="51">
        <v>0</v>
      </c>
      <c r="H179" s="51">
        <v>0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>Aulne glutineux</v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10</v>
      </c>
      <c r="B192" s="60">
        <v>9</v>
      </c>
      <c r="C192" s="60">
        <v>1</v>
      </c>
      <c r="D192" s="60">
        <v>1</v>
      </c>
      <c r="E192" s="51">
        <v>0</v>
      </c>
      <c r="F192" s="51">
        <v>0.1</v>
      </c>
      <c r="G192" s="51">
        <v>0.3</v>
      </c>
      <c r="H192" s="51">
        <v>0.6</v>
      </c>
      <c r="I192" s="49">
        <f>IFERROR(B192/A192,"")</f>
        <v>0.9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15</v>
      </c>
      <c r="B193" s="60">
        <v>36</v>
      </c>
      <c r="C193" s="60">
        <v>2</v>
      </c>
      <c r="D193" s="60">
        <v>3</v>
      </c>
      <c r="E193" s="51">
        <v>0</v>
      </c>
      <c r="F193" s="51">
        <v>0.1</v>
      </c>
      <c r="G193" s="51">
        <v>0.3</v>
      </c>
      <c r="H193" s="51">
        <v>0.6</v>
      </c>
      <c r="I193" s="49">
        <f t="shared" ref="I193:I211" si="7">IF(A193&lt;&gt;0,(B193-(B192-D192))/(A193-A192),"")</f>
        <v>5.6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20</v>
      </c>
      <c r="B194" s="60">
        <v>84</v>
      </c>
      <c r="C194" s="60">
        <v>3</v>
      </c>
      <c r="D194" s="60">
        <v>9</v>
      </c>
      <c r="E194" s="51">
        <v>0</v>
      </c>
      <c r="F194" s="51">
        <v>0.1</v>
      </c>
      <c r="G194" s="51">
        <v>0.3</v>
      </c>
      <c r="H194" s="51">
        <v>0.6</v>
      </c>
      <c r="I194" s="49">
        <f t="shared" si="7"/>
        <v>10.199999999999999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25</v>
      </c>
      <c r="B195" s="60">
        <v>116</v>
      </c>
      <c r="C195" s="60">
        <v>4</v>
      </c>
      <c r="D195" s="60">
        <v>18</v>
      </c>
      <c r="E195" s="51">
        <v>0</v>
      </c>
      <c r="F195" s="51">
        <v>0.1</v>
      </c>
      <c r="G195" s="51">
        <v>0.3</v>
      </c>
      <c r="H195" s="51">
        <v>0.6</v>
      </c>
      <c r="I195" s="49">
        <f t="shared" si="7"/>
        <v>8.1999999999999993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30</v>
      </c>
      <c r="B196" s="60">
        <v>137</v>
      </c>
      <c r="C196" s="60">
        <v>5</v>
      </c>
      <c r="D196" s="60">
        <v>20</v>
      </c>
      <c r="E196" s="51">
        <v>0</v>
      </c>
      <c r="F196" s="51">
        <v>0.1</v>
      </c>
      <c r="G196" s="51">
        <v>0.3</v>
      </c>
      <c r="H196" s="51">
        <v>0.6</v>
      </c>
      <c r="I196" s="49">
        <f t="shared" si="7"/>
        <v>7.8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35</v>
      </c>
      <c r="B197" s="60">
        <v>153</v>
      </c>
      <c r="C197" s="60">
        <v>6</v>
      </c>
      <c r="D197" s="60">
        <v>21</v>
      </c>
      <c r="E197" s="51">
        <v>0</v>
      </c>
      <c r="F197" s="51">
        <v>0.1</v>
      </c>
      <c r="G197" s="51">
        <v>0.3</v>
      </c>
      <c r="H197" s="51">
        <v>0.6</v>
      </c>
      <c r="I197" s="49">
        <f t="shared" si="7"/>
        <v>7.2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40</v>
      </c>
      <c r="B198" s="60">
        <v>167</v>
      </c>
      <c r="C198" s="60">
        <v>7</v>
      </c>
      <c r="D198" s="60">
        <v>22</v>
      </c>
      <c r="E198" s="51">
        <v>0</v>
      </c>
      <c r="F198" s="51">
        <v>0.1</v>
      </c>
      <c r="G198" s="51">
        <v>0.3</v>
      </c>
      <c r="H198" s="51">
        <v>0.6</v>
      </c>
      <c r="I198" s="49">
        <f t="shared" si="7"/>
        <v>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45</v>
      </c>
      <c r="B199" s="50">
        <v>177</v>
      </c>
      <c r="C199" s="50">
        <v>8</v>
      </c>
      <c r="D199" s="50">
        <v>22</v>
      </c>
      <c r="E199" s="51">
        <v>0</v>
      </c>
      <c r="F199" s="51">
        <v>0.1</v>
      </c>
      <c r="G199" s="51">
        <v>0.3</v>
      </c>
      <c r="H199" s="51">
        <v>0.6</v>
      </c>
      <c r="I199" s="49">
        <f t="shared" si="7"/>
        <v>6.4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50</v>
      </c>
      <c r="B200" s="50">
        <v>184</v>
      </c>
      <c r="C200" s="50">
        <v>9</v>
      </c>
      <c r="D200" s="50">
        <v>21</v>
      </c>
      <c r="E200" s="51">
        <v>0</v>
      </c>
      <c r="F200" s="51">
        <v>0.3</v>
      </c>
      <c r="G200" s="51">
        <v>0.3</v>
      </c>
      <c r="H200" s="51">
        <v>0.4</v>
      </c>
      <c r="I200" s="49">
        <f t="shared" si="7"/>
        <v>5.8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55</v>
      </c>
      <c r="B201" s="50">
        <v>191</v>
      </c>
      <c r="C201" s="50">
        <v>10</v>
      </c>
      <c r="D201" s="50">
        <v>20</v>
      </c>
      <c r="E201" s="51">
        <v>0</v>
      </c>
      <c r="F201" s="51">
        <v>0.3</v>
      </c>
      <c r="G201" s="51">
        <v>0.3</v>
      </c>
      <c r="H201" s="51">
        <v>0.4</v>
      </c>
      <c r="I201" s="49">
        <f t="shared" si="7"/>
        <v>5.6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60</v>
      </c>
      <c r="B202" s="50">
        <v>196</v>
      </c>
      <c r="C202" s="50">
        <v>11</v>
      </c>
      <c r="D202" s="50">
        <v>19</v>
      </c>
      <c r="E202" s="51">
        <v>0</v>
      </c>
      <c r="F202" s="51">
        <v>0.3</v>
      </c>
      <c r="G202" s="51">
        <v>0.3</v>
      </c>
      <c r="H202" s="51">
        <v>0.4</v>
      </c>
      <c r="I202" s="49">
        <f t="shared" si="7"/>
        <v>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65</v>
      </c>
      <c r="B203" s="50">
        <v>201</v>
      </c>
      <c r="C203" s="50">
        <v>12</v>
      </c>
      <c r="D203" s="50">
        <v>18</v>
      </c>
      <c r="E203" s="51">
        <v>0</v>
      </c>
      <c r="F203" s="51">
        <v>0.3</v>
      </c>
      <c r="G203" s="51">
        <v>0.3</v>
      </c>
      <c r="H203" s="51">
        <v>0.4</v>
      </c>
      <c r="I203" s="49">
        <f t="shared" si="7"/>
        <v>4.8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70</v>
      </c>
      <c r="B204" s="50">
        <v>205</v>
      </c>
      <c r="C204" s="50">
        <v>13</v>
      </c>
      <c r="D204" s="50">
        <v>17</v>
      </c>
      <c r="E204" s="51">
        <v>0.1</v>
      </c>
      <c r="F204" s="51">
        <v>0.4</v>
      </c>
      <c r="G204" s="51">
        <v>0.3</v>
      </c>
      <c r="H204" s="51">
        <v>0.2</v>
      </c>
      <c r="I204" s="49">
        <f t="shared" si="7"/>
        <v>4.4000000000000004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75</v>
      </c>
      <c r="B205" s="50">
        <v>208</v>
      </c>
      <c r="C205" s="50">
        <v>14</v>
      </c>
      <c r="D205" s="50">
        <v>16</v>
      </c>
      <c r="E205" s="51">
        <v>0.1</v>
      </c>
      <c r="F205" s="51">
        <v>0.4</v>
      </c>
      <c r="G205" s="51">
        <v>0.3</v>
      </c>
      <c r="H205" s="51">
        <v>0.2</v>
      </c>
      <c r="I205" s="49">
        <f t="shared" si="7"/>
        <v>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80</v>
      </c>
      <c r="B206" s="50">
        <v>211</v>
      </c>
      <c r="C206" s="50">
        <v>15</v>
      </c>
      <c r="D206" s="50">
        <v>15</v>
      </c>
      <c r="E206" s="51">
        <v>0.1</v>
      </c>
      <c r="F206" s="51">
        <v>0.4</v>
      </c>
      <c r="G206" s="51">
        <v>0.3</v>
      </c>
      <c r="H206" s="51">
        <v>0.2</v>
      </c>
      <c r="I206" s="49">
        <f t="shared" si="7"/>
        <v>3.8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>
        <v>85</v>
      </c>
      <c r="B207" s="50">
        <v>214</v>
      </c>
      <c r="C207" s="50">
        <v>16</v>
      </c>
      <c r="D207" s="50">
        <v>14</v>
      </c>
      <c r="E207" s="51">
        <v>0.1</v>
      </c>
      <c r="F207" s="51">
        <v>0.4</v>
      </c>
      <c r="G207" s="51">
        <v>0.3</v>
      </c>
      <c r="H207" s="51">
        <v>0.2</v>
      </c>
      <c r="I207" s="49">
        <f t="shared" si="7"/>
        <v>3.6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>
        <v>90</v>
      </c>
      <c r="B208" s="50">
        <v>217</v>
      </c>
      <c r="C208" s="50">
        <v>17</v>
      </c>
      <c r="D208" s="50">
        <v>13</v>
      </c>
      <c r="E208" s="51">
        <v>0.1</v>
      </c>
      <c r="F208" s="51">
        <v>0.4</v>
      </c>
      <c r="G208" s="51">
        <v>0.3</v>
      </c>
      <c r="H208" s="51">
        <v>0.2</v>
      </c>
      <c r="I208" s="49">
        <f t="shared" si="7"/>
        <v>3.4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>Bouleau verruqueux</v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15</v>
      </c>
      <c r="B218" s="60">
        <v>42</v>
      </c>
      <c r="C218" s="50" t="s">
        <v>324</v>
      </c>
      <c r="D218" s="60">
        <v>0</v>
      </c>
      <c r="E218" s="63">
        <v>0</v>
      </c>
      <c r="F218" s="63">
        <v>0</v>
      </c>
      <c r="G218" s="63">
        <v>0</v>
      </c>
      <c r="H218" s="63">
        <v>0</v>
      </c>
      <c r="I218" s="53">
        <f>IFERROR(B218/A218,"")</f>
        <v>2.8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20</v>
      </c>
      <c r="B219" s="60">
        <v>69</v>
      </c>
      <c r="C219" s="50">
        <v>1</v>
      </c>
      <c r="D219" s="60">
        <v>15</v>
      </c>
      <c r="E219" s="63">
        <v>0</v>
      </c>
      <c r="F219" s="63">
        <v>0</v>
      </c>
      <c r="G219" s="63">
        <v>0.3</v>
      </c>
      <c r="H219" s="63">
        <v>0.7</v>
      </c>
      <c r="I219" s="53">
        <f t="shared" ref="I219:I237" si="8">IF(A219&lt;&gt;0,(B219-(B218-D218))/(A219-A218),"")</f>
        <v>5.4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25</v>
      </c>
      <c r="B220" s="60">
        <v>83</v>
      </c>
      <c r="C220" s="50">
        <v>2</v>
      </c>
      <c r="D220" s="60">
        <v>10</v>
      </c>
      <c r="E220" s="63">
        <v>0</v>
      </c>
      <c r="F220" s="63">
        <v>0.1</v>
      </c>
      <c r="G220" s="63">
        <v>0.3</v>
      </c>
      <c r="H220" s="63">
        <v>0.6</v>
      </c>
      <c r="I220" s="53">
        <f t="shared" si="8"/>
        <v>5.8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30</v>
      </c>
      <c r="B221" s="55">
        <v>103</v>
      </c>
      <c r="C221" s="55">
        <v>3</v>
      </c>
      <c r="D221" s="55">
        <v>11</v>
      </c>
      <c r="E221" s="63">
        <v>0</v>
      </c>
      <c r="F221" s="63">
        <v>0.1</v>
      </c>
      <c r="G221" s="63">
        <v>0.3</v>
      </c>
      <c r="H221" s="63">
        <v>0.6</v>
      </c>
      <c r="I221" s="53">
        <f t="shared" si="8"/>
        <v>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35</v>
      </c>
      <c r="B222" s="55">
        <v>121</v>
      </c>
      <c r="C222" s="55">
        <v>4</v>
      </c>
      <c r="D222" s="55">
        <v>12</v>
      </c>
      <c r="E222" s="63">
        <v>0</v>
      </c>
      <c r="F222" s="63">
        <v>0.1</v>
      </c>
      <c r="G222" s="63">
        <v>0.3</v>
      </c>
      <c r="H222" s="63">
        <v>0.6</v>
      </c>
      <c r="I222" s="53">
        <f t="shared" si="8"/>
        <v>5.8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40</v>
      </c>
      <c r="B223" s="55">
        <v>139</v>
      </c>
      <c r="C223" s="55">
        <v>5</v>
      </c>
      <c r="D223" s="55">
        <v>13</v>
      </c>
      <c r="E223" s="63">
        <v>0</v>
      </c>
      <c r="F223" s="63">
        <v>0.1</v>
      </c>
      <c r="G223" s="63">
        <v>0.3</v>
      </c>
      <c r="H223" s="63">
        <v>0.6</v>
      </c>
      <c r="I223" s="53">
        <f t="shared" si="8"/>
        <v>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45</v>
      </c>
      <c r="B224" s="55">
        <v>156</v>
      </c>
      <c r="C224" s="55">
        <v>6</v>
      </c>
      <c r="D224" s="55">
        <v>14</v>
      </c>
      <c r="E224" s="63">
        <v>0</v>
      </c>
      <c r="F224" s="63">
        <v>0.3</v>
      </c>
      <c r="G224" s="63">
        <v>0.3</v>
      </c>
      <c r="H224" s="63">
        <v>0.4</v>
      </c>
      <c r="I224" s="53">
        <f t="shared" si="8"/>
        <v>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50</v>
      </c>
      <c r="B225" s="55">
        <v>171</v>
      </c>
      <c r="C225" s="55">
        <v>7</v>
      </c>
      <c r="D225" s="55">
        <v>14</v>
      </c>
      <c r="E225" s="63">
        <v>0</v>
      </c>
      <c r="F225" s="63">
        <v>0.3</v>
      </c>
      <c r="G225" s="63">
        <v>0.3</v>
      </c>
      <c r="H225" s="63">
        <v>0.4</v>
      </c>
      <c r="I225" s="53">
        <f t="shared" si="8"/>
        <v>5.8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55</v>
      </c>
      <c r="B226" s="55">
        <v>184</v>
      </c>
      <c r="C226" s="55">
        <v>8</v>
      </c>
      <c r="D226" s="55">
        <v>14</v>
      </c>
      <c r="E226" s="63">
        <v>0</v>
      </c>
      <c r="F226" s="63">
        <v>0.3</v>
      </c>
      <c r="G226" s="63">
        <v>0.3</v>
      </c>
      <c r="H226" s="63">
        <v>0.4</v>
      </c>
      <c r="I226" s="53">
        <f t="shared" si="8"/>
        <v>5.4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60</v>
      </c>
      <c r="B227" s="55">
        <v>197</v>
      </c>
      <c r="C227" s="55">
        <v>9</v>
      </c>
      <c r="D227" s="55">
        <v>14</v>
      </c>
      <c r="E227" s="63">
        <v>0</v>
      </c>
      <c r="F227" s="63">
        <v>0.3</v>
      </c>
      <c r="G227" s="63">
        <v>0.3</v>
      </c>
      <c r="H227" s="63">
        <v>0.4</v>
      </c>
      <c r="I227" s="53">
        <f t="shared" si="8"/>
        <v>5.4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65</v>
      </c>
      <c r="B228" s="55">
        <v>208</v>
      </c>
      <c r="C228" s="55">
        <v>10</v>
      </c>
      <c r="D228" s="55">
        <v>14</v>
      </c>
      <c r="E228" s="63">
        <v>0.1</v>
      </c>
      <c r="F228" s="63">
        <v>0.4</v>
      </c>
      <c r="G228" s="63">
        <v>0.3</v>
      </c>
      <c r="H228" s="63">
        <v>0.2</v>
      </c>
      <c r="I228" s="53">
        <f t="shared" si="8"/>
        <v>5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70</v>
      </c>
      <c r="B229" s="55">
        <v>218</v>
      </c>
      <c r="C229" s="55">
        <v>11</v>
      </c>
      <c r="D229" s="55">
        <v>14</v>
      </c>
      <c r="E229" s="63">
        <v>0.1</v>
      </c>
      <c r="F229" s="63">
        <v>0.4</v>
      </c>
      <c r="G229" s="63">
        <v>0.3</v>
      </c>
      <c r="H229" s="63">
        <v>0.2</v>
      </c>
      <c r="I229" s="53">
        <f t="shared" si="8"/>
        <v>4.8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75</v>
      </c>
      <c r="B230" s="55">
        <v>227</v>
      </c>
      <c r="C230" s="55">
        <v>12</v>
      </c>
      <c r="D230" s="55">
        <v>14</v>
      </c>
      <c r="E230" s="64">
        <v>0.1</v>
      </c>
      <c r="F230" s="64">
        <v>0.4</v>
      </c>
      <c r="G230" s="64">
        <v>0.3</v>
      </c>
      <c r="H230" s="64">
        <v>0.2</v>
      </c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>
        <v>80</v>
      </c>
      <c r="B231" s="60">
        <v>234</v>
      </c>
      <c r="C231" s="88">
        <v>13</v>
      </c>
      <c r="D231" s="60">
        <v>13</v>
      </c>
      <c r="E231" s="54">
        <v>0.2</v>
      </c>
      <c r="F231" s="54">
        <v>0.5</v>
      </c>
      <c r="G231" s="54">
        <v>0.2</v>
      </c>
      <c r="H231" s="54">
        <v>0.1</v>
      </c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85</v>
      </c>
      <c r="B232" s="50">
        <v>241</v>
      </c>
      <c r="C232" s="50">
        <v>14</v>
      </c>
      <c r="D232" s="50">
        <v>13</v>
      </c>
      <c r="E232" s="54">
        <v>0.2</v>
      </c>
      <c r="F232" s="54">
        <v>0.5</v>
      </c>
      <c r="G232" s="54">
        <v>0.2</v>
      </c>
      <c r="H232" s="54">
        <v>0.1</v>
      </c>
      <c r="I232" s="53">
        <f t="shared" si="8"/>
        <v>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>
        <v>90</v>
      </c>
      <c r="B233" s="50">
        <v>246</v>
      </c>
      <c r="C233" s="50">
        <v>15</v>
      </c>
      <c r="D233" s="50">
        <v>12</v>
      </c>
      <c r="E233" s="54">
        <v>0.4</v>
      </c>
      <c r="F233" s="54">
        <v>0.4</v>
      </c>
      <c r="G233" s="54">
        <v>0.1</v>
      </c>
      <c r="H233" s="54">
        <v>0.1</v>
      </c>
      <c r="I233" s="53">
        <f t="shared" si="8"/>
        <v>3.6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F13" sqref="F1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plane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Aulne glutineux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Bouleau verruqueux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384.05928630855732</v>
      </c>
      <c r="T3" s="59">
        <f>IF('Données projet'!E9&gt;30,$R$33-$H$33,LOOKUP('Données projet'!$E$9,$A$3:$A$203,R3:R203)-LOOKUP('Données projet'!$E$9,$A$3:$A$203,$H$3:$H$203))</f>
        <v>279.93992813630513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366.69125512029831</v>
      </c>
      <c r="AO3" s="59">
        <f>IF('Données projet'!E10&gt;30,$AM$33-$H$33,LOOKUP('Données projet'!$E$10,$A$3:$A$203,AM3:AM203)-LOOKUP('Données projet'!$E$10,$A$3:$A$203,$H$3:$H$203))</f>
        <v>513.80016421153414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354.24684313982857</v>
      </c>
      <c r="BJ3" s="59">
        <f>IF('Données projet'!E11&gt;30,$BH$33-$H$33,LOOKUP('Données projet'!$E$11,$A$3:$A$203,BH3:BH203)-LOOKUP('Données projet'!$E$11,$A$3:$A$203,$H$3:$H$203))</f>
        <v>322.65043486962185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407.73540492005355</v>
      </c>
      <c r="CE3" s="59">
        <f>IF('Données projet'!E12&gt;30,$CC$33-$H$33,LOOKUP('Données projet'!$E$12,$A$3:$A$203,CC3:CC203)-LOOKUP('Données projet'!$E$12,$A$3:$A$203,$H$3:$H$203))</f>
        <v>296.29416764204774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299.10536994156814</v>
      </c>
      <c r="CZ3" s="59">
        <f>IF('Données projet'!E13&gt;30,$CX$33-$H$33,LOOKUP('Données projet'!$E$13,$A$3:$A$203,CX3:CX203)-LOOKUP('Données projet'!$E$13,$A$3:$A$203,$H$3:$H$203))</f>
        <v>292.57799203101769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299.10536994156814</v>
      </c>
      <c r="DU3" s="59">
        <f>IF('Données projet'!E14&gt;30,$DS$33-$H$33,LOOKUP('Données projet'!$E$14,$A$3:$A$203,DS3:DS203)-LOOKUP('Données projet'!$E$14,$A$3:$A$203,$H$3:$H$203))</f>
        <v>292.57799203101769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230.58262378842818</v>
      </c>
      <c r="EP3" s="59">
        <f>IF('Données projet'!E15&gt;30,$EN$33-$H$33,LOOKUP('Données projet'!$E$15,$A$3:$A$203,EN3:EN203)-LOOKUP('Données projet'!$E$15,$A$3:$A$203,$H$3:$H$203))</f>
        <v>235.68746142880792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272.90535195666996</v>
      </c>
      <c r="FK3" s="59">
        <f>IF('Données projet'!E16&gt;30,$FI$33-$H$33,LOOKUP('Données projet'!$E$16,$A$3:$A$203,FI3:FI203)-LOOKUP('Données projet'!$E$16,$A$3:$A$203,$H$3:$H$203))</f>
        <v>222.25422164416898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260.58474675614167</v>
      </c>
      <c r="S4" s="59">
        <f ca="1">AVERAGE(OFFSET($R$3,0,0,'Données projet'!$E$9+1,1))-AVERAGE(OFFSET($H$3,0,0,'Données projet'!$E$9+1,1))</f>
        <v>384.05928630855732</v>
      </c>
      <c r="T4" s="59">
        <f>$T$3</f>
        <v>279.93992813630513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6.8</v>
      </c>
      <c r="AI4" s="13">
        <f>IF('Données projet'!$A$62&gt;35,AI3+AH4-AQ3,IF(A4&lt;'Données projet'!$A$62,$AF$205^A4,IF(A4='Données projet'!$A$62,'Données projet'!$B$62,AI3+AH4-AQ3)))</f>
        <v>2.0243974584998852</v>
      </c>
      <c r="AJ4" s="13">
        <f>AI4*VLOOKUP('Données projet'!$B$10,Paramètres!$A$1:$I$89,3,0)*VLOOKUP('Données projet'!$B$10,Paramètres!$A$1:$I$89,5,0)</f>
        <v>1.8316748204506961</v>
      </c>
      <c r="AK4" s="13">
        <f>EXP(-1.0587+0.8836*LN(AJ4)+0.284)</f>
        <v>0.78669228172688432</v>
      </c>
      <c r="AL4" s="20">
        <f t="shared" ref="AL4:AL67" si="4">(AJ4+AK4)*0.475*44/12</f>
        <v>4.5603227029592857</v>
      </c>
      <c r="AM4" s="59">
        <f t="shared" ref="AM4:AM67" si="5">AL4+(AD4+AE4)*44/12</f>
        <v>262.44921159184815</v>
      </c>
      <c r="AN4" s="59">
        <f ca="1">AVERAGE(OFFSET($AM$3,0,0,'Données projet'!$E$10+1,1))-AVERAGE(OFFSET($H$3,0,0,'Données projet'!$E$10+1,1))</f>
        <v>366.69125512029831</v>
      </c>
      <c r="AO4" s="59">
        <f>$AO$3</f>
        <v>513.80016421153414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1.2233547854161635</v>
      </c>
      <c r="BF4" s="13">
        <f>EXP(-1.0587+0.8836*LN(BE4)+0.284)</f>
        <v>0.55069785861405296</v>
      </c>
      <c r="BG4" s="20">
        <f t="shared" ref="BG4:BG67" si="7">(BE4+BF4)*0.475*44/12</f>
        <v>3.0898083550192936</v>
      </c>
      <c r="BH4" s="59">
        <f t="shared" ref="BH4:BH67" si="8">BG4+(AY4+AZ4)*44/12</f>
        <v>260.97869724390813</v>
      </c>
      <c r="BI4" s="59">
        <f ca="1">AVERAGE(OFFSET($BH$3,0,0,'Données projet'!$E$11+1,1))-AVERAGE(OFFSET($H$3,0,0,'Données projet'!$E$11+1,1))</f>
        <v>354.24684313982857</v>
      </c>
      <c r="BJ4" s="59">
        <f>$BJ$3</f>
        <v>322.65043486962185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4.0628205128205126</v>
      </c>
      <c r="BY4" s="12">
        <f>IF('Données projet'!$A$114&gt;35,BY3+BX4-CG3,IF(A4&lt;'Données projet'!$A$114,$BV$205^A4,IF(A4='Données projet'!$A$114,'Données projet'!$B$114,BY3+BX4-CG3)))</f>
        <v>1.1736311550444201</v>
      </c>
      <c r="BZ4" s="13">
        <f>BY4*VLOOKUP('Données projet'!$B$12,Paramètres!$A$1:$I$89,3,0)*VLOOKUP('Données projet'!$B$12,Paramètres!$A$1:$I$89,5,0)</f>
        <v>1.1351360531589632</v>
      </c>
      <c r="CA4" s="13">
        <f>EXP(-1.0587+0.8836*LN(BZ4)+0.284)</f>
        <v>0.51545695611720688</v>
      </c>
      <c r="CB4" s="20">
        <f t="shared" ref="CB4:CB67" si="10">(BZ4+CA4)*0.475*44/12</f>
        <v>2.8747828244893294</v>
      </c>
      <c r="CC4" s="59">
        <f t="shared" ref="CC4:CC67" si="11">CB4+(BT4+BU4)*44/12</f>
        <v>260.76367171337819</v>
      </c>
      <c r="CD4" s="59">
        <f ca="1">AVERAGE(OFFSET($CC$3,0,0,'Données projet'!$E$12+1,1))-AVERAGE(OFFSET($H$3,0,0,'Données projet'!$E$12+1,1))</f>
        <v>407.73540492005355</v>
      </c>
      <c r="CE4" s="59">
        <f>$CE$3</f>
        <v>296.29416764204774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1.0121422546683387</v>
      </c>
      <c r="CV4" s="13">
        <f>EXP(-1.0587+0.8836*LN(CU4)+0.284)</f>
        <v>0.46578286063395047</v>
      </c>
      <c r="CW4" s="20">
        <f t="shared" ref="CW4:CW67" si="13">(CU4+CV4)*0.475*44/12</f>
        <v>2.574052909151487</v>
      </c>
      <c r="CX4" s="59">
        <f t="shared" ref="CX4:CX67" si="14">CW4+(CO4+CP4)*44/12</f>
        <v>260.46294179804033</v>
      </c>
      <c r="CY4" s="59">
        <f ca="1">AVERAGE(OFFSET($CX$3,0,0,'Données projet'!$E$13+1,1))-AVERAGE(OFFSET($H$3,0,0,'Données projet'!$E$13+1,1))</f>
        <v>299.10536994156814</v>
      </c>
      <c r="CZ4" s="59">
        <f>$CZ$3</f>
        <v>292.57799203101769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1.0121422546683387</v>
      </c>
      <c r="DQ4" s="13">
        <f>EXP(-1.0587+0.8836*LN(DP4)+0.284)</f>
        <v>0.46578286063395047</v>
      </c>
      <c r="DR4" s="20">
        <f t="shared" ref="DR4:DR67" si="16">(DP4+DQ4)*0.475*44/12</f>
        <v>2.574052909151487</v>
      </c>
      <c r="DS4" s="59">
        <f t="shared" ref="DS4:DS67" si="17">DR4+(DJ4+DK4)*44/12</f>
        <v>260.46294179804033</v>
      </c>
      <c r="DT4" s="59">
        <f ca="1">AVERAGE(OFFSET($DS$3,0,0,'Données projet'!$E$14+1,1))-AVERAGE(OFFSET($H$3,0,0,'Données projet'!$E$14+1,1))</f>
        <v>299.10536994156814</v>
      </c>
      <c r="DU4" s="59">
        <f>$DU$3</f>
        <v>292.57799203101769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0.9</v>
      </c>
      <c r="EJ4" s="12">
        <f>IF('Données projet'!$A$192&gt;35,EJ3+EI4-ER3,IF(A4&lt;'Données projet'!$A$192,$EG$205^A4,IF(A4='Données projet'!$A$192,'Données projet'!$B$192,EJ3+EI4-ER3)))</f>
        <v>1.2457309396155174</v>
      </c>
      <c r="EK4" s="17">
        <f>EJ4*VLOOKUP('Données projet'!$B$15,Paramètres!$A$1:$I$89,3,0)*VLOOKUP('Données projet'!$B$15,Paramètres!$A$1:$I$89,5,0)</f>
        <v>0.81620291163608694</v>
      </c>
      <c r="EL4" s="13">
        <f>EXP(-1.0587+0.8836*LN(EK4)+0.284)</f>
        <v>0.38513847027569503</v>
      </c>
      <c r="EM4" s="20">
        <f t="shared" ref="EM4:EM67" si="19">(EK4+EL4)*0.475*44/12</f>
        <v>2.0923362401630201</v>
      </c>
      <c r="EN4" s="59">
        <f t="shared" ref="EN4:EN67" si="20">EM4+(EE4+EF4)*44/12</f>
        <v>259.98122512905189</v>
      </c>
      <c r="EO4" s="59">
        <f ca="1">AVERAGE(OFFSET($EN$3,0,0,'Données projet'!$E$15+1,1))-AVERAGE(OFFSET($H$3,0,0,'Données projet'!$E$15+1,1))</f>
        <v>230.58262378842818</v>
      </c>
      <c r="EP4" s="59">
        <f>$EP$3</f>
        <v>235.68746142880792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2.8</v>
      </c>
      <c r="FE4" s="12">
        <f>IF('Données projet'!$A$218&gt;35,FE3+FD4-FM3,IF(A4&lt;'Données projet'!$A$218,$FB$205^A4,IF(A4='Données projet'!$A$218,'Données projet'!$B$218,FE3+FD4-FM3)))</f>
        <v>1.282970348825361</v>
      </c>
      <c r="FF4" s="17">
        <f>FE4*VLOOKUP('Données projet'!$B$16,Paramètres!$A$1:$I$89,3,0)*VLOOKUP('Données projet'!$B$16,Paramètres!$A$1:$I$89,5,0)</f>
        <v>1.040745546967133</v>
      </c>
      <c r="FG4" s="13">
        <f>EXP(-1.0587+0.8836*LN(FF4)+0.284)</f>
        <v>0.47739483859767334</v>
      </c>
      <c r="FH4" s="20">
        <f t="shared" ref="FH4:FH67" si="22">(FF4+FG4)*0.475*44/12</f>
        <v>2.6440945048587046</v>
      </c>
      <c r="FI4" s="59">
        <f t="shared" ref="FI4:FI67" si="23">FH4+(EZ4+FA4)*44/12</f>
        <v>260.53298339374754</v>
      </c>
      <c r="FJ4" s="59">
        <f ca="1">AVERAGE(OFFSET($FI$3,0,0,'Données projet'!$E$16+1,1))-AVERAGE(OFFSET($H$3,0,0,'Données projet'!$E$16+1,1))</f>
        <v>272.90535195666996</v>
      </c>
      <c r="FK4" s="59">
        <f>$FK$3</f>
        <v>222.25422164416898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262.25671355404057</v>
      </c>
      <c r="S5" s="59">
        <f ca="1">AVERAGE(OFFSET($R$3,0,0,'Données projet'!$E$9+1,1))-AVERAGE(OFFSET($H$3,0,0,'Données projet'!$E$9+1,1))</f>
        <v>384.05928630855732</v>
      </c>
      <c r="T5" s="59">
        <f t="shared" ref="T5:T68" si="34">$T$3</f>
        <v>279.93992813630513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6.8</v>
      </c>
      <c r="AI5" s="13">
        <f>IF('Données projet'!$A$62&gt;35,AI4+AH5-AQ4,IF(A5&lt;'Données projet'!$A$62,$AF$205^A5,IF(A5='Données projet'!$A$62,'Données projet'!$B$62,AI4+AH5-AQ4)))</f>
        <v>4.0981850699807945</v>
      </c>
      <c r="AJ5" s="13">
        <f>AI5*VLOOKUP('Données projet'!$B$10,Paramètres!$A$1:$I$89,3,0)*VLOOKUP('Données projet'!$B$10,Paramètres!$A$1:$I$89,5,0)</f>
        <v>3.7080378513186227</v>
      </c>
      <c r="AK5" s="13">
        <f t="shared" ref="AK5:AK68" si="35">EXP(-1.0587+0.8836*LN(AJ5)+0.284)</f>
        <v>1.4670598901857457</v>
      </c>
      <c r="AL5" s="20">
        <f t="shared" si="4"/>
        <v>9.0132952331201093</v>
      </c>
      <c r="AM5" s="59">
        <f t="shared" si="5"/>
        <v>268.12440634423126</v>
      </c>
      <c r="AN5" s="59">
        <f ca="1">AVERAGE(OFFSET($AM$3,0,0,'Données projet'!$E$10+1,1))-AVERAGE(OFFSET($H$3,0,0,'Données projet'!$E$10+1,1))</f>
        <v>366.69125512029831</v>
      </c>
      <c r="AO5" s="59">
        <f t="shared" ref="AO5:AO68" si="36">$AO$3</f>
        <v>513.80016421153414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1.7131375125922934</v>
      </c>
      <c r="BF5" s="13">
        <f t="shared" ref="BF5:BF68" si="37">EXP(-1.0587+0.8836*LN(BE5)+0.284)</f>
        <v>0.74153366912094132</v>
      </c>
      <c r="BG5" s="20">
        <f t="shared" si="7"/>
        <v>4.2752189748172169</v>
      </c>
      <c r="BH5" s="59">
        <f t="shared" si="8"/>
        <v>263.38633008592836</v>
      </c>
      <c r="BI5" s="59">
        <f ca="1">AVERAGE(OFFSET($BH$3,0,0,'Données projet'!$E$11+1,1))-AVERAGE(OFFSET($H$3,0,0,'Données projet'!$E$11+1,1))</f>
        <v>354.24684313982857</v>
      </c>
      <c r="BJ5" s="59">
        <f t="shared" ref="BJ5:BJ68" si="38">$BJ$3</f>
        <v>322.65043486962185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4.0628205128205126</v>
      </c>
      <c r="BY5" s="12">
        <f>IF('Données projet'!$A$114&gt;35,BY4+BX5-CG4,IF(A5&lt;'Données projet'!$A$114,$BV$205^A5,IF(A5='Données projet'!$A$114,'Données projet'!$B$114,BY4+BX5-CG4)))</f>
        <v>1.3774100880908995</v>
      </c>
      <c r="BZ5" s="13">
        <f>BY5*VLOOKUP('Données projet'!$B$12,Paramètres!$A$1:$I$89,3,0)*VLOOKUP('Données projet'!$B$12,Paramètres!$A$1:$I$89,5,0)</f>
        <v>1.332231037201518</v>
      </c>
      <c r="CA5" s="13">
        <f t="shared" ref="CA5:CA68" si="39">EXP(-1.0587+0.8836*LN(BZ5)+0.284)</f>
        <v>0.59378681903386776</v>
      </c>
      <c r="CB5" s="20">
        <f t="shared" si="10"/>
        <v>3.3544810996099632</v>
      </c>
      <c r="CC5" s="59">
        <f t="shared" si="11"/>
        <v>262.46559221072113</v>
      </c>
      <c r="CD5" s="59">
        <f ca="1">AVERAGE(OFFSET($CC$3,0,0,'Données projet'!$E$12+1,1))-AVERAGE(OFFSET($H$3,0,0,'Données projet'!$E$12+1,1))</f>
        <v>407.73540492005355</v>
      </c>
      <c r="CE5" s="59">
        <f t="shared" ref="CE5:CE68" si="40">$CE$3</f>
        <v>296.29416764204774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1.2876218497801761</v>
      </c>
      <c r="CV5" s="13">
        <f t="shared" ref="CV5:CV68" si="41">EXP(-1.0587+0.8836*LN(CU5)+0.284)</f>
        <v>0.57618379541883336</v>
      </c>
      <c r="CW5" s="20">
        <f t="shared" si="13"/>
        <v>3.2461281653882743</v>
      </c>
      <c r="CX5" s="59">
        <f t="shared" si="14"/>
        <v>262.3572392764994</v>
      </c>
      <c r="CY5" s="59">
        <f ca="1">AVERAGE(OFFSET($CX$3,0,0,'Données projet'!$E$13+1,1))-AVERAGE(OFFSET($H$3,0,0,'Données projet'!$E$13+1,1))</f>
        <v>299.10536994156814</v>
      </c>
      <c r="CZ5" s="59">
        <f t="shared" ref="CZ5:CZ68" si="42">$CZ$3</f>
        <v>292.57799203101769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1.2876218497801761</v>
      </c>
      <c r="DQ5" s="13">
        <f t="shared" ref="DQ5:DQ68" si="43">EXP(-1.0587+0.8836*LN(DP5)+0.284)</f>
        <v>0.57618379541883336</v>
      </c>
      <c r="DR5" s="20">
        <f t="shared" si="16"/>
        <v>3.2461281653882743</v>
      </c>
      <c r="DS5" s="59">
        <f t="shared" si="17"/>
        <v>262.3572392764994</v>
      </c>
      <c r="DT5" s="59">
        <f ca="1">AVERAGE(OFFSET($DS$3,0,0,'Données projet'!$E$14+1,1))-AVERAGE(OFFSET($H$3,0,0,'Données projet'!$E$14+1,1))</f>
        <v>299.10536994156814</v>
      </c>
      <c r="DU5" s="59">
        <f t="shared" ref="DU5:DU68" si="44">$DU$3</f>
        <v>292.57799203101769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0.9</v>
      </c>
      <c r="EJ5" s="12">
        <f>IF('Données projet'!$A$192&gt;35,EJ4+EI5-ER4,IF(A5&lt;'Données projet'!$A$192,$EG$205^A5,IF(A5='Données projet'!$A$192,'Données projet'!$B$192,EJ4+EI5-ER4)))</f>
        <v>1.5518455739153598</v>
      </c>
      <c r="EK5" s="17">
        <f>EJ5*VLOOKUP('Données projet'!$B$15,Paramètres!$A$1:$I$89,3,0)*VLOOKUP('Données projet'!$B$15,Paramètres!$A$1:$I$89,5,0)</f>
        <v>1.0167692200293437</v>
      </c>
      <c r="EL5" s="13">
        <f t="shared" ref="EL5:EL68" si="45">EXP(-1.0587+0.8836*LN(EK5)+0.284)</f>
        <v>0.46766381619902025</v>
      </c>
      <c r="EM5" s="20">
        <f t="shared" si="19"/>
        <v>2.5853875380977338</v>
      </c>
      <c r="EN5" s="59">
        <f t="shared" si="20"/>
        <v>261.69649864920888</v>
      </c>
      <c r="EO5" s="59">
        <f ca="1">AVERAGE(OFFSET($EN$3,0,0,'Données projet'!$E$15+1,1))-AVERAGE(OFFSET($H$3,0,0,'Données projet'!$E$15+1,1))</f>
        <v>230.58262378842818</v>
      </c>
      <c r="EP5" s="59">
        <f t="shared" ref="EP5:EP68" si="46">$EP$3</f>
        <v>235.68746142880792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2.8</v>
      </c>
      <c r="FE5" s="12">
        <f>IF('Données projet'!$A$218&gt;35,FE4+FD5-FM4,IF(A5&lt;'Données projet'!$A$218,$FB$205^A5,IF(A5='Données projet'!$A$218,'Données projet'!$B$218,FE4+FD5-FM4)))</f>
        <v>1.6460129159650685</v>
      </c>
      <c r="FF5" s="17">
        <f>FE5*VLOOKUP('Données projet'!$B$16,Paramètres!$A$1:$I$89,3,0)*VLOOKUP('Données projet'!$B$16,Paramètres!$A$1:$I$89,5,0)</f>
        <v>1.3352456774308636</v>
      </c>
      <c r="FG5" s="13">
        <f t="shared" ref="FG5:FG68" si="47">EXP(-1.0587+0.8836*LN(FF5)+0.284)</f>
        <v>0.59497391287501122</v>
      </c>
      <c r="FH5" s="20">
        <f t="shared" si="22"/>
        <v>3.3617991197827322</v>
      </c>
      <c r="FI5" s="59">
        <f t="shared" si="23"/>
        <v>262.47291023089389</v>
      </c>
      <c r="FJ5" s="59">
        <f ca="1">AVERAGE(OFFSET($FI$3,0,0,'Données projet'!$E$16+1,1))-AVERAGE(OFFSET($H$3,0,0,'Données projet'!$E$16+1,1))</f>
        <v>272.90535195666996</v>
      </c>
      <c r="FK5" s="59">
        <f t="shared" ref="FK5:FK68" si="48">$FK$3</f>
        <v>222.25422164416898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264.00398298764594</v>
      </c>
      <c r="S6" s="59">
        <f ca="1">AVERAGE(OFFSET($R$3,0,0,'Données projet'!$E$9+1,1))-AVERAGE(OFFSET($H$3,0,0,'Données projet'!$E$9+1,1))</f>
        <v>384.05928630855732</v>
      </c>
      <c r="T6" s="59">
        <f t="shared" si="34"/>
        <v>279.93992813630513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6.8</v>
      </c>
      <c r="AI6" s="13">
        <f>IF('Données projet'!$A$62&gt;35,AI5+AH6-AQ5,IF(A6&lt;'Données projet'!$A$62,$AF$205^A6,IF(A6='Données projet'!$A$62,'Données projet'!$B$62,AI5+AH6-AQ5)))</f>
        <v>8.2963554401312951</v>
      </c>
      <c r="AJ6" s="13">
        <f>AI6*VLOOKUP('Données projet'!$B$10,Paramètres!$A$1:$I$89,3,0)*VLOOKUP('Données projet'!$B$10,Paramètres!$A$1:$I$89,5,0)</f>
        <v>7.5065424022307949</v>
      </c>
      <c r="AK6" s="13">
        <f t="shared" si="35"/>
        <v>2.7358406474604431</v>
      </c>
      <c r="AL6" s="20">
        <f t="shared" si="4"/>
        <v>17.838817144878906</v>
      </c>
      <c r="AM6" s="59">
        <f t="shared" si="5"/>
        <v>278.17215047821225</v>
      </c>
      <c r="AN6" s="59">
        <f ca="1">AVERAGE(OFFSET($AM$3,0,0,'Données projet'!$E$10+1,1))-AVERAGE(OFFSET($H$3,0,0,'Données projet'!$E$10+1,1))</f>
        <v>366.69125512029831</v>
      </c>
      <c r="AO6" s="59">
        <f t="shared" si="36"/>
        <v>513.80016421153414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2.3990098146814622</v>
      </c>
      <c r="BF6" s="13">
        <f t="shared" si="37"/>
        <v>0.99850067298942213</v>
      </c>
      <c r="BG6" s="20">
        <f t="shared" si="7"/>
        <v>5.9173307660267902</v>
      </c>
      <c r="BH6" s="59">
        <f t="shared" si="8"/>
        <v>266.25066409936011</v>
      </c>
      <c r="BI6" s="59">
        <f ca="1">AVERAGE(OFFSET($BH$3,0,0,'Données projet'!$E$11+1,1))-AVERAGE(OFFSET($H$3,0,0,'Données projet'!$E$11+1,1))</f>
        <v>354.24684313982857</v>
      </c>
      <c r="BJ6" s="59">
        <f t="shared" si="38"/>
        <v>322.65043486962185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4.0628205128205126</v>
      </c>
      <c r="BY6" s="12">
        <f>IF('Données projet'!$A$114&gt;35,BY5+BX6-CG5,IF(A6&lt;'Données projet'!$A$114,$BV$205^A6,IF(A6='Données projet'!$A$114,'Données projet'!$B$114,BY5+BX6-CG5)))</f>
        <v>1.6165713926559588</v>
      </c>
      <c r="BZ6" s="13">
        <f>BY6*VLOOKUP('Données projet'!$B$12,Paramètres!$A$1:$I$89,3,0)*VLOOKUP('Données projet'!$B$12,Paramètres!$A$1:$I$89,5,0)</f>
        <v>1.5635478509768437</v>
      </c>
      <c r="CA6" s="13">
        <f t="shared" si="39"/>
        <v>0.68401984350791745</v>
      </c>
      <c r="CB6" s="20">
        <f t="shared" si="10"/>
        <v>3.9145137345609591</v>
      </c>
      <c r="CC6" s="59">
        <f t="shared" si="11"/>
        <v>264.24784706789427</v>
      </c>
      <c r="CD6" s="59">
        <f ca="1">AVERAGE(OFFSET($CC$3,0,0,'Données projet'!$E$12+1,1))-AVERAGE(OFFSET($H$3,0,0,'Données projet'!$E$12+1,1))</f>
        <v>407.73540492005355</v>
      </c>
      <c r="CE6" s="59">
        <f t="shared" si="40"/>
        <v>296.29416764204774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1.6380800429823084</v>
      </c>
      <c r="CV6" s="13">
        <f t="shared" si="41"/>
        <v>0.71275221602487127</v>
      </c>
      <c r="CW6" s="20">
        <f t="shared" si="13"/>
        <v>4.0943661844375043</v>
      </c>
      <c r="CX6" s="59">
        <f t="shared" si="14"/>
        <v>264.4276995177708</v>
      </c>
      <c r="CY6" s="59">
        <f ca="1">AVERAGE(OFFSET($CX$3,0,0,'Données projet'!$E$13+1,1))-AVERAGE(OFFSET($H$3,0,0,'Données projet'!$E$13+1,1))</f>
        <v>299.10536994156814</v>
      </c>
      <c r="CZ6" s="59">
        <f t="shared" si="42"/>
        <v>292.57799203101769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1.6380800429823084</v>
      </c>
      <c r="DQ6" s="13">
        <f t="shared" si="43"/>
        <v>0.71275221602487127</v>
      </c>
      <c r="DR6" s="20">
        <f t="shared" si="16"/>
        <v>4.0943661844375043</v>
      </c>
      <c r="DS6" s="59">
        <f t="shared" si="17"/>
        <v>264.4276995177708</v>
      </c>
      <c r="DT6" s="59">
        <f ca="1">AVERAGE(OFFSET($DS$3,0,0,'Données projet'!$E$14+1,1))-AVERAGE(OFFSET($H$3,0,0,'Données projet'!$E$14+1,1))</f>
        <v>299.10536994156814</v>
      </c>
      <c r="DU6" s="59">
        <f t="shared" si="44"/>
        <v>292.57799203101769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0.9</v>
      </c>
      <c r="EJ6" s="12">
        <f>IF('Données projet'!$A$192&gt;35,EJ5+EI6-ER5,IF(A6&lt;'Données projet'!$A$192,$EG$205^A6,IF(A6='Données projet'!$A$192,'Données projet'!$B$192,EJ5+EI6-ER5)))</f>
        <v>1.9331820449317632</v>
      </c>
      <c r="EK6" s="17">
        <f>EJ6*VLOOKUP('Données projet'!$B$15,Paramètres!$A$1:$I$89,3,0)*VLOOKUP('Données projet'!$B$15,Paramètres!$A$1:$I$89,5,0)</f>
        <v>1.2666208758392912</v>
      </c>
      <c r="EL6" s="13">
        <f t="shared" si="45"/>
        <v>0.56787223780909624</v>
      </c>
      <c r="EM6" s="20">
        <f t="shared" si="19"/>
        <v>3.1950755062709413</v>
      </c>
      <c r="EN6" s="59">
        <f t="shared" si="20"/>
        <v>263.52840883960425</v>
      </c>
      <c r="EO6" s="59">
        <f ca="1">AVERAGE(OFFSET($EN$3,0,0,'Données projet'!$E$15+1,1))-AVERAGE(OFFSET($H$3,0,0,'Données projet'!$E$15+1,1))</f>
        <v>230.58262378842818</v>
      </c>
      <c r="EP6" s="59">
        <f t="shared" si="46"/>
        <v>235.68746142880792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2.8</v>
      </c>
      <c r="FE6" s="12">
        <f>IF('Données projet'!$A$218&gt;35,FE5+FD6-FM5,IF(A6&lt;'Données projet'!$A$218,$FB$205^A6,IF(A6='Données projet'!$A$218,'Données projet'!$B$218,FE5+FD6-FM5)))</f>
        <v>2.1117857649667533</v>
      </c>
      <c r="FF6" s="17">
        <f>FE6*VLOOKUP('Données projet'!$B$16,Paramètres!$A$1:$I$89,3,0)*VLOOKUP('Données projet'!$B$16,Paramètres!$A$1:$I$89,5,0)</f>
        <v>1.7130806125410305</v>
      </c>
      <c r="FG6" s="13">
        <f t="shared" si="47"/>
        <v>0.74151190666753608</v>
      </c>
      <c r="FH6" s="20">
        <f t="shared" si="22"/>
        <v>4.2750819709549202</v>
      </c>
      <c r="FI6" s="59">
        <f t="shared" si="23"/>
        <v>264.60841530428826</v>
      </c>
      <c r="FJ6" s="59">
        <f ca="1">AVERAGE(OFFSET($FI$3,0,0,'Données projet'!$E$16+1,1))-AVERAGE(OFFSET($H$3,0,0,'Données projet'!$E$16+1,1))</f>
        <v>272.90535195666996</v>
      </c>
      <c r="FK6" s="59">
        <f t="shared" si="48"/>
        <v>222.25422164416898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265.83920641728366</v>
      </c>
      <c r="S7" s="59">
        <f ca="1">AVERAGE(OFFSET($R$3,0,0,'Données projet'!$E$9+1,1))-AVERAGE(OFFSET($H$3,0,0,'Données projet'!$E$9+1,1))</f>
        <v>384.05928630855732</v>
      </c>
      <c r="T7" s="59">
        <f t="shared" si="34"/>
        <v>279.93992813630513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6.8</v>
      </c>
      <c r="AI7" s="13">
        <f>IF('Données projet'!$A$62&gt;35,AI6+AH7-AQ6,IF(A7&lt;'Données projet'!$A$62,$AF$205^A7,IF(A7='Données projet'!$A$62,'Données projet'!$B$62,AI6+AH7-AQ6)))</f>
        <v>16.795120867813488</v>
      </c>
      <c r="AJ7" s="13">
        <f>AI7*VLOOKUP('Données projet'!$B$10,Paramètres!$A$1:$I$89,3,0)*VLOOKUP('Données projet'!$B$10,Paramètres!$A$1:$I$89,5,0)</f>
        <v>15.196225361197643</v>
      </c>
      <c r="AK7" s="13">
        <f t="shared" si="35"/>
        <v>5.1019212633160578</v>
      </c>
      <c r="AL7" s="20">
        <f t="shared" si="4"/>
        <v>35.352605371028027</v>
      </c>
      <c r="AM7" s="59">
        <f t="shared" si="5"/>
        <v>296.90816092658355</v>
      </c>
      <c r="AN7" s="59">
        <f ca="1">AVERAGE(OFFSET($AM$3,0,0,'Données projet'!$E$10+1,1))-AVERAGE(OFFSET($H$3,0,0,'Données projet'!$E$10+1,1))</f>
        <v>366.69125512029831</v>
      </c>
      <c r="AO7" s="59">
        <f t="shared" si="36"/>
        <v>513.80016421153414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3.3594781788586427</v>
      </c>
      <c r="BF7" s="13">
        <f t="shared" si="37"/>
        <v>1.3445156106562728</v>
      </c>
      <c r="BG7" s="20">
        <f t="shared" si="7"/>
        <v>8.1927891834051447</v>
      </c>
      <c r="BH7" s="59">
        <f t="shared" si="8"/>
        <v>269.74834473896067</v>
      </c>
      <c r="BI7" s="59">
        <f ca="1">AVERAGE(OFFSET($BH$3,0,0,'Données projet'!$E$11+1,1))-AVERAGE(OFFSET($H$3,0,0,'Données projet'!$E$11+1,1))</f>
        <v>354.24684313982857</v>
      </c>
      <c r="BJ7" s="59">
        <f t="shared" si="38"/>
        <v>322.65043486962185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4.0628205128205126</v>
      </c>
      <c r="BY7" s="12">
        <f>IF('Données projet'!$A$114&gt;35,BY6+BX7-CG6,IF(A7&lt;'Données projet'!$A$114,$BV$205^A7,IF(A7='Données projet'!$A$114,'Données projet'!$B$114,BY6+BX7-CG6)))</f>
        <v>1.8972585507745794</v>
      </c>
      <c r="BZ7" s="13">
        <f>BY7*VLOOKUP('Données projet'!$B$12,Paramètres!$A$1:$I$89,3,0)*VLOOKUP('Données projet'!$B$12,Paramètres!$A$1:$I$89,5,0)</f>
        <v>1.835028470309173</v>
      </c>
      <c r="CA7" s="13">
        <f t="shared" si="39"/>
        <v>0.78796485761316459</v>
      </c>
      <c r="CB7" s="20">
        <f t="shared" si="10"/>
        <v>4.5683800461314039</v>
      </c>
      <c r="CC7" s="59">
        <f t="shared" si="11"/>
        <v>266.12393560168692</v>
      </c>
      <c r="CD7" s="59">
        <f ca="1">AVERAGE(OFFSET($CC$3,0,0,'Données projet'!$E$12+1,1))-AVERAGE(OFFSET($H$3,0,0,'Données projet'!$E$12+1,1))</f>
        <v>407.73540492005355</v>
      </c>
      <c r="CE7" s="59">
        <f t="shared" si="40"/>
        <v>296.29416764204774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2.0839241176864287</v>
      </c>
      <c r="CV7" s="13">
        <f t="shared" si="41"/>
        <v>0.88169040068036508</v>
      </c>
      <c r="CW7" s="20">
        <f t="shared" si="13"/>
        <v>5.1651119528221656</v>
      </c>
      <c r="CX7" s="59">
        <f t="shared" si="14"/>
        <v>266.72066750837769</v>
      </c>
      <c r="CY7" s="59">
        <f ca="1">AVERAGE(OFFSET($CX$3,0,0,'Données projet'!$E$13+1,1))-AVERAGE(OFFSET($H$3,0,0,'Données projet'!$E$13+1,1))</f>
        <v>299.10536994156814</v>
      </c>
      <c r="CZ7" s="59">
        <f t="shared" si="42"/>
        <v>292.57799203101769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2.0839241176864287</v>
      </c>
      <c r="DQ7" s="13">
        <f t="shared" si="43"/>
        <v>0.88169040068036508</v>
      </c>
      <c r="DR7" s="20">
        <f t="shared" si="16"/>
        <v>5.1651119528221656</v>
      </c>
      <c r="DS7" s="59">
        <f t="shared" si="17"/>
        <v>266.72066750837769</v>
      </c>
      <c r="DT7" s="59">
        <f ca="1">AVERAGE(OFFSET($DS$3,0,0,'Données projet'!$E$14+1,1))-AVERAGE(OFFSET($H$3,0,0,'Données projet'!$E$14+1,1))</f>
        <v>299.10536994156814</v>
      </c>
      <c r="DU7" s="59">
        <f t="shared" si="44"/>
        <v>292.57799203101769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0.9</v>
      </c>
      <c r="EJ7" s="12">
        <f>IF('Données projet'!$A$192&gt;35,EJ6+EI7-ER6,IF(A7&lt;'Données projet'!$A$192,$EG$205^A7,IF(A7='Données projet'!$A$192,'Données projet'!$B$192,EJ6+EI7-ER6)))</f>
        <v>2.4082246852806923</v>
      </c>
      <c r="EK7" s="17">
        <f>EJ7*VLOOKUP('Données projet'!$B$15,Paramètres!$A$1:$I$89,3,0)*VLOOKUP('Données projet'!$B$15,Paramètres!$A$1:$I$89,5,0)</f>
        <v>1.5778688137959096</v>
      </c>
      <c r="EL7" s="13">
        <f t="shared" si="45"/>
        <v>0.68955276697540291</v>
      </c>
      <c r="EM7" s="20">
        <f t="shared" si="19"/>
        <v>3.9490925865100355</v>
      </c>
      <c r="EN7" s="59">
        <f t="shared" si="20"/>
        <v>265.50464814206561</v>
      </c>
      <c r="EO7" s="59">
        <f ca="1">AVERAGE(OFFSET($EN$3,0,0,'Données projet'!$E$15+1,1))-AVERAGE(OFFSET($H$3,0,0,'Données projet'!$E$15+1,1))</f>
        <v>230.58262378842818</v>
      </c>
      <c r="EP7" s="59">
        <f t="shared" si="46"/>
        <v>235.68746142880792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2.8</v>
      </c>
      <c r="FE7" s="12">
        <f>IF('Données projet'!$A$218&gt;35,FE6+FD7-FM6,IF(A7&lt;'Données projet'!$A$218,$FB$205^A7,IF(A7='Données projet'!$A$218,'Données projet'!$B$218,FE6+FD7-FM6)))</f>
        <v>2.7093585195238274</v>
      </c>
      <c r="FF7" s="17">
        <f>FE7*VLOOKUP('Données projet'!$B$16,Paramètres!$A$1:$I$89,3,0)*VLOOKUP('Données projet'!$B$16,Paramètres!$A$1:$I$89,5,0)</f>
        <v>2.197831631037729</v>
      </c>
      <c r="FG7" s="13">
        <f t="shared" si="47"/>
        <v>0.92414120322151361</v>
      </c>
      <c r="FH7" s="20">
        <f t="shared" si="22"/>
        <v>5.4374360196681799</v>
      </c>
      <c r="FI7" s="59">
        <f t="shared" si="23"/>
        <v>266.9929915752237</v>
      </c>
      <c r="FJ7" s="59">
        <f ca="1">AVERAGE(OFFSET($FI$3,0,0,'Données projet'!$E$16+1,1))-AVERAGE(OFFSET($H$3,0,0,'Données projet'!$E$16+1,1))</f>
        <v>272.90535195666996</v>
      </c>
      <c r="FK7" s="59">
        <f t="shared" si="48"/>
        <v>222.25422164416898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267.77716751414522</v>
      </c>
      <c r="S8" s="59">
        <f ca="1">AVERAGE(OFFSET($R$3,0,0,'Données projet'!$E$9+1,1))-AVERAGE(OFFSET($H$3,0,0,'Données projet'!$E$9+1,1))</f>
        <v>384.05928630855732</v>
      </c>
      <c r="T8" s="59">
        <f t="shared" si="34"/>
        <v>279.93992813630513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34</v>
      </c>
      <c r="AG8" s="12">
        <f>VLOOKUP(A8,'Données projet'!$A$61:$I$81,9,0)</f>
        <v>6.8</v>
      </c>
      <c r="AH8" s="12">
        <f t="array" ref="AH8">INDEX(AG:AG,MIN(IF(ISNUMBER(AG8:AG204),ROW(AG8:AG204),"")))</f>
        <v>6.8</v>
      </c>
      <c r="AI8" s="13">
        <f>IF('Données projet'!$A$62&gt;35,AI7+AH8-AQ7,IF(A8&lt;'Données projet'!$A$62,$AF$205^A8,IF(A8='Données projet'!$A$62,'Données projet'!$B$62,AI7+AH8-AQ7)))</f>
        <v>34</v>
      </c>
      <c r="AJ8" s="13">
        <f>AI8*VLOOKUP('Données projet'!$B$10,Paramètres!$A$1:$I$89,3,0)*VLOOKUP('Données projet'!$B$10,Paramètres!$A$1:$I$89,5,0)</f>
        <v>30.763199999999998</v>
      </c>
      <c r="AK8" s="13">
        <f t="shared" si="35"/>
        <v>9.5142970411082253</v>
      </c>
      <c r="AL8" s="20">
        <f t="shared" si="4"/>
        <v>70.149974013263474</v>
      </c>
      <c r="AM8" s="59">
        <f t="shared" si="5"/>
        <v>332.92775179104126</v>
      </c>
      <c r="AN8" s="59">
        <f ca="1">AVERAGE(OFFSET($AM$3,0,0,'Données projet'!$E$10+1,1))-AVERAGE(OFFSET($H$3,0,0,'Données projet'!$E$10+1,1))</f>
        <v>366.69125512029831</v>
      </c>
      <c r="AO8" s="59">
        <f t="shared" si="36"/>
        <v>513.80016421153414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6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4.7044799755127045</v>
      </c>
      <c r="BF8" s="13">
        <f t="shared" si="37"/>
        <v>1.8104366638895204</v>
      </c>
      <c r="BG8" s="20">
        <f t="shared" si="7"/>
        <v>11.346813146958874</v>
      </c>
      <c r="BH8" s="59">
        <f t="shared" si="8"/>
        <v>274.12459092473665</v>
      </c>
      <c r="BI8" s="59">
        <f ca="1">AVERAGE(OFFSET($BH$3,0,0,'Données projet'!$E$11+1,1))-AVERAGE(OFFSET($H$3,0,0,'Données projet'!$E$11+1,1))</f>
        <v>354.24684313982857</v>
      </c>
      <c r="BJ8" s="59">
        <f t="shared" si="38"/>
        <v>322.65043486962185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4.0628205128205126</v>
      </c>
      <c r="BY8" s="12">
        <f>IF('Données projet'!$A$114&gt;35,BY7+BX8-CG7,IF(A8&lt;'Données projet'!$A$114,$BV$205^A8,IF(A8='Données projet'!$A$114,'Données projet'!$B$114,BY7+BX8-CG7)))</f>
        <v>2.2266817443634719</v>
      </c>
      <c r="BZ8" s="13">
        <f>BY8*VLOOKUP('Données projet'!$B$12,Paramètres!$A$1:$I$89,3,0)*VLOOKUP('Données projet'!$B$12,Paramètres!$A$1:$I$89,5,0)</f>
        <v>2.1536465831483502</v>
      </c>
      <c r="CA8" s="13">
        <f t="shared" si="39"/>
        <v>0.90770556253043633</v>
      </c>
      <c r="CB8" s="20">
        <f t="shared" si="10"/>
        <v>5.3318549870572198</v>
      </c>
      <c r="CC8" s="59">
        <f t="shared" si="11"/>
        <v>268.109632764835</v>
      </c>
      <c r="CD8" s="59">
        <f ca="1">AVERAGE(OFFSET($CC$3,0,0,'Données projet'!$E$12+1,1))-AVERAGE(OFFSET($H$3,0,0,'Données projet'!$E$12+1,1))</f>
        <v>407.73540492005355</v>
      </c>
      <c r="CE8" s="59">
        <f t="shared" si="40"/>
        <v>296.29416764204774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2.6511157051695204</v>
      </c>
      <c r="CV8" s="13">
        <f t="shared" si="41"/>
        <v>1.0906707059957799</v>
      </c>
      <c r="CW8" s="20">
        <f t="shared" si="13"/>
        <v>6.5169446661128978</v>
      </c>
      <c r="CX8" s="59">
        <f t="shared" si="14"/>
        <v>269.29472244389069</v>
      </c>
      <c r="CY8" s="59">
        <f ca="1">AVERAGE(OFFSET($CX$3,0,0,'Données projet'!$E$13+1,1))-AVERAGE(OFFSET($H$3,0,0,'Données projet'!$E$13+1,1))</f>
        <v>299.10536994156814</v>
      </c>
      <c r="CZ8" s="59">
        <f t="shared" si="42"/>
        <v>292.57799203101769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2.6511157051695204</v>
      </c>
      <c r="DQ8" s="13">
        <f t="shared" si="43"/>
        <v>1.0906707059957799</v>
      </c>
      <c r="DR8" s="20">
        <f t="shared" si="16"/>
        <v>6.5169446661128978</v>
      </c>
      <c r="DS8" s="59">
        <f t="shared" si="17"/>
        <v>269.29472244389069</v>
      </c>
      <c r="DT8" s="59">
        <f ca="1">AVERAGE(OFFSET($DS$3,0,0,'Données projet'!$E$14+1,1))-AVERAGE(OFFSET($H$3,0,0,'Données projet'!$E$14+1,1))</f>
        <v>299.10536994156814</v>
      </c>
      <c r="DU8" s="59">
        <f t="shared" si="44"/>
        <v>292.57799203101769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0.9</v>
      </c>
      <c r="EJ8" s="12">
        <f>IF('Données projet'!$A$192&gt;35,EJ7+EI8-ER7,IF(A8&lt;'Données projet'!$A$192,$EG$205^A8,IF(A8='Données projet'!$A$192,'Données projet'!$B$192,EJ7+EI8-ER7)))</f>
        <v>3.0000000000000004</v>
      </c>
      <c r="EK8" s="17">
        <f>EJ8*VLOOKUP('Données projet'!$B$15,Paramètres!$A$1:$I$89,3,0)*VLOOKUP('Données projet'!$B$15,Paramètres!$A$1:$I$89,5,0)</f>
        <v>1.9656000000000005</v>
      </c>
      <c r="EL8" s="13">
        <f t="shared" si="45"/>
        <v>0.83730632840564978</v>
      </c>
      <c r="EM8" s="20">
        <f t="shared" si="19"/>
        <v>4.8817285219731739</v>
      </c>
      <c r="EN8" s="59">
        <f t="shared" si="20"/>
        <v>267.65950629975094</v>
      </c>
      <c r="EO8" s="59">
        <f ca="1">AVERAGE(OFFSET($EN$3,0,0,'Données projet'!$E$15+1,1))-AVERAGE(OFFSET($H$3,0,0,'Données projet'!$E$15+1,1))</f>
        <v>230.58262378842818</v>
      </c>
      <c r="EP8" s="59">
        <f t="shared" si="46"/>
        <v>235.68746142880792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2.8</v>
      </c>
      <c r="FE8" s="12">
        <f>IF('Données projet'!$A$218&gt;35,FE7+FD8-FM7,IF(A8&lt;'Données projet'!$A$218,$FB$205^A8,IF(A8='Données projet'!$A$218,'Données projet'!$B$218,FE7+FD8-FM7)))</f>
        <v>3.4760266448864483</v>
      </c>
      <c r="FF8" s="17">
        <f>FE8*VLOOKUP('Données projet'!$B$16,Paramètres!$A$1:$I$89,3,0)*VLOOKUP('Données projet'!$B$16,Paramètres!$A$1:$I$89,5,0)</f>
        <v>2.8197528143318871</v>
      </c>
      <c r="FG8" s="13">
        <f t="shared" si="47"/>
        <v>1.1517508428554772</v>
      </c>
      <c r="FH8" s="20">
        <f t="shared" si="22"/>
        <v>6.9170355362679921</v>
      </c>
      <c r="FI8" s="59">
        <f t="shared" si="23"/>
        <v>269.69481331404575</v>
      </c>
      <c r="FJ8" s="59">
        <f ca="1">AVERAGE(OFFSET($FI$3,0,0,'Données projet'!$E$16+1,1))-AVERAGE(OFFSET($H$3,0,0,'Données projet'!$E$16+1,1))</f>
        <v>272.90535195666996</v>
      </c>
      <c r="FK8" s="59">
        <f t="shared" si="48"/>
        <v>222.25422164416898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269.83514271569811</v>
      </c>
      <c r="S9" s="59">
        <f ca="1">AVERAGE(OFFSET($R$3,0,0,'Données projet'!$E$9+1,1))-AVERAGE(OFFSET($H$3,0,0,'Données projet'!$E$9+1,1))</f>
        <v>384.05928630855732</v>
      </c>
      <c r="T9" s="59">
        <f t="shared" si="34"/>
        <v>279.93992813630513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14.2</v>
      </c>
      <c r="AI9" s="13">
        <f>IF('Données projet'!$A$62&gt;35,AI8+AH9-AQ8,IF(A9&lt;'Données projet'!$A$62,$AF$205^A9,IF(A9='Données projet'!$A$62,'Données projet'!$B$62,AI8+AH9-AQ8)))</f>
        <v>42.2</v>
      </c>
      <c r="AJ9" s="13">
        <f>AI9*VLOOKUP('Données projet'!$B$10,Paramètres!$A$1:$I$89,3,0)*VLOOKUP('Données projet'!$B$10,Paramètres!$A$1:$I$89,5,0)</f>
        <v>38.182560000000002</v>
      </c>
      <c r="AK9" s="13">
        <f t="shared" si="35"/>
        <v>11.515638334288104</v>
      </c>
      <c r="AL9" s="20">
        <f t="shared" si="4"/>
        <v>86.557695432218452</v>
      </c>
      <c r="AM9" s="59">
        <f t="shared" si="5"/>
        <v>350.55769543221845</v>
      </c>
      <c r="AN9" s="59">
        <f ca="1">AVERAGE(OFFSET($AM$3,0,0,'Données projet'!$E$10+1,1))-AVERAGE(OFFSET($H$3,0,0,'Données projet'!$E$10+1,1))</f>
        <v>366.69125512029831</v>
      </c>
      <c r="AO9" s="59">
        <f t="shared" si="36"/>
        <v>513.80016421153414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6.5879671370627086</v>
      </c>
      <c r="BF9" s="13">
        <f t="shared" si="37"/>
        <v>2.4378154392387783</v>
      </c>
      <c r="BG9" s="20">
        <f t="shared" si="7"/>
        <v>15.71990465372509</v>
      </c>
      <c r="BH9" s="59">
        <f t="shared" si="8"/>
        <v>279.71990465372511</v>
      </c>
      <c r="BI9" s="59">
        <f ca="1">AVERAGE(OFFSET($BH$3,0,0,'Données projet'!$E$11+1,1))-AVERAGE(OFFSET($H$3,0,0,'Données projet'!$E$11+1,1))</f>
        <v>354.24684313982857</v>
      </c>
      <c r="BJ9" s="59">
        <f t="shared" si="38"/>
        <v>322.65043486962185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4.0628205128205126</v>
      </c>
      <c r="BY9" s="12">
        <f>IF('Données projet'!$A$114&gt;35,BY8+BX9-CG8,IF(A9&lt;'Données projet'!$A$114,$BV$205^A9,IF(A9='Données projet'!$A$114,'Données projet'!$B$114,BY8+BX9-CG8)))</f>
        <v>2.6133030675536255</v>
      </c>
      <c r="BZ9" s="13">
        <f>BY9*VLOOKUP('Données projet'!$B$12,Paramètres!$A$1:$I$89,3,0)*VLOOKUP('Données projet'!$B$12,Paramètres!$A$1:$I$89,5,0)</f>
        <v>2.5275867269378667</v>
      </c>
      <c r="CA9" s="13">
        <f t="shared" si="39"/>
        <v>1.0456423028109039</v>
      </c>
      <c r="CB9" s="20">
        <f t="shared" si="10"/>
        <v>6.223373893479109</v>
      </c>
      <c r="CC9" s="59">
        <f t="shared" si="11"/>
        <v>270.22337389347911</v>
      </c>
      <c r="CD9" s="59">
        <f ca="1">AVERAGE(OFFSET($CC$3,0,0,'Données projet'!$E$12+1,1))-AVERAGE(OFFSET($H$3,0,0,'Données projet'!$E$12+1,1))</f>
        <v>407.73540492005355</v>
      </c>
      <c r="CE9" s="59">
        <f t="shared" si="40"/>
        <v>296.29416764204774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3.3726825379800407</v>
      </c>
      <c r="CV9" s="13">
        <f t="shared" si="41"/>
        <v>1.3491840083541735</v>
      </c>
      <c r="CW9" s="20">
        <f t="shared" si="13"/>
        <v>8.2239175681987557</v>
      </c>
      <c r="CX9" s="59">
        <f t="shared" si="14"/>
        <v>272.22391756819877</v>
      </c>
      <c r="CY9" s="59">
        <f ca="1">AVERAGE(OFFSET($CX$3,0,0,'Données projet'!$E$13+1,1))-AVERAGE(OFFSET($H$3,0,0,'Données projet'!$E$13+1,1))</f>
        <v>299.10536994156814</v>
      </c>
      <c r="CZ9" s="59">
        <f t="shared" si="42"/>
        <v>292.57799203101769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3.3726825379800407</v>
      </c>
      <c r="DQ9" s="13">
        <f t="shared" si="43"/>
        <v>1.3491840083541735</v>
      </c>
      <c r="DR9" s="20">
        <f t="shared" si="16"/>
        <v>8.2239175681987557</v>
      </c>
      <c r="DS9" s="59">
        <f t="shared" si="17"/>
        <v>272.22391756819877</v>
      </c>
      <c r="DT9" s="59">
        <f ca="1">AVERAGE(OFFSET($DS$3,0,0,'Données projet'!$E$14+1,1))-AVERAGE(OFFSET($H$3,0,0,'Données projet'!$E$14+1,1))</f>
        <v>299.10536994156814</v>
      </c>
      <c r="DU9" s="59">
        <f t="shared" si="44"/>
        <v>292.57799203101769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0.9</v>
      </c>
      <c r="EJ9" s="12">
        <f>IF('Données projet'!$A$192&gt;35,EJ8+EI9-ER8,IF(A9&lt;'Données projet'!$A$192,$EG$205^A9,IF(A9='Données projet'!$A$192,'Données projet'!$B$192,EJ8+EI9-ER8)))</f>
        <v>3.7371928188465526</v>
      </c>
      <c r="EK9" s="17">
        <f>EJ9*VLOOKUP('Données projet'!$B$15,Paramètres!$A$1:$I$89,3,0)*VLOOKUP('Données projet'!$B$15,Paramètres!$A$1:$I$89,5,0)</f>
        <v>2.448608734908261</v>
      </c>
      <c r="EL9" s="13">
        <f t="shared" si="45"/>
        <v>1.0167197075625076</v>
      </c>
      <c r="EM9" s="20">
        <f t="shared" si="19"/>
        <v>6.035447037303256</v>
      </c>
      <c r="EN9" s="59">
        <f t="shared" si="20"/>
        <v>270.03544703730324</v>
      </c>
      <c r="EO9" s="59">
        <f ca="1">AVERAGE(OFFSET($EN$3,0,0,'Données projet'!$E$15+1,1))-AVERAGE(OFFSET($H$3,0,0,'Données projet'!$E$15+1,1))</f>
        <v>230.58262378842818</v>
      </c>
      <c r="EP9" s="59">
        <f t="shared" si="46"/>
        <v>235.68746142880792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2.8</v>
      </c>
      <c r="FE9" s="12">
        <f>IF('Données projet'!$A$218&gt;35,FE8+FD9-FM8,IF(A9&lt;'Données projet'!$A$218,$FB$205^A9,IF(A9='Données projet'!$A$218,'Données projet'!$B$218,FE8+FD9-FM8)))</f>
        <v>4.4596391171162164</v>
      </c>
      <c r="FF9" s="17">
        <f>FE9*VLOOKUP('Données projet'!$B$16,Paramètres!$A$1:$I$89,3,0)*VLOOKUP('Données projet'!$B$16,Paramètres!$A$1:$I$89,5,0)</f>
        <v>3.6176592518046751</v>
      </c>
      <c r="FG9" s="13">
        <f t="shared" si="47"/>
        <v>1.4354191755481527</v>
      </c>
      <c r="FH9" s="20">
        <f t="shared" si="22"/>
        <v>8.8007782609728427</v>
      </c>
      <c r="FI9" s="59">
        <f t="shared" si="23"/>
        <v>272.80077826097283</v>
      </c>
      <c r="FJ9" s="59">
        <f ca="1">AVERAGE(OFFSET($FI$3,0,0,'Données projet'!$E$16+1,1))-AVERAGE(OFFSET($H$3,0,0,'Données projet'!$E$16+1,1))</f>
        <v>272.90535195666996</v>
      </c>
      <c r="FK9" s="59">
        <f t="shared" si="48"/>
        <v>222.25422164416898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272.03332278116835</v>
      </c>
      <c r="S10" s="59">
        <f ca="1">AVERAGE(OFFSET($R$3,0,0,'Données projet'!$E$9+1,1))-AVERAGE(OFFSET($H$3,0,0,'Données projet'!$E$9+1,1))</f>
        <v>384.05928630855732</v>
      </c>
      <c r="T10" s="59">
        <f t="shared" si="34"/>
        <v>279.93992813630513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14.2</v>
      </c>
      <c r="AI10" s="13">
        <f>IF('Données projet'!$A$62&gt;35,AI9+AH10-AQ9,IF(A10&lt;'Données projet'!$A$62,$AF$205^A10,IF(A10='Données projet'!$A$62,'Données projet'!$B$62,AI9+AH10-AQ9)))</f>
        <v>56.400000000000006</v>
      </c>
      <c r="AJ10" s="13">
        <f>AI10*VLOOKUP('Données projet'!$B$10,Paramètres!$A$1:$I$89,3,0)*VLOOKUP('Données projet'!$B$10,Paramètres!$A$1:$I$89,5,0)</f>
        <v>51.030720000000009</v>
      </c>
      <c r="AK10" s="13">
        <f t="shared" si="35"/>
        <v>14.879630660597618</v>
      </c>
      <c r="AL10" s="20">
        <f t="shared" si="4"/>
        <v>114.79386073387418</v>
      </c>
      <c r="AM10" s="59">
        <f t="shared" si="5"/>
        <v>380.0160829560964</v>
      </c>
      <c r="AN10" s="59">
        <f ca="1">AVERAGE(OFFSET($AM$3,0,0,'Données projet'!$E$10+1,1))-AVERAGE(OFFSET($H$3,0,0,'Données projet'!$E$10+1,1))</f>
        <v>366.69125512029831</v>
      </c>
      <c r="AO10" s="59">
        <f t="shared" si="36"/>
        <v>513.80016421153414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9.2255278425939657</v>
      </c>
      <c r="BF10" s="13">
        <f t="shared" si="37"/>
        <v>3.282602608711652</v>
      </c>
      <c r="BG10" s="20">
        <f t="shared" si="7"/>
        <v>21.784993869357283</v>
      </c>
      <c r="BH10" s="59">
        <f t="shared" si="8"/>
        <v>287.00721609157949</v>
      </c>
      <c r="BI10" s="59">
        <f ca="1">AVERAGE(OFFSET($BH$3,0,0,'Données projet'!$E$11+1,1))-AVERAGE(OFFSET($H$3,0,0,'Données projet'!$E$11+1,1))</f>
        <v>354.24684313982857</v>
      </c>
      <c r="BJ10" s="59">
        <f t="shared" si="38"/>
        <v>322.65043486962185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4.0628205128205126</v>
      </c>
      <c r="BY10" s="12">
        <f>IF('Données projet'!$A$114&gt;35,BY9+BX10-CG9,IF(A10&lt;'Données projet'!$A$114,$BV$205^A10,IF(A10='Données projet'!$A$114,'Données projet'!$B$114,BY9+BX10-CG9)))</f>
        <v>3.067053897654088</v>
      </c>
      <c r="BZ10" s="13">
        <f>BY10*VLOOKUP('Données projet'!$B$12,Paramètres!$A$1:$I$89,3,0)*VLOOKUP('Données projet'!$B$12,Paramètres!$A$1:$I$89,5,0)</f>
        <v>2.9664545298110339</v>
      </c>
      <c r="CA10" s="13">
        <f t="shared" si="39"/>
        <v>1.2045401841316012</v>
      </c>
      <c r="CB10" s="20">
        <f t="shared" si="10"/>
        <v>7.2644824601167564</v>
      </c>
      <c r="CC10" s="59">
        <f t="shared" si="11"/>
        <v>272.486704682339</v>
      </c>
      <c r="CD10" s="59">
        <f ca="1">AVERAGE(OFFSET($CC$3,0,0,'Données projet'!$E$12+1,1))-AVERAGE(OFFSET($H$3,0,0,'Données projet'!$E$12+1,1))</f>
        <v>407.73540492005355</v>
      </c>
      <c r="CE10" s="59">
        <f t="shared" si="40"/>
        <v>296.29416764204774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4.2906416644942853</v>
      </c>
      <c r="CV10" s="13">
        <f t="shared" si="41"/>
        <v>1.6689707336887791</v>
      </c>
      <c r="CW10" s="20">
        <f t="shared" si="13"/>
        <v>10.379658260168837</v>
      </c>
      <c r="CX10" s="59">
        <f t="shared" si="14"/>
        <v>275.60188048239104</v>
      </c>
      <c r="CY10" s="59">
        <f ca="1">AVERAGE(OFFSET($CX$3,0,0,'Données projet'!$E$13+1,1))-AVERAGE(OFFSET($H$3,0,0,'Données projet'!$E$13+1,1))</f>
        <v>299.10536994156814</v>
      </c>
      <c r="CZ10" s="59">
        <f t="shared" si="42"/>
        <v>292.57799203101769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4.2906416644942853</v>
      </c>
      <c r="DQ10" s="13">
        <f t="shared" si="43"/>
        <v>1.6689707336887791</v>
      </c>
      <c r="DR10" s="20">
        <f t="shared" si="16"/>
        <v>10.379658260168837</v>
      </c>
      <c r="DS10" s="59">
        <f t="shared" si="17"/>
        <v>275.60188048239104</v>
      </c>
      <c r="DT10" s="59">
        <f ca="1">AVERAGE(OFFSET($DS$3,0,0,'Données projet'!$E$14+1,1))-AVERAGE(OFFSET($H$3,0,0,'Données projet'!$E$14+1,1))</f>
        <v>299.10536994156814</v>
      </c>
      <c r="DU10" s="59">
        <f t="shared" si="44"/>
        <v>292.57799203101769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0.9</v>
      </c>
      <c r="EJ10" s="12">
        <f>IF('Données projet'!$A$192&gt;35,EJ9+EI10-ER9,IF(A10&lt;'Données projet'!$A$192,$EG$205^A10,IF(A10='Données projet'!$A$192,'Données projet'!$B$192,EJ9+EI10-ER9)))</f>
        <v>4.6555367217460804</v>
      </c>
      <c r="EK10" s="17">
        <f>EJ10*VLOOKUP('Données projet'!$B$15,Paramètres!$A$1:$I$89,3,0)*VLOOKUP('Données projet'!$B$15,Paramètres!$A$1:$I$89,5,0)</f>
        <v>3.0503076600880319</v>
      </c>
      <c r="EL10" s="13">
        <f t="shared" si="45"/>
        <v>1.2345767954654534</v>
      </c>
      <c r="EM10" s="20">
        <f t="shared" si="19"/>
        <v>7.4628404267556538</v>
      </c>
      <c r="EN10" s="59">
        <f t="shared" si="20"/>
        <v>272.68506264897786</v>
      </c>
      <c r="EO10" s="59">
        <f ca="1">AVERAGE(OFFSET($EN$3,0,0,'Données projet'!$E$15+1,1))-AVERAGE(OFFSET($H$3,0,0,'Données projet'!$E$15+1,1))</f>
        <v>230.58262378842818</v>
      </c>
      <c r="EP10" s="59">
        <f t="shared" si="46"/>
        <v>235.68746142880792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2.8</v>
      </c>
      <c r="FE10" s="12">
        <f>IF('Données projet'!$A$218&gt;35,FE9+FD10-FM9,IF(A10&lt;'Données projet'!$A$218,$FB$205^A10,IF(A10='Données projet'!$A$218,'Données projet'!$B$218,FE9+FD10-FM9)))</f>
        <v>5.7215847537218165</v>
      </c>
      <c r="FF10" s="17">
        <f>FE10*VLOOKUP('Données projet'!$B$16,Paramètres!$A$1:$I$89,3,0)*VLOOKUP('Données projet'!$B$16,Paramètres!$A$1:$I$89,5,0)</f>
        <v>4.6413495522191379</v>
      </c>
      <c r="FG10" s="13">
        <f t="shared" si="47"/>
        <v>1.7889530728912018</v>
      </c>
      <c r="FH10" s="20">
        <f t="shared" si="22"/>
        <v>11.199443738733841</v>
      </c>
      <c r="FI10" s="59">
        <f t="shared" si="23"/>
        <v>276.42166596095609</v>
      </c>
      <c r="FJ10" s="59">
        <f ca="1">AVERAGE(OFFSET($FI$3,0,0,'Données projet'!$E$16+1,1))-AVERAGE(OFFSET($H$3,0,0,'Données projet'!$E$16+1,1))</f>
        <v>272.90535195666996</v>
      </c>
      <c r="FK10" s="59">
        <f t="shared" si="48"/>
        <v>222.25422164416898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274.39530583012299</v>
      </c>
      <c r="S11" s="59">
        <f ca="1">AVERAGE(OFFSET($R$3,0,0,'Données projet'!$E$9+1,1))-AVERAGE(OFFSET($H$3,0,0,'Données projet'!$E$9+1,1))</f>
        <v>384.05928630855732</v>
      </c>
      <c r="T11" s="59">
        <f t="shared" si="34"/>
        <v>279.93992813630513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14.2</v>
      </c>
      <c r="AI11" s="13">
        <f>IF('Données projet'!$A$62&gt;35,AI10+AH11-AQ10,IF(A11&lt;'Données projet'!$A$62,$AF$205^A11,IF(A11='Données projet'!$A$62,'Données projet'!$B$62,AI10+AH11-AQ10)))</f>
        <v>70.600000000000009</v>
      </c>
      <c r="AJ11" s="13">
        <f>AI11*VLOOKUP('Données projet'!$B$10,Paramètres!$A$1:$I$89,3,0)*VLOOKUP('Données projet'!$B$10,Paramètres!$A$1:$I$89,5,0)</f>
        <v>63.878880000000002</v>
      </c>
      <c r="AK11" s="13">
        <f t="shared" si="35"/>
        <v>18.145367520913332</v>
      </c>
      <c r="AL11" s="20">
        <f t="shared" si="4"/>
        <v>142.85889776559074</v>
      </c>
      <c r="AM11" s="59">
        <f t="shared" si="5"/>
        <v>409.30334221003523</v>
      </c>
      <c r="AN11" s="59">
        <f ca="1">AVERAGE(OFFSET($AM$3,0,0,'Données projet'!$E$10+1,1))-AVERAGE(OFFSET($H$3,0,0,'Données projet'!$E$10+1,1))</f>
        <v>366.69125512029831</v>
      </c>
      <c r="AO11" s="59">
        <f t="shared" si="36"/>
        <v>513.80016421153414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12.919063225992881</v>
      </c>
      <c r="BF11" s="13">
        <f t="shared" si="37"/>
        <v>4.4201376828121335</v>
      </c>
      <c r="BG11" s="20">
        <f t="shared" si="7"/>
        <v>30.199108249502064</v>
      </c>
      <c r="BH11" s="59">
        <f t="shared" si="8"/>
        <v>296.6435526939465</v>
      </c>
      <c r="BI11" s="59">
        <f ca="1">AVERAGE(OFFSET($BH$3,0,0,'Données projet'!$E$11+1,1))-AVERAGE(OFFSET($H$3,0,0,'Données projet'!$E$11+1,1))</f>
        <v>354.24684313982857</v>
      </c>
      <c r="BJ11" s="59">
        <f t="shared" si="38"/>
        <v>322.65043486962185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4.0628205128205126</v>
      </c>
      <c r="BY11" s="12">
        <f>IF('Données projet'!$A$114&gt;35,BY10+BX11-CG10,IF(A11&lt;'Données projet'!$A$114,$BV$205^A11,IF(A11='Données projet'!$A$114,'Données projet'!$B$114,BY10+BX11-CG10)))</f>
        <v>3.5995900084872572</v>
      </c>
      <c r="BZ11" s="13">
        <f>BY11*VLOOKUP('Données projet'!$B$12,Paramètres!$A$1:$I$89,3,0)*VLOOKUP('Données projet'!$B$12,Paramètres!$A$1:$I$89,5,0)</f>
        <v>3.4815234562088753</v>
      </c>
      <c r="CA11" s="13">
        <f t="shared" si="39"/>
        <v>1.3875845031206417</v>
      </c>
      <c r="CB11" s="20">
        <f t="shared" si="10"/>
        <v>8.4803630291655754</v>
      </c>
      <c r="CC11" s="59">
        <f t="shared" si="11"/>
        <v>274.92480747361003</v>
      </c>
      <c r="CD11" s="59">
        <f ca="1">AVERAGE(OFFSET($CC$3,0,0,'Données projet'!$E$12+1,1))-AVERAGE(OFFSET($H$3,0,0,'Données projet'!$E$12+1,1))</f>
        <v>407.73540492005355</v>
      </c>
      <c r="CE11" s="59">
        <f t="shared" si="40"/>
        <v>296.29416764204774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5.4584461139707896</v>
      </c>
      <c r="CV11" s="13">
        <f t="shared" si="41"/>
        <v>2.0645540509389519</v>
      </c>
      <c r="CW11" s="20">
        <f t="shared" si="13"/>
        <v>13.102558620551131</v>
      </c>
      <c r="CX11" s="59">
        <f t="shared" si="14"/>
        <v>279.54700306499558</v>
      </c>
      <c r="CY11" s="59">
        <f ca="1">AVERAGE(OFFSET($CX$3,0,0,'Données projet'!$E$13+1,1))-AVERAGE(OFFSET($H$3,0,0,'Données projet'!$E$13+1,1))</f>
        <v>299.10536994156814</v>
      </c>
      <c r="CZ11" s="59">
        <f t="shared" si="42"/>
        <v>292.57799203101769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5.4584461139707896</v>
      </c>
      <c r="DQ11" s="13">
        <f t="shared" si="43"/>
        <v>2.0645540509389519</v>
      </c>
      <c r="DR11" s="20">
        <f t="shared" si="16"/>
        <v>13.102558620551131</v>
      </c>
      <c r="DS11" s="59">
        <f t="shared" si="17"/>
        <v>279.54700306499558</v>
      </c>
      <c r="DT11" s="59">
        <f ca="1">AVERAGE(OFFSET($DS$3,0,0,'Données projet'!$E$14+1,1))-AVERAGE(OFFSET($H$3,0,0,'Données projet'!$E$14+1,1))</f>
        <v>299.10536994156814</v>
      </c>
      <c r="DU11" s="59">
        <f t="shared" si="44"/>
        <v>292.57799203101769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0.9</v>
      </c>
      <c r="EJ11" s="12">
        <f>IF('Données projet'!$A$192&gt;35,EJ10+EI11-ER10,IF(A11&lt;'Données projet'!$A$192,$EG$205^A11,IF(A11='Données projet'!$A$192,'Données projet'!$B$192,EJ10+EI11-ER10)))</f>
        <v>5.7995461347952899</v>
      </c>
      <c r="EK11" s="17">
        <f>EJ11*VLOOKUP('Données projet'!$B$15,Paramètres!$A$1:$I$89,3,0)*VLOOKUP('Données projet'!$B$15,Paramètres!$A$1:$I$89,5,0)</f>
        <v>3.7998626275178737</v>
      </c>
      <c r="EL11" s="13">
        <f t="shared" si="45"/>
        <v>1.4991150978629391</v>
      </c>
      <c r="EM11" s="20">
        <f t="shared" si="19"/>
        <v>9.2290528717049156</v>
      </c>
      <c r="EN11" s="59">
        <f t="shared" si="20"/>
        <v>275.67349731614939</v>
      </c>
      <c r="EO11" s="59">
        <f ca="1">AVERAGE(OFFSET($EN$3,0,0,'Données projet'!$E$15+1,1))-AVERAGE(OFFSET($H$3,0,0,'Données projet'!$E$15+1,1))</f>
        <v>230.58262378842818</v>
      </c>
      <c r="EP11" s="59">
        <f t="shared" si="46"/>
        <v>235.68746142880792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2.8</v>
      </c>
      <c r="FE11" s="12">
        <f>IF('Données projet'!$A$218&gt;35,FE10+FD11-FM10,IF(A11&lt;'Données projet'!$A$218,$FB$205^A11,IF(A11='Données projet'!$A$218,'Données projet'!$B$218,FE10+FD11-FM10)))</f>
        <v>7.3406235873163457</v>
      </c>
      <c r="FF11" s="17">
        <f>FE11*VLOOKUP('Données projet'!$B$16,Paramètres!$A$1:$I$89,3,0)*VLOOKUP('Données projet'!$B$16,Paramètres!$A$1:$I$89,5,0)</f>
        <v>5.95471385403102</v>
      </c>
      <c r="FG11" s="13">
        <f t="shared" si="47"/>
        <v>2.2295599442474598</v>
      </c>
      <c r="FH11" s="20">
        <f t="shared" si="22"/>
        <v>14.254276865335017</v>
      </c>
      <c r="FI11" s="59">
        <f t="shared" si="23"/>
        <v>280.6987213097795</v>
      </c>
      <c r="FJ11" s="59">
        <f ca="1">AVERAGE(OFFSET($FI$3,0,0,'Données projet'!$E$16+1,1))-AVERAGE(OFFSET($H$3,0,0,'Données projet'!$E$16+1,1))</f>
        <v>272.90535195666996</v>
      </c>
      <c r="FK11" s="59">
        <f t="shared" si="48"/>
        <v>222.25422164416898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276.94867401567694</v>
      </c>
      <c r="S12" s="59">
        <f ca="1">AVERAGE(OFFSET($R$3,0,0,'Données projet'!$E$9+1,1))-AVERAGE(OFFSET($H$3,0,0,'Données projet'!$E$9+1,1))</f>
        <v>384.05928630855732</v>
      </c>
      <c r="T12" s="59">
        <f t="shared" si="34"/>
        <v>279.93992813630513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14.2</v>
      </c>
      <c r="AI12" s="13">
        <f>IF('Données projet'!$A$62&gt;35,AI11+AH12-AQ11,IF(A12&lt;'Données projet'!$A$62,$AF$205^A12,IF(A12='Données projet'!$A$62,'Données projet'!$B$62,AI11+AH12-AQ11)))</f>
        <v>84.800000000000011</v>
      </c>
      <c r="AJ12" s="13">
        <f>AI12*VLOOKUP('Données projet'!$B$10,Paramètres!$A$1:$I$89,3,0)*VLOOKUP('Données projet'!$B$10,Paramètres!$A$1:$I$89,5,0)</f>
        <v>76.727040000000017</v>
      </c>
      <c r="AK12" s="13">
        <f t="shared" si="35"/>
        <v>21.334993267156719</v>
      </c>
      <c r="AL12" s="20">
        <f t="shared" si="4"/>
        <v>170.79137460696464</v>
      </c>
      <c r="AM12" s="59">
        <f t="shared" si="5"/>
        <v>438.45804127363135</v>
      </c>
      <c r="AN12" s="59">
        <f ca="1">AVERAGE(OFFSET($AM$3,0,0,'Données projet'!$E$10+1,1))-AVERAGE(OFFSET($H$3,0,0,'Données projet'!$E$10+1,1))</f>
        <v>366.69125512029831</v>
      </c>
      <c r="AO12" s="59">
        <f t="shared" si="36"/>
        <v>513.80016421153414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18.091343659125879</v>
      </c>
      <c r="BF12" s="13">
        <f t="shared" si="37"/>
        <v>5.9518679121149844</v>
      </c>
      <c r="BG12" s="20">
        <f t="shared" si="7"/>
        <v>41.875260153244504</v>
      </c>
      <c r="BH12" s="59">
        <f t="shared" si="8"/>
        <v>309.54192681991117</v>
      </c>
      <c r="BI12" s="59">
        <f ca="1">AVERAGE(OFFSET($BH$3,0,0,'Données projet'!$E$11+1,1))-AVERAGE(OFFSET($H$3,0,0,'Données projet'!$E$11+1,1))</f>
        <v>354.24684313982857</v>
      </c>
      <c r="BJ12" s="59">
        <f t="shared" si="38"/>
        <v>322.65043486962185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4.0628205128205126</v>
      </c>
      <c r="BY12" s="12">
        <f>IF('Données projet'!$A$114&gt;35,BY11+BX12-CG11,IF(A12&lt;'Données projet'!$A$114,$BV$205^A12,IF(A12='Données projet'!$A$114,'Données projet'!$B$114,BY11+BX12-CG11)))</f>
        <v>4.2245909793472531</v>
      </c>
      <c r="BZ12" s="13">
        <f>BY12*VLOOKUP('Données projet'!$B$12,Paramètres!$A$1:$I$89,3,0)*VLOOKUP('Données projet'!$B$12,Paramètres!$A$1:$I$89,5,0)</f>
        <v>4.0860243952246638</v>
      </c>
      <c r="CA12" s="13">
        <f t="shared" si="39"/>
        <v>1.598444600408782</v>
      </c>
      <c r="CB12" s="20">
        <f t="shared" si="10"/>
        <v>9.9004501673949186</v>
      </c>
      <c r="CC12" s="59">
        <f t="shared" si="11"/>
        <v>277.56711683406161</v>
      </c>
      <c r="CD12" s="59">
        <f ca="1">AVERAGE(OFFSET($CC$3,0,0,'Données projet'!$E$12+1,1))-AVERAGE(OFFSET($H$3,0,0,'Données projet'!$E$12+1,1))</f>
        <v>407.73540492005355</v>
      </c>
      <c r="CE12" s="59">
        <f t="shared" si="40"/>
        <v>296.29416764204774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6.9440974821267289</v>
      </c>
      <c r="CV12" s="13">
        <f t="shared" si="41"/>
        <v>2.5538994442566798</v>
      </c>
      <c r="CW12" s="20">
        <f t="shared" si="13"/>
        <v>16.542344646784436</v>
      </c>
      <c r="CX12" s="59">
        <f t="shared" si="14"/>
        <v>284.20901131345113</v>
      </c>
      <c r="CY12" s="59">
        <f ca="1">AVERAGE(OFFSET($CX$3,0,0,'Données projet'!$E$13+1,1))-AVERAGE(OFFSET($H$3,0,0,'Données projet'!$E$13+1,1))</f>
        <v>299.10536994156814</v>
      </c>
      <c r="CZ12" s="59">
        <f t="shared" si="42"/>
        <v>292.57799203101769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6.9440974821267289</v>
      </c>
      <c r="DQ12" s="13">
        <f t="shared" si="43"/>
        <v>2.5538994442566798</v>
      </c>
      <c r="DR12" s="20">
        <f t="shared" si="16"/>
        <v>16.542344646784436</v>
      </c>
      <c r="DS12" s="59">
        <f t="shared" si="17"/>
        <v>284.20901131345113</v>
      </c>
      <c r="DT12" s="59">
        <f ca="1">AVERAGE(OFFSET($DS$3,0,0,'Données projet'!$E$14+1,1))-AVERAGE(OFFSET($H$3,0,0,'Données projet'!$E$14+1,1))</f>
        <v>299.10536994156814</v>
      </c>
      <c r="DU12" s="59">
        <f t="shared" si="44"/>
        <v>292.57799203101769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0.9</v>
      </c>
      <c r="EJ12" s="12">
        <f>IF('Données projet'!$A$192&gt;35,EJ11+EI12-ER11,IF(A12&lt;'Données projet'!$A$192,$EG$205^A12,IF(A12='Données projet'!$A$192,'Données projet'!$B$192,EJ11+EI12-ER11)))</f>
        <v>7.2246740558420788</v>
      </c>
      <c r="EK12" s="17">
        <f>EJ12*VLOOKUP('Données projet'!$B$15,Paramètres!$A$1:$I$89,3,0)*VLOOKUP('Données projet'!$B$15,Paramètres!$A$1:$I$89,5,0)</f>
        <v>4.7336064413877299</v>
      </c>
      <c r="EL12" s="13">
        <f t="shared" si="45"/>
        <v>1.8203372077743676</v>
      </c>
      <c r="EM12" s="20">
        <f t="shared" si="19"/>
        <v>11.414785188957319</v>
      </c>
      <c r="EN12" s="59">
        <f t="shared" si="20"/>
        <v>279.08145185562398</v>
      </c>
      <c r="EO12" s="59">
        <f ca="1">AVERAGE(OFFSET($EN$3,0,0,'Données projet'!$E$15+1,1))-AVERAGE(OFFSET($H$3,0,0,'Données projet'!$E$15+1,1))</f>
        <v>230.58262378842818</v>
      </c>
      <c r="EP12" s="59">
        <f t="shared" si="46"/>
        <v>235.68746142880792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2.8</v>
      </c>
      <c r="FE12" s="12">
        <f>IF('Données projet'!$A$218&gt;35,FE11+FD12-FM11,IF(A12&lt;'Données projet'!$A$218,$FB$205^A12,IF(A12='Données projet'!$A$218,'Données projet'!$B$218,FE11+FD12-FM11)))</f>
        <v>9.4178024044149247</v>
      </c>
      <c r="FF12" s="17">
        <f>FE12*VLOOKUP('Données projet'!$B$16,Paramètres!$A$1:$I$89,3,0)*VLOOKUP('Données projet'!$B$16,Paramètres!$A$1:$I$89,5,0)</f>
        <v>7.639721310461387</v>
      </c>
      <c r="FG12" s="13">
        <f t="shared" si="47"/>
        <v>2.7786852658795538</v>
      </c>
      <c r="FH12" s="20">
        <f t="shared" si="22"/>
        <v>18.145391453793806</v>
      </c>
      <c r="FI12" s="59">
        <f t="shared" si="23"/>
        <v>285.81205812046051</v>
      </c>
      <c r="FJ12" s="59">
        <f ca="1">AVERAGE(OFFSET($FI$3,0,0,'Données projet'!$E$16+1,1))-AVERAGE(OFFSET($H$3,0,0,'Données projet'!$E$16+1,1))</f>
        <v>272.90535195666996</v>
      </c>
      <c r="FK12" s="59">
        <f t="shared" si="48"/>
        <v>222.25422164416898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279.72566805419609</v>
      </c>
      <c r="S13" s="59">
        <f ca="1">AVERAGE(OFFSET($R$3,0,0,'Données projet'!$E$9+1,1))-AVERAGE(OFFSET($H$3,0,0,'Données projet'!$E$9+1,1))</f>
        <v>384.05928630855732</v>
      </c>
      <c r="T13" s="59">
        <f t="shared" si="34"/>
        <v>279.93992813630513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99</v>
      </c>
      <c r="AG13" s="12">
        <f>VLOOKUP(A13,'Données projet'!$A$61:$I$81,9,0)</f>
        <v>14.2</v>
      </c>
      <c r="AH13" s="12">
        <f t="array" ref="AH13">INDEX(AG:AG,MIN(IF(ISNUMBER(AG13:AG209),ROW(AG13:AG209),"")))</f>
        <v>14.2</v>
      </c>
      <c r="AI13" s="13">
        <f>IF('Données projet'!$A$62&gt;35,AI12+AH13-AQ12,IF(A13&lt;'Données projet'!$A$62,$AF$205^A13,IF(A13='Données projet'!$A$62,'Données projet'!$B$62,AI12+AH13-AQ12)))</f>
        <v>99.000000000000014</v>
      </c>
      <c r="AJ13" s="13">
        <f>AI13*VLOOKUP('Données projet'!$B$10,Paramètres!$A$1:$I$89,3,0)*VLOOKUP('Données projet'!$B$10,Paramètres!$A$1:$I$89,5,0)</f>
        <v>89.575200000000009</v>
      </c>
      <c r="AK13" s="13">
        <f t="shared" si="35"/>
        <v>24.462745269668691</v>
      </c>
      <c r="AL13" s="20">
        <f t="shared" si="4"/>
        <v>198.61608801133966</v>
      </c>
      <c r="AM13" s="59">
        <f t="shared" si="5"/>
        <v>467.50497690022848</v>
      </c>
      <c r="AN13" s="59">
        <f ca="1">AVERAGE(OFFSET($AM$3,0,0,'Données projet'!$E$10+1,1))-AVERAGE(OFFSET($H$3,0,0,'Données projet'!$E$10+1,1))</f>
        <v>366.69125512029831</v>
      </c>
      <c r="AO13" s="59">
        <f t="shared" si="36"/>
        <v>513.80016421153414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29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25.334400000000002</v>
      </c>
      <c r="BF13" s="13">
        <f t="shared" si="37"/>
        <v>8.0143955200794572</v>
      </c>
      <c r="BG13" s="20">
        <f t="shared" si="7"/>
        <v>58.082485530805059</v>
      </c>
      <c r="BH13" s="59">
        <f t="shared" si="8"/>
        <v>326.97137441969392</v>
      </c>
      <c r="BI13" s="59">
        <f ca="1">AVERAGE(OFFSET($BH$3,0,0,'Données projet'!$E$11+1,1))-AVERAGE(OFFSET($H$3,0,0,'Données projet'!$E$11+1,1))</f>
        <v>354.24684313982857</v>
      </c>
      <c r="BJ13" s="59">
        <f t="shared" si="38"/>
        <v>322.65043486962185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4.0628205128205126</v>
      </c>
      <c r="BY13" s="12">
        <f>IF('Données projet'!$A$114&gt;35,BY12+BX13-CG12,IF(A13&lt;'Données projet'!$A$114,$BV$205^A13,IF(A13='Données projet'!$A$114,'Données projet'!$B$114,BY12+BX13-CG12)))</f>
        <v>4.9581115906815549</v>
      </c>
      <c r="BZ13" s="13">
        <f>BY13*VLOOKUP('Données projet'!$B$12,Paramètres!$A$1:$I$89,3,0)*VLOOKUP('Données projet'!$B$12,Paramètres!$A$1:$I$89,5,0)</f>
        <v>4.7954855305072002</v>
      </c>
      <c r="CA13" s="13">
        <f t="shared" si="39"/>
        <v>1.8413474169175326</v>
      </c>
      <c r="CB13" s="20">
        <f t="shared" si="10"/>
        <v>11.559150716764741</v>
      </c>
      <c r="CC13" s="59">
        <f t="shared" si="11"/>
        <v>280.44803960565361</v>
      </c>
      <c r="CD13" s="59">
        <f ca="1">AVERAGE(OFFSET($CC$3,0,0,'Données projet'!$E$12+1,1))-AVERAGE(OFFSET($H$3,0,0,'Données projet'!$E$12+1,1))</f>
        <v>407.73540492005355</v>
      </c>
      <c r="CE13" s="59">
        <f t="shared" si="40"/>
        <v>296.29416764204774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8.8341056840076444</v>
      </c>
      <c r="CV13" s="13">
        <f t="shared" si="41"/>
        <v>3.1592306185484516</v>
      </c>
      <c r="CW13" s="20">
        <f t="shared" si="13"/>
        <v>20.888394060285197</v>
      </c>
      <c r="CX13" s="59">
        <f t="shared" si="14"/>
        <v>289.77728294917404</v>
      </c>
      <c r="CY13" s="59">
        <f ca="1">AVERAGE(OFFSET($CX$3,0,0,'Données projet'!$E$13+1,1))-AVERAGE(OFFSET($H$3,0,0,'Données projet'!$E$13+1,1))</f>
        <v>299.10536994156814</v>
      </c>
      <c r="CZ13" s="59">
        <f t="shared" si="42"/>
        <v>292.57799203101769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8.8341056840076444</v>
      </c>
      <c r="DQ13" s="13">
        <f t="shared" si="43"/>
        <v>3.1592306185484516</v>
      </c>
      <c r="DR13" s="20">
        <f t="shared" si="16"/>
        <v>20.888394060285197</v>
      </c>
      <c r="DS13" s="59">
        <f t="shared" si="17"/>
        <v>289.77728294917404</v>
      </c>
      <c r="DT13" s="59">
        <f ca="1">AVERAGE(OFFSET($DS$3,0,0,'Données projet'!$E$14+1,1))-AVERAGE(OFFSET($H$3,0,0,'Données projet'!$E$14+1,1))</f>
        <v>299.10536994156814</v>
      </c>
      <c r="DU13" s="59">
        <f t="shared" si="44"/>
        <v>292.57799203101769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9</v>
      </c>
      <c r="EH13" s="12">
        <f>VLOOKUP(A13,'Données projet'!$A$191:$I$211,9,0)</f>
        <v>0.9</v>
      </c>
      <c r="EI13" s="12">
        <f t="array" ref="EI13">INDEX(EH:EH,MIN(IF(ISNUMBER(EH13:EH209),ROW(EH13:EH209),"")))</f>
        <v>0.9</v>
      </c>
      <c r="EJ13" s="12">
        <f>IF('Données projet'!$A$192&gt;35,EJ12+EI13-ER12,IF(A13&lt;'Données projet'!$A$192,$EG$205^A13,IF(A13='Données projet'!$A$192,'Données projet'!$B$192,EJ12+EI13-ER12)))</f>
        <v>9</v>
      </c>
      <c r="EK13" s="17">
        <f>EJ13*VLOOKUP('Données projet'!$B$15,Paramètres!$A$1:$I$89,3,0)*VLOOKUP('Données projet'!$B$15,Paramètres!$A$1:$I$89,5,0)</f>
        <v>5.8967999999999998</v>
      </c>
      <c r="EL13" s="13">
        <f t="shared" si="45"/>
        <v>2.210389018649412</v>
      </c>
      <c r="EM13" s="20">
        <f t="shared" si="19"/>
        <v>14.120020874147725</v>
      </c>
      <c r="EN13" s="59">
        <f t="shared" si="20"/>
        <v>283.00890976303657</v>
      </c>
      <c r="EO13" s="59">
        <f ca="1">AVERAGE(OFFSET($EN$3,0,0,'Données projet'!$E$15+1,1))-AVERAGE(OFFSET($H$3,0,0,'Données projet'!$E$15+1,1))</f>
        <v>230.58262378842818</v>
      </c>
      <c r="EP13" s="59">
        <f t="shared" si="46"/>
        <v>235.68746142880792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1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4.3000000000000003E-2</v>
      </c>
      <c r="EU13" s="16">
        <f>IF(ISNA(VLOOKUP(A13,'Données projet'!$A$191:$I$211,7,0)),0%,VLOOKUP(A13,'Données projet'!$A$191:$I$211,7,0))</f>
        <v>0.3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3.1022450236522271E-2</v>
      </c>
      <c r="EX13" s="21">
        <f>EXP(-LN(2)/2)*EX12+(1-EXP(-LN(2)/2))/(LN(2)/2)*ER13*EU13*VLOOKUP('Données projet'!$B$15,Paramètres!$A$1:$I$89,3,0)*0.475*44/12</f>
        <v>0.18545965033483505</v>
      </c>
      <c r="EY13" s="22">
        <f t="shared" si="21"/>
        <v>0.21648210057135733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2.8</v>
      </c>
      <c r="FE13" s="12">
        <f>IF('Données projet'!$A$218&gt;35,FE12+FD13-FM12,IF(A13&lt;'Données projet'!$A$218,$FB$205^A13,IF(A13='Données projet'!$A$218,'Données projet'!$B$218,FE12+FD13-FM12)))</f>
        <v>12.08276123596054</v>
      </c>
      <c r="FF13" s="17">
        <f>FE13*VLOOKUP('Données projet'!$B$16,Paramètres!$A$1:$I$89,3,0)*VLOOKUP('Données projet'!$B$16,Paramètres!$A$1:$I$89,5,0)</f>
        <v>9.8015359146111898</v>
      </c>
      <c r="FG13" s="13">
        <f t="shared" si="47"/>
        <v>3.4630563877582672</v>
      </c>
      <c r="FH13" s="20">
        <f t="shared" si="22"/>
        <v>23.102498259960139</v>
      </c>
      <c r="FI13" s="59">
        <f t="shared" si="23"/>
        <v>291.99138714884901</v>
      </c>
      <c r="FJ13" s="59">
        <f ca="1">AVERAGE(OFFSET($FI$3,0,0,'Données projet'!$E$16+1,1))-AVERAGE(OFFSET($H$3,0,0,'Données projet'!$E$16+1,1))</f>
        <v>272.90535195666996</v>
      </c>
      <c r="FK13" s="59">
        <f t="shared" si="48"/>
        <v>222.25422164416898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282.76397625718522</v>
      </c>
      <c r="S14" s="59">
        <f ca="1">AVERAGE(OFFSET($R$3,0,0,'Données projet'!$E$9+1,1))-AVERAGE(OFFSET($H$3,0,0,'Données projet'!$E$9+1,1))</f>
        <v>384.05928630855732</v>
      </c>
      <c r="T14" s="59">
        <f t="shared" si="34"/>
        <v>279.93992813630513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</v>
      </c>
      <c r="AI14" s="13">
        <f>IF('Données projet'!$A$62&gt;35,AI13+AH14-AQ13,IF(A14&lt;'Données projet'!$A$62,$AF$205^A14,IF(A14='Données projet'!$A$62,'Données projet'!$B$62,AI13+AH14-AQ13)))</f>
        <v>84.000000000000014</v>
      </c>
      <c r="AJ14" s="13">
        <f>AI14*VLOOKUP('Données projet'!$B$10,Paramètres!$A$1:$I$89,3,0)*VLOOKUP('Données projet'!$B$10,Paramètres!$A$1:$I$89,5,0)</f>
        <v>76.003200000000007</v>
      </c>
      <c r="AK14" s="13">
        <f t="shared" si="35"/>
        <v>21.157049992000456</v>
      </c>
      <c r="AL14" s="20">
        <f t="shared" si="4"/>
        <v>169.22076873606747</v>
      </c>
      <c r="AM14" s="59">
        <f t="shared" si="5"/>
        <v>439.33187984717858</v>
      </c>
      <c r="AN14" s="59">
        <f ca="1">AVERAGE(OFFSET($AM$3,0,0,'Données projet'!$E$10+1,1))-AVERAGE(OFFSET($H$3,0,0,'Données projet'!$E$10+1,1))</f>
        <v>366.69125512029831</v>
      </c>
      <c r="AO14" s="59">
        <f t="shared" si="36"/>
        <v>513.80016421153414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33.022080000000003</v>
      </c>
      <c r="BF14" s="13">
        <f t="shared" si="37"/>
        <v>10.129025278332465</v>
      </c>
      <c r="BG14" s="20">
        <f t="shared" si="7"/>
        <v>75.154841693095705</v>
      </c>
      <c r="BH14" s="59">
        <f t="shared" si="8"/>
        <v>345.26595280420685</v>
      </c>
      <c r="BI14" s="59">
        <f ca="1">AVERAGE(OFFSET($BH$3,0,0,'Données projet'!$E$11+1,1))-AVERAGE(OFFSET($H$3,0,0,'Données projet'!$E$11+1,1))</f>
        <v>354.24684313982857</v>
      </c>
      <c r="BJ14" s="59">
        <f t="shared" si="38"/>
        <v>322.65043486962185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4.0628205128205126</v>
      </c>
      <c r="BY14" s="12">
        <f>IF('Données projet'!$A$114&gt;35,BY13+BX14-CG13,IF(A14&lt;'Données projet'!$A$114,$BV$205^A14,IF(A14='Données projet'!$A$114,'Données projet'!$B$114,BY13+BX14-CG13)))</f>
        <v>5.8189942330107201</v>
      </c>
      <c r="BZ14" s="13">
        <f>BY14*VLOOKUP('Données projet'!$B$12,Paramètres!$A$1:$I$89,3,0)*VLOOKUP('Données projet'!$B$12,Paramètres!$A$1:$I$89,5,0)</f>
        <v>5.6281312221679691</v>
      </c>
      <c r="CA14" s="13">
        <f t="shared" si="39"/>
        <v>2.1211622279069138</v>
      </c>
      <c r="CB14" s="20">
        <f t="shared" si="10"/>
        <v>13.496686092213752</v>
      </c>
      <c r="CC14" s="59">
        <f t="shared" si="11"/>
        <v>283.60779720332488</v>
      </c>
      <c r="CD14" s="59">
        <f ca="1">AVERAGE(OFFSET($CC$3,0,0,'Données projet'!$E$12+1,1))-AVERAGE(OFFSET($H$3,0,0,'Données projet'!$E$12+1,1))</f>
        <v>407.73540492005355</v>
      </c>
      <c r="CE14" s="59">
        <f t="shared" si="40"/>
        <v>296.29416764204774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11.238526451721825</v>
      </c>
      <c r="CV14" s="13">
        <f t="shared" si="41"/>
        <v>3.9080387928425129</v>
      </c>
      <c r="CW14" s="20">
        <f t="shared" si="13"/>
        <v>26.380267800949554</v>
      </c>
      <c r="CX14" s="59">
        <f t="shared" si="14"/>
        <v>296.49137891206067</v>
      </c>
      <c r="CY14" s="59">
        <f ca="1">AVERAGE(OFFSET($CX$3,0,0,'Données projet'!$E$13+1,1))-AVERAGE(OFFSET($H$3,0,0,'Données projet'!$E$13+1,1))</f>
        <v>299.10536994156814</v>
      </c>
      <c r="CZ14" s="59">
        <f t="shared" si="42"/>
        <v>292.57799203101769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11.238526451721825</v>
      </c>
      <c r="DQ14" s="13">
        <f t="shared" si="43"/>
        <v>3.9080387928425129</v>
      </c>
      <c r="DR14" s="20">
        <f t="shared" si="16"/>
        <v>26.380267800949554</v>
      </c>
      <c r="DS14" s="59">
        <f t="shared" si="17"/>
        <v>296.49137891206067</v>
      </c>
      <c r="DT14" s="59">
        <f ca="1">AVERAGE(OFFSET($DS$3,0,0,'Données projet'!$E$14+1,1))-AVERAGE(OFFSET($H$3,0,0,'Données projet'!$E$14+1,1))</f>
        <v>299.10536994156814</v>
      </c>
      <c r="DU14" s="59">
        <f t="shared" si="44"/>
        <v>292.57799203101769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5.6</v>
      </c>
      <c r="EJ14" s="12">
        <f>IF('Données projet'!$A$192&gt;35,EJ13+EI14-ER13,IF(A14&lt;'Données projet'!$A$192,$EG$205^A14,IF(A14='Données projet'!$A$192,'Données projet'!$B$192,EJ13+EI14-ER13)))</f>
        <v>13.6</v>
      </c>
      <c r="EK14" s="17">
        <f>EJ14*VLOOKUP('Données projet'!$B$15,Paramètres!$A$1:$I$89,3,0)*VLOOKUP('Données projet'!$B$15,Paramètres!$A$1:$I$89,5,0)</f>
        <v>8.9107199999999995</v>
      </c>
      <c r="EL14" s="13">
        <f t="shared" si="45"/>
        <v>3.1834278577240251</v>
      </c>
      <c r="EM14" s="20">
        <f t="shared" si="19"/>
        <v>21.063974185536008</v>
      </c>
      <c r="EN14" s="59">
        <f t="shared" si="20"/>
        <v>291.17508529664713</v>
      </c>
      <c r="EO14" s="59">
        <f ca="1">AVERAGE(OFFSET($EN$3,0,0,'Données projet'!$E$15+1,1))-AVERAGE(OFFSET($H$3,0,0,'Données projet'!$E$15+1,1))</f>
        <v>230.58262378842818</v>
      </c>
      <c r="EP14" s="59">
        <f t="shared" si="46"/>
        <v>235.68746142880792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3.0174139703404813E-2</v>
      </c>
      <c r="EX14" s="21">
        <f>EXP(-LN(2)/2)*EX13+(1-EXP(-LN(2)/2))/(LN(2)/2)*ER14*EU14*VLOOKUP('Données projet'!$B$15,Paramètres!$A$1:$I$89,3,0)*0.475*44/12</f>
        <v>0.13113977638824784</v>
      </c>
      <c r="EY14" s="22">
        <f t="shared" si="21"/>
        <v>0.16131391609165266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2.8</v>
      </c>
      <c r="FE14" s="12">
        <f>IF('Données projet'!$A$218&gt;35,FE13+FD14-FM13,IF(A14&lt;'Données projet'!$A$218,$FB$205^A14,IF(A14='Données projet'!$A$218,'Données projet'!$B$218,FE13+FD14-FM13)))</f>
        <v>15.501824397673841</v>
      </c>
      <c r="FF14" s="17">
        <f>FE14*VLOOKUP('Données projet'!$B$16,Paramètres!$A$1:$I$89,3,0)*VLOOKUP('Données projet'!$B$16,Paramètres!$A$1:$I$89,5,0)</f>
        <v>12.575079951393022</v>
      </c>
      <c r="FG14" s="13">
        <f t="shared" si="47"/>
        <v>4.3159834228282739</v>
      </c>
      <c r="FH14" s="20">
        <f t="shared" si="22"/>
        <v>29.418602043435424</v>
      </c>
      <c r="FI14" s="59">
        <f t="shared" si="23"/>
        <v>299.52971315454658</v>
      </c>
      <c r="FJ14" s="59">
        <f ca="1">AVERAGE(OFFSET($FI$3,0,0,'Données projet'!$E$16+1,1))-AVERAGE(OFFSET($H$3,0,0,'Données projet'!$E$16+1,1))</f>
        <v>272.90535195666996</v>
      </c>
      <c r="FK14" s="59">
        <f t="shared" si="48"/>
        <v>222.25422164416898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286.10765754879242</v>
      </c>
      <c r="S15" s="59">
        <f ca="1">AVERAGE(OFFSET($R$3,0,0,'Données projet'!$E$9+1,1))-AVERAGE(OFFSET($H$3,0,0,'Données projet'!$E$9+1,1))</f>
        <v>384.05928630855732</v>
      </c>
      <c r="T15" s="59">
        <f t="shared" si="34"/>
        <v>279.93992813630513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</v>
      </c>
      <c r="AI15" s="13">
        <f>IF('Données projet'!$A$62&gt;35,AI14+AH15-AQ14,IF(A15&lt;'Données projet'!$A$62,$AF$205^A15,IF(A15='Données projet'!$A$62,'Données projet'!$B$62,AI14+AH15-AQ14)))</f>
        <v>98.000000000000014</v>
      </c>
      <c r="AJ15" s="13">
        <f>AI15*VLOOKUP('Données projet'!$B$10,Paramètres!$A$1:$I$89,3,0)*VLOOKUP('Données projet'!$B$10,Paramètres!$A$1:$I$89,5,0)</f>
        <v>88.670400000000015</v>
      </c>
      <c r="AK15" s="13">
        <f t="shared" si="35"/>
        <v>24.244280250395512</v>
      </c>
      <c r="AL15" s="20">
        <f t="shared" si="4"/>
        <v>196.65973476943884</v>
      </c>
      <c r="AM15" s="59">
        <f t="shared" si="5"/>
        <v>467.99306810277216</v>
      </c>
      <c r="AN15" s="59">
        <f ca="1">AVERAGE(OFFSET($AM$3,0,0,'Données projet'!$E$10+1,1))-AVERAGE(OFFSET($H$3,0,0,'Données projet'!$E$10+1,1))</f>
        <v>366.69125512029831</v>
      </c>
      <c r="AO15" s="59">
        <f t="shared" si="36"/>
        <v>513.80016421153414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40.709760000000003</v>
      </c>
      <c r="BF15" s="13">
        <f t="shared" si="37"/>
        <v>12.186575870088381</v>
      </c>
      <c r="BG15" s="20">
        <f t="shared" si="7"/>
        <v>92.127784973737278</v>
      </c>
      <c r="BH15" s="59">
        <f t="shared" si="8"/>
        <v>363.46111830707059</v>
      </c>
      <c r="BI15" s="59">
        <f ca="1">AVERAGE(OFFSET($BH$3,0,0,'Données projet'!$E$11+1,1))-AVERAGE(OFFSET($H$3,0,0,'Données projet'!$E$11+1,1))</f>
        <v>354.24684313982857</v>
      </c>
      <c r="BJ15" s="59">
        <f t="shared" si="38"/>
        <v>322.65043486962185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4.0628205128205126</v>
      </c>
      <c r="BY15" s="12">
        <f>IF('Données projet'!$A$114&gt;35,BY14+BX15-CG14,IF(A15&lt;'Données projet'!$A$114,$BV$205^A15,IF(A15='Données projet'!$A$114,'Données projet'!$B$114,BY14+BX15-CG14)))</f>
        <v>6.8293529228851897</v>
      </c>
      <c r="BZ15" s="13">
        <f>BY15*VLOOKUP('Données projet'!$B$12,Paramètres!$A$1:$I$89,3,0)*VLOOKUP('Données projet'!$B$12,Paramètres!$A$1:$I$89,5,0)</f>
        <v>6.6053501470145557</v>
      </c>
      <c r="CA15" s="13">
        <f t="shared" si="39"/>
        <v>2.4434982533774234</v>
      </c>
      <c r="CB15" s="20">
        <f t="shared" si="10"/>
        <v>15.760077630682696</v>
      </c>
      <c r="CC15" s="59">
        <f t="shared" si="11"/>
        <v>287.09341096401602</v>
      </c>
      <c r="CD15" s="59">
        <f ca="1">AVERAGE(OFFSET($CC$3,0,0,'Données projet'!$E$12+1,1))-AVERAGE(OFFSET($H$3,0,0,'Données projet'!$E$12+1,1))</f>
        <v>407.73540492005355</v>
      </c>
      <c r="CE15" s="59">
        <f t="shared" si="40"/>
        <v>296.29416764204774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14.297369912010421</v>
      </c>
      <c r="CV15" s="13">
        <f t="shared" si="41"/>
        <v>4.8343312187127445</v>
      </c>
      <c r="CW15" s="20">
        <f t="shared" si="13"/>
        <v>33.321046136009507</v>
      </c>
      <c r="CX15" s="59">
        <f t="shared" si="14"/>
        <v>304.65437946934281</v>
      </c>
      <c r="CY15" s="59">
        <f ca="1">AVERAGE(OFFSET($CX$3,0,0,'Données projet'!$E$13+1,1))-AVERAGE(OFFSET($H$3,0,0,'Données projet'!$E$13+1,1))</f>
        <v>299.10536994156814</v>
      </c>
      <c r="CZ15" s="59">
        <f t="shared" si="42"/>
        <v>292.57799203101769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14.297369912010421</v>
      </c>
      <c r="DQ15" s="13">
        <f t="shared" si="43"/>
        <v>4.8343312187127445</v>
      </c>
      <c r="DR15" s="20">
        <f t="shared" si="16"/>
        <v>33.321046136009507</v>
      </c>
      <c r="DS15" s="59">
        <f t="shared" si="17"/>
        <v>304.65437946934281</v>
      </c>
      <c r="DT15" s="59">
        <f ca="1">AVERAGE(OFFSET($DS$3,0,0,'Données projet'!$E$14+1,1))-AVERAGE(OFFSET($H$3,0,0,'Données projet'!$E$14+1,1))</f>
        <v>299.10536994156814</v>
      </c>
      <c r="DU15" s="59">
        <f t="shared" si="44"/>
        <v>292.57799203101769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5.6</v>
      </c>
      <c r="EJ15" s="12">
        <f>IF('Données projet'!$A$192&gt;35,EJ14+EI15-ER14,IF(A15&lt;'Données projet'!$A$192,$EG$205^A15,IF(A15='Données projet'!$A$192,'Données projet'!$B$192,EJ14+EI15-ER14)))</f>
        <v>19.2</v>
      </c>
      <c r="EK15" s="17">
        <f>EJ15*VLOOKUP('Données projet'!$B$15,Paramètres!$A$1:$I$89,3,0)*VLOOKUP('Données projet'!$B$15,Paramètres!$A$1:$I$89,5,0)</f>
        <v>12.579840000000001</v>
      </c>
      <c r="EL15" s="13">
        <f t="shared" si="45"/>
        <v>4.3174269552455735</v>
      </c>
      <c r="EM15" s="20">
        <f t="shared" si="19"/>
        <v>29.429406613719376</v>
      </c>
      <c r="EN15" s="59">
        <f t="shared" si="20"/>
        <v>300.76273994705269</v>
      </c>
      <c r="EO15" s="59">
        <f ca="1">AVERAGE(OFFSET($EN$3,0,0,'Données projet'!$E$15+1,1))-AVERAGE(OFFSET($H$3,0,0,'Données projet'!$E$15+1,1))</f>
        <v>230.58262378842818</v>
      </c>
      <c r="EP15" s="59">
        <f t="shared" si="46"/>
        <v>235.68746142880792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2.9349026266426166E-2</v>
      </c>
      <c r="EX15" s="21">
        <f>EXP(-LN(2)/2)*EX14+(1-EXP(-LN(2)/2))/(LN(2)/2)*ER15*EU15*VLOOKUP('Données projet'!$B$15,Paramètres!$A$1:$I$89,3,0)*0.475*44/12</f>
        <v>9.272982516741754E-2</v>
      </c>
      <c r="EY15" s="22">
        <f t="shared" si="21"/>
        <v>0.1220788514338437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2.8</v>
      </c>
      <c r="FE15" s="12">
        <f>IF('Données projet'!$A$218&gt;35,FE14+FD15-FM14,IF(A15&lt;'Données projet'!$A$218,$FB$205^A15,IF(A15='Données projet'!$A$218,'Données projet'!$B$218,FE14+FD15-FM14)))</f>
        <v>19.888381054913101</v>
      </c>
      <c r="FF15" s="17">
        <f>FE15*VLOOKUP('Données projet'!$B$16,Paramètres!$A$1:$I$89,3,0)*VLOOKUP('Données projet'!$B$16,Paramètres!$A$1:$I$89,5,0)</f>
        <v>16.133454711745507</v>
      </c>
      <c r="FG15" s="13">
        <f t="shared" si="47"/>
        <v>5.3789805363772061</v>
      </c>
      <c r="FH15" s="20">
        <f t="shared" si="22"/>
        <v>37.46749139048039</v>
      </c>
      <c r="FI15" s="59">
        <f t="shared" si="23"/>
        <v>308.80082472381372</v>
      </c>
      <c r="FJ15" s="59">
        <f ca="1">AVERAGE(OFFSET($FI$3,0,0,'Données projet'!$E$16+1,1))-AVERAGE(OFFSET($H$3,0,0,'Données projet'!$E$16+1,1))</f>
        <v>272.90535195666996</v>
      </c>
      <c r="FK15" s="59">
        <f t="shared" si="48"/>
        <v>222.25422164416898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289.8082212748609</v>
      </c>
      <c r="S16" s="59">
        <f ca="1">AVERAGE(OFFSET($R$3,0,0,'Données projet'!$E$9+1,1))-AVERAGE(OFFSET($H$3,0,0,'Données projet'!$E$9+1,1))</f>
        <v>384.05928630855732</v>
      </c>
      <c r="T16" s="59">
        <f t="shared" si="34"/>
        <v>279.93992813630513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</v>
      </c>
      <c r="AI16" s="13">
        <f>IF('Données projet'!$A$62&gt;35,AI15+AH16-AQ15,IF(A16&lt;'Données projet'!$A$62,$AF$205^A16,IF(A16='Données projet'!$A$62,'Données projet'!$B$62,AI15+AH16-AQ15)))</f>
        <v>112.00000000000001</v>
      </c>
      <c r="AJ16" s="13">
        <f>AI16*VLOOKUP('Données projet'!$B$10,Paramètres!$A$1:$I$89,3,0)*VLOOKUP('Données projet'!$B$10,Paramètres!$A$1:$I$89,5,0)</f>
        <v>101.33760000000001</v>
      </c>
      <c r="AK16" s="13">
        <f t="shared" si="35"/>
        <v>27.280415454305565</v>
      </c>
      <c r="AL16" s="20">
        <f t="shared" si="4"/>
        <v>224.00971024958221</v>
      </c>
      <c r="AM16" s="59">
        <f t="shared" si="5"/>
        <v>496.56526580513776</v>
      </c>
      <c r="AN16" s="59">
        <f ca="1">AVERAGE(OFFSET($AM$3,0,0,'Données projet'!$E$10+1,1))-AVERAGE(OFFSET($H$3,0,0,'Données projet'!$E$10+1,1))</f>
        <v>366.69125512029831</v>
      </c>
      <c r="AO16" s="59">
        <f t="shared" si="36"/>
        <v>513.80016421153414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48.397439999999996</v>
      </c>
      <c r="BF16" s="13">
        <f t="shared" si="37"/>
        <v>14.199110166340073</v>
      </c>
      <c r="BG16" s="20">
        <f t="shared" si="7"/>
        <v>109.02232487304228</v>
      </c>
      <c r="BH16" s="59">
        <f t="shared" si="8"/>
        <v>381.57788042859784</v>
      </c>
      <c r="BI16" s="59">
        <f ca="1">AVERAGE(OFFSET($BH$3,0,0,'Données projet'!$E$11+1,1))-AVERAGE(OFFSET($H$3,0,0,'Données projet'!$E$11+1,1))</f>
        <v>354.24684313982857</v>
      </c>
      <c r="BJ16" s="59">
        <f t="shared" si="38"/>
        <v>322.65043486962185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4.0628205128205126</v>
      </c>
      <c r="BY16" s="12">
        <f>IF('Données projet'!$A$114&gt;35,BY15+BX16-CG15,IF(A16&lt;'Données projet'!$A$114,$BV$205^A16,IF(A16='Données projet'!$A$114,'Données projet'!$B$114,BY15+BX16-CG15)))</f>
        <v>8.0151413590917304</v>
      </c>
      <c r="BZ16" s="13">
        <f>BY16*VLOOKUP('Données projet'!$B$12,Paramètres!$A$1:$I$89,3,0)*VLOOKUP('Données projet'!$B$12,Paramètres!$A$1:$I$89,5,0)</f>
        <v>7.752244722513522</v>
      </c>
      <c r="CA16" s="13">
        <f t="shared" si="39"/>
        <v>2.8148171015425705</v>
      </c>
      <c r="CB16" s="20">
        <f t="shared" si="10"/>
        <v>18.404299343564364</v>
      </c>
      <c r="CC16" s="59">
        <f t="shared" si="11"/>
        <v>290.95985489911993</v>
      </c>
      <c r="CD16" s="59">
        <f ca="1">AVERAGE(OFFSET($CC$3,0,0,'Données projet'!$E$12+1,1))-AVERAGE(OFFSET($H$3,0,0,'Données projet'!$E$12+1,1))</f>
        <v>407.73540492005355</v>
      </c>
      <c r="CE16" s="59">
        <f t="shared" si="40"/>
        <v>296.29416764204774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18.188753417005401</v>
      </c>
      <c r="CV16" s="13">
        <f t="shared" si="41"/>
        <v>5.9801756254374139</v>
      </c>
      <c r="CW16" s="20">
        <f t="shared" si="13"/>
        <v>42.094218082254564</v>
      </c>
      <c r="CX16" s="59">
        <f t="shared" si="14"/>
        <v>314.64977363781009</v>
      </c>
      <c r="CY16" s="59">
        <f ca="1">AVERAGE(OFFSET($CX$3,0,0,'Données projet'!$E$13+1,1))-AVERAGE(OFFSET($H$3,0,0,'Données projet'!$E$13+1,1))</f>
        <v>299.10536994156814</v>
      </c>
      <c r="CZ16" s="59">
        <f t="shared" si="42"/>
        <v>292.57799203101769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18.188753417005401</v>
      </c>
      <c r="DQ16" s="13">
        <f t="shared" si="43"/>
        <v>5.9801756254374139</v>
      </c>
      <c r="DR16" s="20">
        <f t="shared" si="16"/>
        <v>42.094218082254564</v>
      </c>
      <c r="DS16" s="59">
        <f t="shared" si="17"/>
        <v>314.64977363781009</v>
      </c>
      <c r="DT16" s="59">
        <f ca="1">AVERAGE(OFFSET($DS$3,0,0,'Données projet'!$E$14+1,1))-AVERAGE(OFFSET($H$3,0,0,'Données projet'!$E$14+1,1))</f>
        <v>299.10536994156814</v>
      </c>
      <c r="DU16" s="59">
        <f t="shared" si="44"/>
        <v>292.57799203101769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5.6</v>
      </c>
      <c r="EJ16" s="12">
        <f>IF('Données projet'!$A$192&gt;35,EJ15+EI16-ER15,IF(A16&lt;'Données projet'!$A$192,$EG$205^A16,IF(A16='Données projet'!$A$192,'Données projet'!$B$192,EJ15+EI16-ER15)))</f>
        <v>24.799999999999997</v>
      </c>
      <c r="EK16" s="17">
        <f>EJ16*VLOOKUP('Données projet'!$B$15,Paramètres!$A$1:$I$89,3,0)*VLOOKUP('Données projet'!$B$15,Paramètres!$A$1:$I$89,5,0)</f>
        <v>16.248959999999997</v>
      </c>
      <c r="EL16" s="13">
        <f t="shared" si="45"/>
        <v>5.4129939058841172</v>
      </c>
      <c r="EM16" s="20">
        <f t="shared" si="19"/>
        <v>37.727903052748168</v>
      </c>
      <c r="EN16" s="59">
        <f t="shared" si="20"/>
        <v>310.2834586083037</v>
      </c>
      <c r="EO16" s="59">
        <f ca="1">AVERAGE(OFFSET($EN$3,0,0,'Données projet'!$E$15+1,1))-AVERAGE(OFFSET($H$3,0,0,'Données projet'!$E$15+1,1))</f>
        <v>230.58262378842818</v>
      </c>
      <c r="EP16" s="59">
        <f t="shared" si="46"/>
        <v>235.68746142880792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2.8546475599772528E-2</v>
      </c>
      <c r="EX16" s="21">
        <f>EXP(-LN(2)/2)*EX15+(1-EXP(-LN(2)/2))/(LN(2)/2)*ER16*EU16*VLOOKUP('Données projet'!$B$15,Paramètres!$A$1:$I$89,3,0)*0.475*44/12</f>
        <v>6.5569888194123932E-2</v>
      </c>
      <c r="EY16" s="22">
        <f t="shared" si="21"/>
        <v>9.4116363793896457E-2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2.8</v>
      </c>
      <c r="FE16" s="12">
        <f>IF('Données projet'!$A$218&gt;35,FE15+FD16-FM15,IF(A16&lt;'Données projet'!$A$218,$FB$205^A16,IF(A16='Données projet'!$A$218,'Données projet'!$B$218,FE15+FD16-FM15)))</f>
        <v>25.51620317959356</v>
      </c>
      <c r="FF16" s="17">
        <f>FE16*VLOOKUP('Données projet'!$B$16,Paramètres!$A$1:$I$89,3,0)*VLOOKUP('Données projet'!$B$16,Paramètres!$A$1:$I$89,5,0)</f>
        <v>20.698744019286298</v>
      </c>
      <c r="FG16" s="13">
        <f t="shared" si="47"/>
        <v>6.7037865478557999</v>
      </c>
      <c r="FH16" s="20">
        <f t="shared" si="22"/>
        <v>47.72607407110582</v>
      </c>
      <c r="FI16" s="59">
        <f t="shared" si="23"/>
        <v>320.28162962666136</v>
      </c>
      <c r="FJ16" s="59">
        <f ca="1">AVERAGE(OFFSET($FI$3,0,0,'Données projet'!$E$16+1,1))-AVERAGE(OFFSET($H$3,0,0,'Données projet'!$E$16+1,1))</f>
        <v>272.90535195666996</v>
      </c>
      <c r="FK16" s="59">
        <f t="shared" si="48"/>
        <v>222.25422164416898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293.9258904996496</v>
      </c>
      <c r="S17" s="59">
        <f ca="1">AVERAGE(OFFSET($R$3,0,0,'Données projet'!$E$9+1,1))-AVERAGE(OFFSET($H$3,0,0,'Données projet'!$E$9+1,1))</f>
        <v>384.05928630855732</v>
      </c>
      <c r="T17" s="59">
        <f t="shared" si="34"/>
        <v>279.93992813630513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</v>
      </c>
      <c r="AI17" s="13">
        <f>IF('Données projet'!$A$62&gt;35,AI16+AH17-AQ16,IF(A17&lt;'Données projet'!$A$62,$AF$205^A17,IF(A17='Données projet'!$A$62,'Données projet'!$B$62,AI16+AH17-AQ16)))</f>
        <v>126.00000000000001</v>
      </c>
      <c r="AJ17" s="13">
        <f>AI17*VLOOKUP('Données projet'!$B$10,Paramètres!$A$1:$I$89,3,0)*VLOOKUP('Données projet'!$B$10,Paramètres!$A$1:$I$89,5,0)</f>
        <v>114.0048</v>
      </c>
      <c r="AK17" s="13">
        <f t="shared" si="35"/>
        <v>30.272573949217303</v>
      </c>
      <c r="AL17" s="20">
        <f t="shared" si="4"/>
        <v>251.28309296155342</v>
      </c>
      <c r="AM17" s="59">
        <f t="shared" si="5"/>
        <v>525.06087073933122</v>
      </c>
      <c r="AN17" s="59">
        <f ca="1">AVERAGE(OFFSET($AM$3,0,0,'Données projet'!$E$10+1,1))-AVERAGE(OFFSET($H$3,0,0,'Données projet'!$E$10+1,1))</f>
        <v>366.69125512029831</v>
      </c>
      <c r="AO17" s="59">
        <f t="shared" si="36"/>
        <v>513.80016421153414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56.085119999999996</v>
      </c>
      <c r="BF17" s="13">
        <f t="shared" si="37"/>
        <v>16.174611252215492</v>
      </c>
      <c r="BG17" s="20">
        <f t="shared" si="7"/>
        <v>125.85236526427531</v>
      </c>
      <c r="BH17" s="59">
        <f t="shared" si="8"/>
        <v>399.63014304205308</v>
      </c>
      <c r="BI17" s="59">
        <f ca="1">AVERAGE(OFFSET($BH$3,0,0,'Données projet'!$E$11+1,1))-AVERAGE(OFFSET($H$3,0,0,'Données projet'!$E$11+1,1))</f>
        <v>354.24684313982857</v>
      </c>
      <c r="BJ17" s="59">
        <f t="shared" si="38"/>
        <v>322.65043486962185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4.0628205128205126</v>
      </c>
      <c r="BY17" s="12">
        <f>IF('Données projet'!$A$114&gt;35,BY16+BX17-CG16,IF(A17&lt;'Données projet'!$A$114,$BV$205^A17,IF(A17='Données projet'!$A$114,'Données projet'!$B$114,BY16+BX17-CG16)))</f>
        <v>9.4068196111151305</v>
      </c>
      <c r="BZ17" s="13">
        <f>BY17*VLOOKUP('Données projet'!$B$12,Paramètres!$A$1:$I$89,3,0)*VLOOKUP('Données projet'!$B$12,Paramètres!$A$1:$I$89,5,0)</f>
        <v>9.0982759278705547</v>
      </c>
      <c r="CA17" s="13">
        <f t="shared" si="39"/>
        <v>3.2425622994348409</v>
      </c>
      <c r="CB17" s="20">
        <f t="shared" si="10"/>
        <v>21.493626579223562</v>
      </c>
      <c r="CC17" s="59">
        <f t="shared" si="11"/>
        <v>295.27140435700136</v>
      </c>
      <c r="CD17" s="59">
        <f ca="1">AVERAGE(OFFSET($CC$3,0,0,'Données projet'!$E$12+1,1))-AVERAGE(OFFSET($H$3,0,0,'Données projet'!$E$12+1,1))</f>
        <v>407.73540492005355</v>
      </c>
      <c r="CE17" s="59">
        <f t="shared" si="40"/>
        <v>296.29416764204774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23.13927336990233</v>
      </c>
      <c r="CV17" s="13">
        <f t="shared" si="41"/>
        <v>7.3976107331343286</v>
      </c>
      <c r="CW17" s="20">
        <f t="shared" si="13"/>
        <v>53.185073146122171</v>
      </c>
      <c r="CX17" s="59">
        <f t="shared" si="14"/>
        <v>326.96285092389996</v>
      </c>
      <c r="CY17" s="59">
        <f ca="1">AVERAGE(OFFSET($CX$3,0,0,'Données projet'!$E$13+1,1))-AVERAGE(OFFSET($H$3,0,0,'Données projet'!$E$13+1,1))</f>
        <v>299.10536994156814</v>
      </c>
      <c r="CZ17" s="59">
        <f t="shared" si="42"/>
        <v>292.57799203101769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23.13927336990233</v>
      </c>
      <c r="DQ17" s="13">
        <f t="shared" si="43"/>
        <v>7.3976107331343286</v>
      </c>
      <c r="DR17" s="20">
        <f t="shared" si="16"/>
        <v>53.185073146122171</v>
      </c>
      <c r="DS17" s="59">
        <f t="shared" si="17"/>
        <v>326.96285092389996</v>
      </c>
      <c r="DT17" s="59">
        <f ca="1">AVERAGE(OFFSET($DS$3,0,0,'Données projet'!$E$14+1,1))-AVERAGE(OFFSET($H$3,0,0,'Données projet'!$E$14+1,1))</f>
        <v>299.10536994156814</v>
      </c>
      <c r="DU17" s="59">
        <f t="shared" si="44"/>
        <v>292.57799203101769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5.6</v>
      </c>
      <c r="EJ17" s="12">
        <f>IF('Données projet'!$A$192&gt;35,EJ16+EI17-ER16,IF(A17&lt;'Données projet'!$A$192,$EG$205^A17,IF(A17='Données projet'!$A$192,'Données projet'!$B$192,EJ16+EI17-ER16)))</f>
        <v>30.4</v>
      </c>
      <c r="EK17" s="17">
        <f>EJ17*VLOOKUP('Données projet'!$B$15,Paramètres!$A$1:$I$89,3,0)*VLOOKUP('Données projet'!$B$15,Paramètres!$A$1:$I$89,5,0)</f>
        <v>19.91808</v>
      </c>
      <c r="EL17" s="13">
        <f t="shared" si="45"/>
        <v>6.4798825087607046</v>
      </c>
      <c r="EM17" s="20">
        <f t="shared" si="19"/>
        <v>45.976451369424893</v>
      </c>
      <c r="EN17" s="59">
        <f t="shared" si="20"/>
        <v>319.75422914720264</v>
      </c>
      <c r="EO17" s="59">
        <f ca="1">AVERAGE(OFFSET($EN$3,0,0,'Données projet'!$E$15+1,1))-AVERAGE(OFFSET($H$3,0,0,'Données projet'!$E$15+1,1))</f>
        <v>230.58262378842818</v>
      </c>
      <c r="EP17" s="59">
        <f t="shared" si="46"/>
        <v>235.68746142880792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2.7765870723302839E-2</v>
      </c>
      <c r="EX17" s="21">
        <f>EXP(-LN(2)/2)*EX16+(1-EXP(-LN(2)/2))/(LN(2)/2)*ER17*EU17*VLOOKUP('Données projet'!$B$15,Paramètres!$A$1:$I$89,3,0)*0.475*44/12</f>
        <v>4.6364912583708777E-2</v>
      </c>
      <c r="EY17" s="22">
        <f t="shared" si="21"/>
        <v>7.4130783307011616E-2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2.8</v>
      </c>
      <c r="FE17" s="12">
        <f>IF('Données projet'!$A$218&gt;35,FE16+FD17-FM16,IF(A17&lt;'Données projet'!$A$218,$FB$205^A17,IF(A17='Données projet'!$A$218,'Données projet'!$B$218,FE16+FD17-FM16)))</f>
        <v>32.736532094021939</v>
      </c>
      <c r="FF17" s="17">
        <f>FE17*VLOOKUP('Données projet'!$B$16,Paramètres!$A$1:$I$89,3,0)*VLOOKUP('Données projet'!$B$16,Paramètres!$A$1:$I$89,5,0)</f>
        <v>26.5558748346706</v>
      </c>
      <c r="FG17" s="13">
        <f t="shared" si="47"/>
        <v>8.3548831930669891</v>
      </c>
      <c r="FH17" s="20">
        <f t="shared" si="22"/>
        <v>60.802903564976283</v>
      </c>
      <c r="FI17" s="59">
        <f t="shared" si="23"/>
        <v>334.58068134275408</v>
      </c>
      <c r="FJ17" s="59">
        <f ca="1">AVERAGE(OFFSET($FI$3,0,0,'Données projet'!$E$16+1,1))-AVERAGE(OFFSET($H$3,0,0,'Données projet'!$E$16+1,1))</f>
        <v>272.90535195666996</v>
      </c>
      <c r="FK17" s="59">
        <f t="shared" si="48"/>
        <v>222.25422164416898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298.53108004142928</v>
      </c>
      <c r="S18" s="59">
        <f ca="1">AVERAGE(OFFSET($R$3,0,0,'Données projet'!$E$9+1,1))-AVERAGE(OFFSET($H$3,0,0,'Données projet'!$E$9+1,1))</f>
        <v>384.05928630855732</v>
      </c>
      <c r="T18" s="59">
        <f t="shared" si="34"/>
        <v>279.93992813630513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140</v>
      </c>
      <c r="AG18" s="12">
        <f>VLOOKUP(A18,'Données projet'!$A$61:$I$81,9,0)</f>
        <v>14</v>
      </c>
      <c r="AH18" s="12">
        <f t="array" ref="AH18">INDEX(AG:AG,MIN(IF(ISNUMBER(AG18:AG214),ROW(AG18:AG214),"")))</f>
        <v>14</v>
      </c>
      <c r="AI18" s="13">
        <f>IF('Données projet'!$A$62&gt;35,AI17+AH18-AQ17,IF(A18&lt;'Données projet'!$A$62,$AF$205^A18,IF(A18='Données projet'!$A$62,'Données projet'!$B$62,AI17+AH18-AQ17)))</f>
        <v>140</v>
      </c>
      <c r="AJ18" s="13">
        <f>AI18*VLOOKUP('Données projet'!$B$10,Paramètres!$A$1:$I$89,3,0)*VLOOKUP('Données projet'!$B$10,Paramètres!$A$1:$I$89,5,0)</f>
        <v>126.67199999999998</v>
      </c>
      <c r="AK18" s="13">
        <f t="shared" si="35"/>
        <v>33.226199426361347</v>
      </c>
      <c r="AL18" s="20">
        <f t="shared" si="4"/>
        <v>278.48936400091264</v>
      </c>
      <c r="AM18" s="59">
        <f t="shared" si="5"/>
        <v>553.4893640009127</v>
      </c>
      <c r="AN18" s="59">
        <f ca="1">AVERAGE(OFFSET($AM$3,0,0,'Données projet'!$E$10+1,1))-AVERAGE(OFFSET($H$3,0,0,'Données projet'!$E$10+1,1))</f>
        <v>366.69125512029831</v>
      </c>
      <c r="AO18" s="59">
        <f t="shared" si="36"/>
        <v>513.80016421153414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23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63.772799999999997</v>
      </c>
      <c r="BF18" s="13">
        <f t="shared" si="37"/>
        <v>18.118739450759566</v>
      </c>
      <c r="BG18" s="20">
        <f t="shared" si="7"/>
        <v>142.62776454340624</v>
      </c>
      <c r="BH18" s="59">
        <f t="shared" si="8"/>
        <v>417.62776454340622</v>
      </c>
      <c r="BI18" s="59">
        <f ca="1">AVERAGE(OFFSET($BH$3,0,0,'Données projet'!$E$11+1,1))-AVERAGE(OFFSET($H$3,0,0,'Données projet'!$E$11+1,1))</f>
        <v>354.24684313982857</v>
      </c>
      <c r="BJ18" s="59">
        <f t="shared" si="38"/>
        <v>322.65043486962185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4.0628205128205126</v>
      </c>
      <c r="BY18" s="12">
        <f>IF('Données projet'!$A$114&gt;35,BY17+BX18-CG17,IF(A18&lt;'Données projet'!$A$114,$BV$205^A18,IF(A18='Données projet'!$A$114,'Données projet'!$B$114,BY17+BX18-CG17)))</f>
        <v>11.040136565487554</v>
      </c>
      <c r="BZ18" s="13">
        <f>BY18*VLOOKUP('Données projet'!$B$12,Paramètres!$A$1:$I$89,3,0)*VLOOKUP('Données projet'!$B$12,Paramètres!$A$1:$I$89,5,0)</f>
        <v>10.678020086139563</v>
      </c>
      <c r="CA18" s="13">
        <f t="shared" si="39"/>
        <v>3.7353085072398455</v>
      </c>
      <c r="CB18" s="20">
        <f t="shared" si="10"/>
        <v>25.103213966802468</v>
      </c>
      <c r="CC18" s="59">
        <f t="shared" si="11"/>
        <v>300.10321396680246</v>
      </c>
      <c r="CD18" s="59">
        <f ca="1">AVERAGE(OFFSET($CC$3,0,0,'Données projet'!$E$12+1,1))-AVERAGE(OFFSET($H$3,0,0,'Données projet'!$E$12+1,1))</f>
        <v>407.73540492005355</v>
      </c>
      <c r="CE18" s="59">
        <f t="shared" si="40"/>
        <v>296.29416764204774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29.437200000000004</v>
      </c>
      <c r="CV18" s="13">
        <f t="shared" si="41"/>
        <v>9.1510096001539196</v>
      </c>
      <c r="CW18" s="20">
        <f t="shared" si="13"/>
        <v>67.207798386934755</v>
      </c>
      <c r="CX18" s="59">
        <f t="shared" si="14"/>
        <v>342.20779838693477</v>
      </c>
      <c r="CY18" s="59">
        <f ca="1">AVERAGE(OFFSET($CX$3,0,0,'Données projet'!$E$13+1,1))-AVERAGE(OFFSET($H$3,0,0,'Données projet'!$E$13+1,1))</f>
        <v>299.10536994156814</v>
      </c>
      <c r="CZ18" s="59">
        <f t="shared" si="42"/>
        <v>292.57799203101769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29.437200000000004</v>
      </c>
      <c r="DQ18" s="13">
        <f t="shared" si="43"/>
        <v>9.1510096001539196</v>
      </c>
      <c r="DR18" s="20">
        <f t="shared" si="16"/>
        <v>67.207798386934755</v>
      </c>
      <c r="DS18" s="59">
        <f t="shared" si="17"/>
        <v>342.20779838693477</v>
      </c>
      <c r="DT18" s="59">
        <f ca="1">AVERAGE(OFFSET($DS$3,0,0,'Données projet'!$E$14+1,1))-AVERAGE(OFFSET($H$3,0,0,'Données projet'!$E$14+1,1))</f>
        <v>299.10536994156814</v>
      </c>
      <c r="DU18" s="59">
        <f t="shared" si="44"/>
        <v>292.57799203101769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36</v>
      </c>
      <c r="EH18" s="12">
        <f>VLOOKUP(A18,'Données projet'!$A$191:$I$211,9,0)</f>
        <v>5.6</v>
      </c>
      <c r="EI18" s="12">
        <f t="array" ref="EI18">INDEX(EH:EH,MIN(IF(ISNUMBER(EH18:EH214),ROW(EH18:EH214),"")))</f>
        <v>5.6</v>
      </c>
      <c r="EJ18" s="12">
        <f>IF('Données projet'!$A$192&gt;35,EJ17+EI18-ER17,IF(A18&lt;'Données projet'!$A$192,$EG$205^A18,IF(A18='Données projet'!$A$192,'Données projet'!$B$192,EJ17+EI18-ER17)))</f>
        <v>36</v>
      </c>
      <c r="EK18" s="17">
        <f>EJ18*VLOOKUP('Données projet'!$B$15,Paramètres!$A$1:$I$89,3,0)*VLOOKUP('Données projet'!$B$15,Paramètres!$A$1:$I$89,5,0)</f>
        <v>23.587199999999999</v>
      </c>
      <c r="EL18" s="13">
        <f t="shared" si="45"/>
        <v>7.5240023521815003</v>
      </c>
      <c r="EM18" s="20">
        <f t="shared" si="19"/>
        <v>54.185344096716108</v>
      </c>
      <c r="EN18" s="59">
        <f t="shared" si="20"/>
        <v>329.18534409671611</v>
      </c>
      <c r="EO18" s="59">
        <f ca="1">AVERAGE(OFFSET($EN$3,0,0,'Données projet'!$E$15+1,1))-AVERAGE(OFFSET($H$3,0,0,'Données projet'!$E$15+1,1))</f>
        <v>230.58262378842818</v>
      </c>
      <c r="EP18" s="59">
        <f t="shared" si="46"/>
        <v>235.68746142880792</v>
      </c>
      <c r="EQ18" s="15">
        <f>IF(ISNA(VLOOKUP(A18,'Données projet'!$A$191:$I$211,3,0)),0,VLOOKUP(A18,'Données projet'!$A$191:$I$211,3,0))</f>
        <v>2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4.3000000000000003E-2</v>
      </c>
      <c r="EU18" s="16">
        <f>IF(ISNA(VLOOKUP(A18,'Données projet'!$A$191:$I$211,7,0)),0%,VLOOKUP(A18,'Données projet'!$A$191:$I$211,7,0))</f>
        <v>0.3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0.12007396223779727</v>
      </c>
      <c r="EX18" s="21">
        <f>EXP(-LN(2)/2)*EX17+(1-EXP(-LN(2)/2))/(LN(2)/2)*ER18*EU18*VLOOKUP('Données projet'!$B$15,Paramètres!$A$1:$I$89,3,0)*0.475*44/12</f>
        <v>0.5891638951015673</v>
      </c>
      <c r="EY18" s="22">
        <f t="shared" si="21"/>
        <v>0.70923785733936462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42</v>
      </c>
      <c r="FC18" s="12">
        <f>VLOOKUP(A18,'Données projet'!$A$217:$I$237,9,0)</f>
        <v>2.8</v>
      </c>
      <c r="FD18" s="12">
        <f t="array" ref="FD18">INDEX(FC:FC,MIN(IF(ISNUMBER(FC18:FC214),ROW(FC18:FC214),"")))</f>
        <v>2.8</v>
      </c>
      <c r="FE18" s="12">
        <f>IF('Données projet'!$A$218&gt;35,FE17+FD18-FM17,IF(A18&lt;'Données projet'!$A$218,$FB$205^A18,IF(A18='Données projet'!$A$218,'Données projet'!$B$218,FE17+FD18-FM17)))</f>
        <v>42</v>
      </c>
      <c r="FF18" s="17">
        <f>FE18*VLOOKUP('Données projet'!$B$16,Paramètres!$A$1:$I$89,3,0)*VLOOKUP('Données projet'!$B$16,Paramètres!$A$1:$I$89,5,0)</f>
        <v>34.070399999999999</v>
      </c>
      <c r="FG18" s="13">
        <f t="shared" si="47"/>
        <v>10.412633617059315</v>
      </c>
      <c r="FH18" s="20">
        <f t="shared" si="22"/>
        <v>77.474616883044959</v>
      </c>
      <c r="FI18" s="59">
        <f t="shared" si="23"/>
        <v>352.47461688304497</v>
      </c>
      <c r="FJ18" s="59">
        <f ca="1">AVERAGE(OFFSET($FI$3,0,0,'Données projet'!$E$16+1,1))-AVERAGE(OFFSET($H$3,0,0,'Données projet'!$E$16+1,1))</f>
        <v>272.90535195666996</v>
      </c>
      <c r="FK18" s="59">
        <f t="shared" si="48"/>
        <v>222.25422164416898</v>
      </c>
      <c r="FL18" s="15" t="str">
        <f>IF(ISNA(VLOOKUP(A18,'Données projet'!$A$217:$I$237,3,0)),0,VLOOKUP(A18,'Données projet'!$A$217:$I$237,3,0))</f>
        <v>na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303.70612583194941</v>
      </c>
      <c r="S19" s="59">
        <f ca="1">AVERAGE(OFFSET($R$3,0,0,'Données projet'!$E$9+1,1))-AVERAGE(OFFSET($H$3,0,0,'Données projet'!$E$9+1,1))</f>
        <v>384.05928630855732</v>
      </c>
      <c r="T19" s="59">
        <f t="shared" si="34"/>
        <v>279.93992813630513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12.6</v>
      </c>
      <c r="AI19" s="13">
        <f>IF('Données projet'!$A$62&gt;35,AI18+AH19-AQ18,IF(A19&lt;'Données projet'!$A$62,$AF$205^A19,IF(A19='Données projet'!$A$62,'Données projet'!$B$62,AI18+AH19-AQ18)))</f>
        <v>129.6</v>
      </c>
      <c r="AJ19" s="13">
        <f>AI19*VLOOKUP('Données projet'!$B$10,Paramètres!$A$1:$I$89,3,0)*VLOOKUP('Données projet'!$B$10,Paramètres!$A$1:$I$89,5,0)</f>
        <v>117.26208</v>
      </c>
      <c r="AK19" s="13">
        <f t="shared" si="35"/>
        <v>31.035569170075775</v>
      </c>
      <c r="AL19" s="20">
        <f t="shared" si="4"/>
        <v>258.28507230454863</v>
      </c>
      <c r="AM19" s="59">
        <f t="shared" si="5"/>
        <v>534.50729452677092</v>
      </c>
      <c r="AN19" s="59">
        <f ca="1">AVERAGE(OFFSET($AM$3,0,0,'Données projet'!$E$10+1,1))-AVERAGE(OFFSET($H$3,0,0,'Données projet'!$E$10+1,1))</f>
        <v>366.69125512029831</v>
      </c>
      <c r="AO19" s="59">
        <f t="shared" si="36"/>
        <v>513.80016421153414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73.557119999999998</v>
      </c>
      <c r="BF19" s="13">
        <f t="shared" si="37"/>
        <v>20.554251427792224</v>
      </c>
      <c r="BG19" s="20">
        <f t="shared" si="7"/>
        <v>163.91063857007143</v>
      </c>
      <c r="BH19" s="59">
        <f t="shared" si="8"/>
        <v>440.13286079229363</v>
      </c>
      <c r="BI19" s="59">
        <f ca="1">AVERAGE(OFFSET($BH$3,0,0,'Données projet'!$E$11+1,1))-AVERAGE(OFFSET($H$3,0,0,'Données projet'!$E$11+1,1))</f>
        <v>354.24684313982857</v>
      </c>
      <c r="BJ19" s="59">
        <f t="shared" si="38"/>
        <v>322.65043486962185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4.0628205128205126</v>
      </c>
      <c r="BY19" s="12">
        <f>IF('Données projet'!$A$114&gt;35,BY18+BX19-CG18,IF(A19&lt;'Données projet'!$A$114,$BV$205^A19,IF(A19='Données projet'!$A$114,'Données projet'!$B$114,BY18+BX19-CG18)))</f>
        <v>12.957048229201293</v>
      </c>
      <c r="BZ19" s="13">
        <f>BY19*VLOOKUP('Données projet'!$B$12,Paramètres!$A$1:$I$89,3,0)*VLOOKUP('Données projet'!$B$12,Paramètres!$A$1:$I$89,5,0)</f>
        <v>12.532057047283491</v>
      </c>
      <c r="CA19" s="13">
        <f t="shared" si="39"/>
        <v>4.3029334075370569</v>
      </c>
      <c r="CB19" s="20">
        <f t="shared" si="10"/>
        <v>29.320941708812455</v>
      </c>
      <c r="CC19" s="59">
        <f t="shared" si="11"/>
        <v>305.54316393103466</v>
      </c>
      <c r="CD19" s="59">
        <f ca="1">AVERAGE(OFFSET($CC$3,0,0,'Données projet'!$E$12+1,1))-AVERAGE(OFFSET($H$3,0,0,'Données projet'!$E$12+1,1))</f>
        <v>407.73540492005355</v>
      </c>
      <c r="CE19" s="59">
        <f t="shared" si="40"/>
        <v>296.29416764204774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26.732160000000004</v>
      </c>
      <c r="CV19" s="13">
        <f t="shared" si="41"/>
        <v>8.4038705306032053</v>
      </c>
      <c r="CW19" s="20">
        <f t="shared" si="13"/>
        <v>61.195253174133917</v>
      </c>
      <c r="CX19" s="59">
        <f t="shared" si="14"/>
        <v>337.41747539635617</v>
      </c>
      <c r="CY19" s="59">
        <f ca="1">AVERAGE(OFFSET($CX$3,0,0,'Données projet'!$E$13+1,1))-AVERAGE(OFFSET($H$3,0,0,'Données projet'!$E$13+1,1))</f>
        <v>299.10536994156814</v>
      </c>
      <c r="CZ19" s="59">
        <f t="shared" si="42"/>
        <v>292.57799203101769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26.732160000000004</v>
      </c>
      <c r="DQ19" s="13">
        <f t="shared" si="43"/>
        <v>8.4038705306032053</v>
      </c>
      <c r="DR19" s="20">
        <f t="shared" si="16"/>
        <v>61.195253174133917</v>
      </c>
      <c r="DS19" s="59">
        <f t="shared" si="17"/>
        <v>337.41747539635617</v>
      </c>
      <c r="DT19" s="59">
        <f ca="1">AVERAGE(OFFSET($DS$3,0,0,'Données projet'!$E$14+1,1))-AVERAGE(OFFSET($H$3,0,0,'Données projet'!$E$14+1,1))</f>
        <v>299.10536994156814</v>
      </c>
      <c r="DU19" s="59">
        <f t="shared" si="44"/>
        <v>292.57799203101769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10.199999999999999</v>
      </c>
      <c r="EJ19" s="12">
        <f>IF('Données projet'!$A$192&gt;35,EJ18+EI19-ER18,IF(A19&lt;'Données projet'!$A$192,$EG$205^A19,IF(A19='Données projet'!$A$192,'Données projet'!$B$192,EJ18+EI19-ER18)))</f>
        <v>43.2</v>
      </c>
      <c r="EK19" s="17">
        <f>EJ19*VLOOKUP('Données projet'!$B$15,Paramètres!$A$1:$I$89,3,0)*VLOOKUP('Données projet'!$B$15,Paramètres!$A$1:$I$89,5,0)</f>
        <v>28.304640000000003</v>
      </c>
      <c r="EL19" s="13">
        <f t="shared" si="45"/>
        <v>8.8392104022316804</v>
      </c>
      <c r="EM19" s="20">
        <f t="shared" si="19"/>
        <v>64.692206117220181</v>
      </c>
      <c r="EN19" s="59">
        <f t="shared" si="20"/>
        <v>340.9144283394424</v>
      </c>
      <c r="EO19" s="59">
        <f ca="1">AVERAGE(OFFSET($EN$3,0,0,'Données projet'!$E$15+1,1))-AVERAGE(OFFSET($H$3,0,0,'Données projet'!$E$15+1,1))</f>
        <v>230.58262378842818</v>
      </c>
      <c r="EP19" s="59">
        <f t="shared" si="46"/>
        <v>235.68746142880792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0.11679053342598947</v>
      </c>
      <c r="EX19" s="21">
        <f>EXP(-LN(2)/2)*EX18+(1-EXP(-LN(2)/2))/(LN(2)/2)*ER19*EU19*VLOOKUP('Données projet'!$B$15,Paramètres!$A$1:$I$89,3,0)*0.475*44/12</f>
        <v>0.41660178545659804</v>
      </c>
      <c r="EY19" s="22">
        <f t="shared" si="21"/>
        <v>0.53339231888258754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5.4</v>
      </c>
      <c r="FE19" s="12">
        <f>IF('Données projet'!$A$218&gt;35,FE18+FD19-FM18,IF(A19&lt;'Données projet'!$A$218,$FB$205^A19,IF(A19='Données projet'!$A$218,'Données projet'!$B$218,FE18+FD19-FM18)))</f>
        <v>47.4</v>
      </c>
      <c r="FF19" s="17">
        <f>FE19*VLOOKUP('Données projet'!$B$16,Paramètres!$A$1:$I$89,3,0)*VLOOKUP('Données projet'!$B$16,Paramètres!$A$1:$I$89,5,0)</f>
        <v>38.450879999999998</v>
      </c>
      <c r="FG19" s="13">
        <f t="shared" si="47"/>
        <v>11.587113394776683</v>
      </c>
      <c r="FH19" s="20">
        <f t="shared" si="22"/>
        <v>87.149505162569383</v>
      </c>
      <c r="FI19" s="59">
        <f t="shared" si="23"/>
        <v>363.3717273847916</v>
      </c>
      <c r="FJ19" s="59">
        <f ca="1">AVERAGE(OFFSET($FI$3,0,0,'Données projet'!$E$16+1,1))-AVERAGE(OFFSET($H$3,0,0,'Données projet'!$E$16+1,1))</f>
        <v>272.90535195666996</v>
      </c>
      <c r="FK19" s="59">
        <f t="shared" si="48"/>
        <v>222.25422164416898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309.54730843064073</v>
      </c>
      <c r="S20" s="59">
        <f ca="1">AVERAGE(OFFSET($R$3,0,0,'Données projet'!$E$9+1,1))-AVERAGE(OFFSET($H$3,0,0,'Données projet'!$E$9+1,1))</f>
        <v>384.05928630855732</v>
      </c>
      <c r="T20" s="59">
        <f t="shared" si="34"/>
        <v>279.93992813630513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12.6</v>
      </c>
      <c r="AI20" s="13">
        <f>IF('Données projet'!$A$62&gt;35,AI19+AH20-AQ19,IF(A20&lt;'Données projet'!$A$62,$AF$205^A20,IF(A20='Données projet'!$A$62,'Données projet'!$B$62,AI19+AH20-AQ19)))</f>
        <v>142.19999999999999</v>
      </c>
      <c r="AJ20" s="13">
        <f>AI20*VLOOKUP('Données projet'!$B$10,Paramètres!$A$1:$I$89,3,0)*VLOOKUP('Données projet'!$B$10,Paramètres!$A$1:$I$89,5,0)</f>
        <v>128.66255999999998</v>
      </c>
      <c r="AK20" s="13">
        <f t="shared" si="35"/>
        <v>33.687130461083775</v>
      </c>
      <c r="AL20" s="20">
        <f t="shared" si="4"/>
        <v>282.75904421972086</v>
      </c>
      <c r="AM20" s="59">
        <f t="shared" si="5"/>
        <v>560.20348866416532</v>
      </c>
      <c r="AN20" s="59">
        <f ca="1">AVERAGE(OFFSET($AM$3,0,0,'Données projet'!$E$10+1,1))-AVERAGE(OFFSET($H$3,0,0,'Données projet'!$E$10+1,1))</f>
        <v>366.69125512029831</v>
      </c>
      <c r="AO20" s="59">
        <f t="shared" si="36"/>
        <v>513.80016421153414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83.341440000000006</v>
      </c>
      <c r="BF20" s="13">
        <f t="shared" si="37"/>
        <v>22.952227742446681</v>
      </c>
      <c r="BG20" s="20">
        <f t="shared" si="7"/>
        <v>185.12813798476131</v>
      </c>
      <c r="BH20" s="59">
        <f t="shared" si="8"/>
        <v>462.5725824292058</v>
      </c>
      <c r="BI20" s="59">
        <f ca="1">AVERAGE(OFFSET($BH$3,0,0,'Données projet'!$E$11+1,1))-AVERAGE(OFFSET($H$3,0,0,'Données projet'!$E$11+1,1))</f>
        <v>354.24684313982857</v>
      </c>
      <c r="BJ20" s="59">
        <f t="shared" si="38"/>
        <v>322.65043486962185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4.0628205128205126</v>
      </c>
      <c r="BY20" s="12">
        <f>IF('Données projet'!$A$114&gt;35,BY19+BX20-CG19,IF(A20&lt;'Données projet'!$A$114,$BV$205^A20,IF(A20='Données projet'!$A$114,'Données projet'!$B$114,BY19+BX20-CG19)))</f>
        <v>15.206795479203771</v>
      </c>
      <c r="BZ20" s="13">
        <f>BY20*VLOOKUP('Données projet'!$B$12,Paramètres!$A$1:$I$89,3,0)*VLOOKUP('Données projet'!$B$12,Paramètres!$A$1:$I$89,5,0)</f>
        <v>14.708012587485888</v>
      </c>
      <c r="CA20" s="13">
        <f t="shared" si="39"/>
        <v>4.9568157151710226</v>
      </c>
      <c r="CB20" s="20">
        <f t="shared" si="10"/>
        <v>34.249575960460788</v>
      </c>
      <c r="CC20" s="59">
        <f t="shared" si="11"/>
        <v>311.69402040490525</v>
      </c>
      <c r="CD20" s="59">
        <f ca="1">AVERAGE(OFFSET($CC$3,0,0,'Données projet'!$E$12+1,1))-AVERAGE(OFFSET($H$3,0,0,'Données projet'!$E$12+1,1))</f>
        <v>407.73540492005355</v>
      </c>
      <c r="CE20" s="59">
        <f t="shared" si="40"/>
        <v>296.29416764204774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35.961120000000008</v>
      </c>
      <c r="CV20" s="13">
        <f t="shared" si="41"/>
        <v>10.921600552662685</v>
      </c>
      <c r="CW20" s="20">
        <f t="shared" si="13"/>
        <v>81.654071629220851</v>
      </c>
      <c r="CX20" s="59">
        <f t="shared" si="14"/>
        <v>359.09851607366534</v>
      </c>
      <c r="CY20" s="59">
        <f ca="1">AVERAGE(OFFSET($CX$3,0,0,'Données projet'!$E$13+1,1))-AVERAGE(OFFSET($H$3,0,0,'Données projet'!$E$13+1,1))</f>
        <v>299.10536994156814</v>
      </c>
      <c r="CZ20" s="59">
        <f t="shared" si="42"/>
        <v>292.57799203101769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35.961120000000008</v>
      </c>
      <c r="DQ20" s="13">
        <f t="shared" si="43"/>
        <v>10.921600552662685</v>
      </c>
      <c r="DR20" s="20">
        <f t="shared" si="16"/>
        <v>81.654071629220851</v>
      </c>
      <c r="DS20" s="59">
        <f t="shared" si="17"/>
        <v>359.09851607366534</v>
      </c>
      <c r="DT20" s="59">
        <f ca="1">AVERAGE(OFFSET($DS$3,0,0,'Données projet'!$E$14+1,1))-AVERAGE(OFFSET($H$3,0,0,'Données projet'!$E$14+1,1))</f>
        <v>299.10536994156814</v>
      </c>
      <c r="DU20" s="59">
        <f t="shared" si="44"/>
        <v>292.57799203101769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10.199999999999999</v>
      </c>
      <c r="EJ20" s="12">
        <f>IF('Données projet'!$A$192&gt;35,EJ19+EI20-ER19,IF(A20&lt;'Données projet'!$A$192,$EG$205^A20,IF(A20='Données projet'!$A$192,'Données projet'!$B$192,EJ19+EI20-ER19)))</f>
        <v>53.400000000000006</v>
      </c>
      <c r="EK20" s="17">
        <f>EJ20*VLOOKUP('Données projet'!$B$15,Paramètres!$A$1:$I$89,3,0)*VLOOKUP('Données projet'!$B$15,Paramètres!$A$1:$I$89,5,0)</f>
        <v>34.987680000000005</v>
      </c>
      <c r="EL20" s="13">
        <f t="shared" si="45"/>
        <v>10.65995785514129</v>
      </c>
      <c r="EM20" s="20">
        <f t="shared" si="19"/>
        <v>79.502969264371089</v>
      </c>
      <c r="EN20" s="59">
        <f t="shared" si="20"/>
        <v>356.94741370881553</v>
      </c>
      <c r="EO20" s="59">
        <f ca="1">AVERAGE(OFFSET($EN$3,0,0,'Données projet'!$E$15+1,1))-AVERAGE(OFFSET($H$3,0,0,'Données projet'!$E$15+1,1))</f>
        <v>230.58262378842818</v>
      </c>
      <c r="EP20" s="59">
        <f t="shared" si="46"/>
        <v>235.68746142880792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0.11359689014770856</v>
      </c>
      <c r="EX20" s="21">
        <f>EXP(-LN(2)/2)*EX19+(1-EXP(-LN(2)/2))/(LN(2)/2)*ER20*EU20*VLOOKUP('Données projet'!$B$15,Paramètres!$A$1:$I$89,3,0)*0.475*44/12</f>
        <v>0.29458194755078371</v>
      </c>
      <c r="EY20" s="22">
        <f t="shared" si="21"/>
        <v>0.40817883769849228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5.4</v>
      </c>
      <c r="FE20" s="12">
        <f>IF('Données projet'!$A$218&gt;35,FE19+FD20-FM19,IF(A20&lt;'Données projet'!$A$218,$FB$205^A20,IF(A20='Données projet'!$A$218,'Données projet'!$B$218,FE19+FD20-FM19)))</f>
        <v>52.8</v>
      </c>
      <c r="FF20" s="17">
        <f>FE20*VLOOKUP('Données projet'!$B$16,Paramètres!$A$1:$I$89,3,0)*VLOOKUP('Données projet'!$B$16,Paramètres!$A$1:$I$89,5,0)</f>
        <v>42.831360000000004</v>
      </c>
      <c r="FG20" s="13">
        <f t="shared" si="47"/>
        <v>12.746086115928794</v>
      </c>
      <c r="FH20" s="20">
        <f t="shared" si="22"/>
        <v>96.797385318575991</v>
      </c>
      <c r="FI20" s="59">
        <f t="shared" si="23"/>
        <v>374.24182976302046</v>
      </c>
      <c r="FJ20" s="59">
        <f ca="1">AVERAGE(OFFSET($FI$3,0,0,'Données projet'!$E$16+1,1))-AVERAGE(OFFSET($H$3,0,0,'Données projet'!$E$16+1,1))</f>
        <v>272.90535195666996</v>
      </c>
      <c r="FK20" s="59">
        <f t="shared" si="48"/>
        <v>222.25422164416898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316.16722083858792</v>
      </c>
      <c r="S21" s="59">
        <f ca="1">AVERAGE(OFFSET($R$3,0,0,'Données projet'!$E$9+1,1))-AVERAGE(OFFSET($H$3,0,0,'Données projet'!$E$9+1,1))</f>
        <v>384.05928630855732</v>
      </c>
      <c r="T21" s="59">
        <f t="shared" si="34"/>
        <v>279.93992813630513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12.6</v>
      </c>
      <c r="AI21" s="13">
        <f>IF('Données projet'!$A$62&gt;35,AI20+AH21-AQ20,IF(A21&lt;'Données projet'!$A$62,$AF$205^A21,IF(A21='Données projet'!$A$62,'Données projet'!$B$62,AI20+AH21-AQ20)))</f>
        <v>154.79999999999998</v>
      </c>
      <c r="AJ21" s="13">
        <f>AI21*VLOOKUP('Données projet'!$B$10,Paramètres!$A$1:$I$89,3,0)*VLOOKUP('Données projet'!$B$10,Paramètres!$A$1:$I$89,5,0)</f>
        <v>140.06303999999997</v>
      </c>
      <c r="AK21" s="13">
        <f t="shared" si="35"/>
        <v>36.31144669536954</v>
      </c>
      <c r="AL21" s="20">
        <f t="shared" si="4"/>
        <v>307.18556432776853</v>
      </c>
      <c r="AM21" s="59">
        <f t="shared" si="5"/>
        <v>585.85223099443522</v>
      </c>
      <c r="AN21" s="59">
        <f ca="1">AVERAGE(OFFSET($AM$3,0,0,'Données projet'!$E$10+1,1))-AVERAGE(OFFSET($H$3,0,0,'Données projet'!$E$10+1,1))</f>
        <v>366.69125512029831</v>
      </c>
      <c r="AO21" s="59">
        <f t="shared" si="36"/>
        <v>513.80016421153414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93.125760000000014</v>
      </c>
      <c r="BF21" s="13">
        <f t="shared" si="37"/>
        <v>25.317578585717406</v>
      </c>
      <c r="BG21" s="20">
        <f t="shared" si="7"/>
        <v>206.2888147034578</v>
      </c>
      <c r="BH21" s="59">
        <f t="shared" si="8"/>
        <v>484.95548137012452</v>
      </c>
      <c r="BI21" s="59">
        <f ca="1">AVERAGE(OFFSET($BH$3,0,0,'Données projet'!$E$11+1,1))-AVERAGE(OFFSET($H$3,0,0,'Données projet'!$E$11+1,1))</f>
        <v>354.24684313982857</v>
      </c>
      <c r="BJ21" s="59">
        <f t="shared" si="38"/>
        <v>322.65043486962185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4.0628205128205126</v>
      </c>
      <c r="BY21" s="12">
        <f>IF('Données projet'!$A$114&gt;35,BY20+BX21-CG20,IF(A21&lt;'Données projet'!$A$114,$BV$205^A21,IF(A21='Données projet'!$A$114,'Données projet'!$B$114,BY20+BX21-CG20)))</f>
        <v>17.847168942782186</v>
      </c>
      <c r="BZ21" s="13">
        <f>BY21*VLOOKUP('Données projet'!$B$12,Paramètres!$A$1:$I$89,3,0)*VLOOKUP('Données projet'!$B$12,Paramètres!$A$1:$I$89,5,0)</f>
        <v>17.26178180145893</v>
      </c>
      <c r="CA21" s="13">
        <f t="shared" si="39"/>
        <v>5.710063277095883</v>
      </c>
      <c r="CB21" s="20">
        <f t="shared" si="10"/>
        <v>40.009296845149635</v>
      </c>
      <c r="CC21" s="59">
        <f t="shared" si="11"/>
        <v>318.67596351181635</v>
      </c>
      <c r="CD21" s="59">
        <f ca="1">AVERAGE(OFFSET($CC$3,0,0,'Données projet'!$E$12+1,1))-AVERAGE(OFFSET($H$3,0,0,'Données projet'!$E$12+1,1))</f>
        <v>407.73540492005355</v>
      </c>
      <c r="CE21" s="59">
        <f t="shared" si="40"/>
        <v>296.29416764204774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45.190080000000009</v>
      </c>
      <c r="CV21" s="13">
        <f t="shared" si="41"/>
        <v>13.364359727915414</v>
      </c>
      <c r="CW21" s="20">
        <f t="shared" si="13"/>
        <v>101.98231585945268</v>
      </c>
      <c r="CX21" s="59">
        <f t="shared" si="14"/>
        <v>380.64898252611937</v>
      </c>
      <c r="CY21" s="59">
        <f ca="1">AVERAGE(OFFSET($CX$3,0,0,'Données projet'!$E$13+1,1))-AVERAGE(OFFSET($H$3,0,0,'Données projet'!$E$13+1,1))</f>
        <v>299.10536994156814</v>
      </c>
      <c r="CZ21" s="59">
        <f t="shared" si="42"/>
        <v>292.57799203101769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45.190080000000009</v>
      </c>
      <c r="DQ21" s="13">
        <f t="shared" si="43"/>
        <v>13.364359727915414</v>
      </c>
      <c r="DR21" s="20">
        <f t="shared" si="16"/>
        <v>101.98231585945268</v>
      </c>
      <c r="DS21" s="59">
        <f t="shared" si="17"/>
        <v>380.64898252611937</v>
      </c>
      <c r="DT21" s="59">
        <f ca="1">AVERAGE(OFFSET($DS$3,0,0,'Données projet'!$E$14+1,1))-AVERAGE(OFFSET($H$3,0,0,'Données projet'!$E$14+1,1))</f>
        <v>299.10536994156814</v>
      </c>
      <c r="DU21" s="59">
        <f t="shared" si="44"/>
        <v>292.57799203101769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10.199999999999999</v>
      </c>
      <c r="EJ21" s="12">
        <f>IF('Données projet'!$A$192&gt;35,EJ20+EI21-ER20,IF(A21&lt;'Données projet'!$A$192,$EG$205^A21,IF(A21='Données projet'!$A$192,'Données projet'!$B$192,EJ20+EI21-ER20)))</f>
        <v>63.600000000000009</v>
      </c>
      <c r="EK21" s="17">
        <f>EJ21*VLOOKUP('Données projet'!$B$15,Paramètres!$A$1:$I$89,3,0)*VLOOKUP('Données projet'!$B$15,Paramètres!$A$1:$I$89,5,0)</f>
        <v>41.67072000000001</v>
      </c>
      <c r="EL21" s="13">
        <f t="shared" si="45"/>
        <v>12.440411337011152</v>
      </c>
      <c r="EM21" s="20">
        <f t="shared" si="19"/>
        <v>94.243553745294435</v>
      </c>
      <c r="EN21" s="59">
        <f t="shared" si="20"/>
        <v>372.91022041196112</v>
      </c>
      <c r="EO21" s="59">
        <f ca="1">AVERAGE(OFFSET($EN$3,0,0,'Données projet'!$E$15+1,1))-AVERAGE(OFFSET($H$3,0,0,'Données projet'!$E$15+1,1))</f>
        <v>230.58262378842818</v>
      </c>
      <c r="EP21" s="59">
        <f t="shared" si="46"/>
        <v>235.68746142880792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0.11049057721281864</v>
      </c>
      <c r="EX21" s="21">
        <f>EXP(-LN(2)/2)*EX20+(1-EXP(-LN(2)/2))/(LN(2)/2)*ER21*EU21*VLOOKUP('Données projet'!$B$15,Paramètres!$A$1:$I$89,3,0)*0.475*44/12</f>
        <v>0.20830089272829905</v>
      </c>
      <c r="EY21" s="22">
        <f t="shared" si="21"/>
        <v>0.31879146994111768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5.4</v>
      </c>
      <c r="FE21" s="12">
        <f>IF('Données projet'!$A$218&gt;35,FE20+FD21-FM20,IF(A21&lt;'Données projet'!$A$218,$FB$205^A21,IF(A21='Données projet'!$A$218,'Données projet'!$B$218,FE20+FD21-FM20)))</f>
        <v>58.199999999999996</v>
      </c>
      <c r="FF21" s="17">
        <f>FE21*VLOOKUP('Données projet'!$B$16,Paramètres!$A$1:$I$89,3,0)*VLOOKUP('Données projet'!$B$16,Paramètres!$A$1:$I$89,5,0)</f>
        <v>47.211840000000002</v>
      </c>
      <c r="FG21" s="13">
        <f t="shared" si="47"/>
        <v>13.891318331147987</v>
      </c>
      <c r="FH21" s="20">
        <f t="shared" si="22"/>
        <v>106.42133409341606</v>
      </c>
      <c r="FI21" s="59">
        <f t="shared" si="23"/>
        <v>385.08800076008276</v>
      </c>
      <c r="FJ21" s="59">
        <f ca="1">AVERAGE(OFFSET($FI$3,0,0,'Données projet'!$E$16+1,1))-AVERAGE(OFFSET($H$3,0,0,'Données projet'!$E$16+1,1))</f>
        <v>272.90535195666996</v>
      </c>
      <c r="FK21" s="59">
        <f t="shared" si="48"/>
        <v>222.25422164416898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323.69753932281691</v>
      </c>
      <c r="S22" s="59">
        <f ca="1">AVERAGE(OFFSET($R$3,0,0,'Données projet'!$E$9+1,1))-AVERAGE(OFFSET($H$3,0,0,'Données projet'!$E$9+1,1))</f>
        <v>384.05928630855732</v>
      </c>
      <c r="T22" s="59">
        <f t="shared" si="34"/>
        <v>279.93992813630513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12.6</v>
      </c>
      <c r="AI22" s="13">
        <f>IF('Données projet'!$A$62&gt;35,AI21+AH22-AQ21,IF(A22&lt;'Données projet'!$A$62,$AF$205^A22,IF(A22='Données projet'!$A$62,'Données projet'!$B$62,AI21+AH22-AQ21)))</f>
        <v>167.39999999999998</v>
      </c>
      <c r="AJ22" s="13">
        <f>AI22*VLOOKUP('Données projet'!$B$10,Paramètres!$A$1:$I$89,3,0)*VLOOKUP('Données projet'!$B$10,Paramètres!$A$1:$I$89,5,0)</f>
        <v>151.46351999999999</v>
      </c>
      <c r="AK22" s="13">
        <f t="shared" si="35"/>
        <v>38.910987614777085</v>
      </c>
      <c r="AL22" s="20">
        <f t="shared" si="4"/>
        <v>331.56893409573678</v>
      </c>
      <c r="AM22" s="59">
        <f t="shared" si="5"/>
        <v>611.45782298462564</v>
      </c>
      <c r="AN22" s="59">
        <f ca="1">AVERAGE(OFFSET($AM$3,0,0,'Données projet'!$E$10+1,1))-AVERAGE(OFFSET($H$3,0,0,'Données projet'!$E$10+1,1))</f>
        <v>366.69125512029831</v>
      </c>
      <c r="AO22" s="59">
        <f t="shared" si="36"/>
        <v>513.80016421153414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102.91008000000001</v>
      </c>
      <c r="BF22" s="13">
        <f t="shared" si="37"/>
        <v>27.654122306790427</v>
      </c>
      <c r="BG22" s="20">
        <f t="shared" si="7"/>
        <v>227.39931901765999</v>
      </c>
      <c r="BH22" s="59">
        <f t="shared" si="8"/>
        <v>507.28820790654885</v>
      </c>
      <c r="BI22" s="59">
        <f ca="1">AVERAGE(OFFSET($BH$3,0,0,'Données projet'!$E$11+1,1))-AVERAGE(OFFSET($H$3,0,0,'Données projet'!$E$11+1,1))</f>
        <v>354.24684313982857</v>
      </c>
      <c r="BJ22" s="59">
        <f t="shared" si="38"/>
        <v>322.65043486962185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4.0628205128205126</v>
      </c>
      <c r="BY22" s="12">
        <f>IF('Données projet'!$A$114&gt;35,BY21+BX22-CG21,IF(A22&lt;'Données projet'!$A$114,$BV$205^A22,IF(A22='Données projet'!$A$114,'Données projet'!$B$114,BY21+BX22-CG21)))</f>
        <v>20.945993500590358</v>
      </c>
      <c r="BZ22" s="13">
        <f>BY22*VLOOKUP('Données projet'!$B$12,Paramètres!$A$1:$I$89,3,0)*VLOOKUP('Données projet'!$B$12,Paramètres!$A$1:$I$89,5,0)</f>
        <v>20.258964913770992</v>
      </c>
      <c r="CA22" s="13">
        <f t="shared" si="39"/>
        <v>6.5777758347253874</v>
      </c>
      <c r="CB22" s="20">
        <f t="shared" si="10"/>
        <v>46.74065680363119</v>
      </c>
      <c r="CC22" s="59">
        <f t="shared" si="11"/>
        <v>326.62954569252003</v>
      </c>
      <c r="CD22" s="59">
        <f ca="1">AVERAGE(OFFSET($CC$3,0,0,'Données projet'!$E$12+1,1))-AVERAGE(OFFSET($H$3,0,0,'Données projet'!$E$12+1,1))</f>
        <v>407.73540492005355</v>
      </c>
      <c r="CE22" s="59">
        <f t="shared" si="40"/>
        <v>296.29416764204774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54.419040000000003</v>
      </c>
      <c r="CV22" s="13">
        <f t="shared" si="41"/>
        <v>15.749310274925152</v>
      </c>
      <c r="CW22" s="20">
        <f t="shared" si="13"/>
        <v>122.20987672882796</v>
      </c>
      <c r="CX22" s="59">
        <f t="shared" si="14"/>
        <v>402.09876561771682</v>
      </c>
      <c r="CY22" s="59">
        <f ca="1">AVERAGE(OFFSET($CX$3,0,0,'Données projet'!$E$13+1,1))-AVERAGE(OFFSET($H$3,0,0,'Données projet'!$E$13+1,1))</f>
        <v>299.10536994156814</v>
      </c>
      <c r="CZ22" s="59">
        <f t="shared" si="42"/>
        <v>292.57799203101769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54.419040000000003</v>
      </c>
      <c r="DQ22" s="13">
        <f t="shared" si="43"/>
        <v>15.749310274925152</v>
      </c>
      <c r="DR22" s="20">
        <f t="shared" si="16"/>
        <v>122.20987672882796</v>
      </c>
      <c r="DS22" s="59">
        <f t="shared" si="17"/>
        <v>402.09876561771682</v>
      </c>
      <c r="DT22" s="59">
        <f ca="1">AVERAGE(OFFSET($DS$3,0,0,'Données projet'!$E$14+1,1))-AVERAGE(OFFSET($H$3,0,0,'Données projet'!$E$14+1,1))</f>
        <v>299.10536994156814</v>
      </c>
      <c r="DU22" s="59">
        <f t="shared" si="44"/>
        <v>292.57799203101769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10.199999999999999</v>
      </c>
      <c r="EJ22" s="12">
        <f>IF('Données projet'!$A$192&gt;35,EJ21+EI22-ER21,IF(A22&lt;'Données projet'!$A$192,$EG$205^A22,IF(A22='Données projet'!$A$192,'Données projet'!$B$192,EJ21+EI22-ER21)))</f>
        <v>73.800000000000011</v>
      </c>
      <c r="EK22" s="17">
        <f>EJ22*VLOOKUP('Données projet'!$B$15,Paramètres!$A$1:$I$89,3,0)*VLOOKUP('Données projet'!$B$15,Paramètres!$A$1:$I$89,5,0)</f>
        <v>48.353760000000008</v>
      </c>
      <c r="EL22" s="13">
        <f t="shared" si="45"/>
        <v>14.187786165449609</v>
      </c>
      <c r="EM22" s="20">
        <f t="shared" si="19"/>
        <v>108.92652623815808</v>
      </c>
      <c r="EN22" s="59">
        <f t="shared" si="20"/>
        <v>388.81541512704695</v>
      </c>
      <c r="EO22" s="59">
        <f ca="1">AVERAGE(OFFSET($EN$3,0,0,'Données projet'!$E$15+1,1))-AVERAGE(OFFSET($H$3,0,0,'Données projet'!$E$15+1,1))</f>
        <v>230.58262378842818</v>
      </c>
      <c r="EP22" s="59">
        <f t="shared" si="46"/>
        <v>235.68746142880792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0.10746920656848719</v>
      </c>
      <c r="EX22" s="21">
        <f>EXP(-LN(2)/2)*EX21+(1-EXP(-LN(2)/2))/(LN(2)/2)*ER22*EU22*VLOOKUP('Données projet'!$B$15,Paramètres!$A$1:$I$89,3,0)*0.475*44/12</f>
        <v>0.14729097377539188</v>
      </c>
      <c r="EY22" s="22">
        <f t="shared" si="21"/>
        <v>0.25476018034387904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5.4</v>
      </c>
      <c r="FE22" s="12">
        <f>IF('Données projet'!$A$218&gt;35,FE21+FD22-FM21,IF(A22&lt;'Données projet'!$A$218,$FB$205^A22,IF(A22='Données projet'!$A$218,'Données projet'!$B$218,FE21+FD22-FM21)))</f>
        <v>63.599999999999994</v>
      </c>
      <c r="FF22" s="17">
        <f>FE22*VLOOKUP('Données projet'!$B$16,Paramètres!$A$1:$I$89,3,0)*VLOOKUP('Données projet'!$B$16,Paramètres!$A$1:$I$89,5,0)</f>
        <v>51.592319999999994</v>
      </c>
      <c r="FG22" s="13">
        <f t="shared" si="47"/>
        <v>15.024229944049157</v>
      </c>
      <c r="FH22" s="20">
        <f t="shared" si="22"/>
        <v>116.0238244858856</v>
      </c>
      <c r="FI22" s="59">
        <f t="shared" si="23"/>
        <v>395.91271337477446</v>
      </c>
      <c r="FJ22" s="59">
        <f ca="1">AVERAGE(OFFSET($FI$3,0,0,'Données projet'!$E$16+1,1))-AVERAGE(OFFSET($H$3,0,0,'Données projet'!$E$16+1,1))</f>
        <v>272.90535195666996</v>
      </c>
      <c r="FK22" s="59">
        <f t="shared" si="48"/>
        <v>222.25422164416898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332.29226599272459</v>
      </c>
      <c r="S23" s="59">
        <f ca="1">AVERAGE(OFFSET($R$3,0,0,'Données projet'!$E$9+1,1))-AVERAGE(OFFSET($H$3,0,0,'Données projet'!$E$9+1,1))</f>
        <v>384.05928630855732</v>
      </c>
      <c r="T23" s="59">
        <f t="shared" si="34"/>
        <v>279.93992813630513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180</v>
      </c>
      <c r="AG23" s="12">
        <f>VLOOKUP(A23,'Données projet'!$A$61:$I$81,9,0)</f>
        <v>12.6</v>
      </c>
      <c r="AH23" s="12">
        <f t="array" ref="AH23">INDEX(AG:AG,MIN(IF(ISNUMBER(AG23:AG219),ROW(AG23:AG219),"")))</f>
        <v>12.6</v>
      </c>
      <c r="AI23" s="13">
        <f>IF('Données projet'!$A$62&gt;35,AI22+AH23-AQ22,IF(A23&lt;'Données projet'!$A$62,$AF$205^A23,IF(A23='Données projet'!$A$62,'Données projet'!$B$62,AI22+AH23-AQ22)))</f>
        <v>179.99999999999997</v>
      </c>
      <c r="AJ23" s="13">
        <f>AI23*VLOOKUP('Données projet'!$B$10,Paramètres!$A$1:$I$89,3,0)*VLOOKUP('Données projet'!$B$10,Paramètres!$A$1:$I$89,5,0)</f>
        <v>162.86399999999998</v>
      </c>
      <c r="AK23" s="13">
        <f t="shared" si="35"/>
        <v>41.487830069509123</v>
      </c>
      <c r="AL23" s="20">
        <f t="shared" si="4"/>
        <v>355.91277070439497</v>
      </c>
      <c r="AM23" s="59">
        <f t="shared" si="5"/>
        <v>637.02388181550612</v>
      </c>
      <c r="AN23" s="59">
        <f ca="1">AVERAGE(OFFSET($AM$3,0,0,'Données projet'!$E$10+1,1))-AVERAGE(OFFSET($H$3,0,0,'Données projet'!$E$10+1,1))</f>
        <v>366.69125512029831</v>
      </c>
      <c r="AO23" s="59">
        <f t="shared" si="36"/>
        <v>513.80016421153414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19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112.69440000000002</v>
      </c>
      <c r="BF23" s="13">
        <f t="shared" si="37"/>
        <v>29.964909381330632</v>
      </c>
      <c r="BG23" s="20">
        <f t="shared" si="7"/>
        <v>248.46496383915087</v>
      </c>
      <c r="BH23" s="59">
        <f t="shared" si="8"/>
        <v>529.57607495026195</v>
      </c>
      <c r="BI23" s="59">
        <f ca="1">AVERAGE(OFFSET($BH$3,0,0,'Données projet'!$E$11+1,1))-AVERAGE(OFFSET($H$3,0,0,'Données projet'!$E$11+1,1))</f>
        <v>354.24684313982857</v>
      </c>
      <c r="BJ23" s="59">
        <f t="shared" si="38"/>
        <v>322.65043486962185</v>
      </c>
      <c r="BK23" s="15">
        <f>IF(ISNA(VLOOKUP(A23,'Données projet'!$A$87:$I$107,3,0)),0,VLOOKUP(A23,'Données projet'!$A$87:$I$107,3,0))</f>
        <v>1</v>
      </c>
      <c r="BL23" s="15" t="str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4.0628205128205126</v>
      </c>
      <c r="BY23" s="12">
        <f>IF('Données projet'!$A$114&gt;35,BY22+BX23-CG22,IF(A23&lt;'Données projet'!$A$114,$BV$205^A23,IF(A23='Données projet'!$A$114,'Données projet'!$B$114,BY22+BX23-CG22)))</f>
        <v>24.582870545650774</v>
      </c>
      <c r="BZ23" s="13">
        <f>BY23*VLOOKUP('Données projet'!$B$12,Paramètres!$A$1:$I$89,3,0)*VLOOKUP('Données projet'!$B$12,Paramètres!$A$1:$I$89,5,0)</f>
        <v>23.776552391753427</v>
      </c>
      <c r="CA23" s="13">
        <f t="shared" si="39"/>
        <v>7.5773477161715004</v>
      </c>
      <c r="CB23" s="20">
        <f t="shared" si="10"/>
        <v>54.608042687969252</v>
      </c>
      <c r="CC23" s="59">
        <f t="shared" si="11"/>
        <v>335.7191537990804</v>
      </c>
      <c r="CD23" s="59">
        <f ca="1">AVERAGE(OFFSET($CC$3,0,0,'Données projet'!$E$12+1,1))-AVERAGE(OFFSET($H$3,0,0,'Données projet'!$E$12+1,1))</f>
        <v>407.73540492005355</v>
      </c>
      <c r="CE23" s="59">
        <f t="shared" si="40"/>
        <v>296.29416764204774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63.647999999999996</v>
      </c>
      <c r="CV23" s="13">
        <f t="shared" si="41"/>
        <v>18.087405707268363</v>
      </c>
      <c r="CW23" s="20">
        <f t="shared" si="13"/>
        <v>142.35583160682572</v>
      </c>
      <c r="CX23" s="59">
        <f t="shared" si="14"/>
        <v>423.46694271793683</v>
      </c>
      <c r="CY23" s="59">
        <f ca="1">AVERAGE(OFFSET($CX$3,0,0,'Données projet'!$E$13+1,1))-AVERAGE(OFFSET($H$3,0,0,'Données projet'!$E$13+1,1))</f>
        <v>299.10536994156814</v>
      </c>
      <c r="CZ23" s="59">
        <f t="shared" si="42"/>
        <v>292.57799203101769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63.647999999999996</v>
      </c>
      <c r="DQ23" s="13">
        <f t="shared" si="43"/>
        <v>18.087405707268363</v>
      </c>
      <c r="DR23" s="20">
        <f t="shared" si="16"/>
        <v>142.35583160682572</v>
      </c>
      <c r="DS23" s="59">
        <f t="shared" si="17"/>
        <v>423.46694271793683</v>
      </c>
      <c r="DT23" s="59">
        <f ca="1">AVERAGE(OFFSET($DS$3,0,0,'Données projet'!$E$14+1,1))-AVERAGE(OFFSET($H$3,0,0,'Données projet'!$E$14+1,1))</f>
        <v>299.10536994156814</v>
      </c>
      <c r="DU23" s="59">
        <f t="shared" si="44"/>
        <v>292.57799203101769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84</v>
      </c>
      <c r="EH23" s="12">
        <f>VLOOKUP(A23,'Données projet'!$A$191:$I$211,9,0)</f>
        <v>10.199999999999999</v>
      </c>
      <c r="EI23" s="12">
        <f t="array" ref="EI23">INDEX(EH:EH,MIN(IF(ISNUMBER(EH23:EH219),ROW(EH23:EH219),"")))</f>
        <v>10.199999999999999</v>
      </c>
      <c r="EJ23" s="12">
        <f>IF('Données projet'!$A$192&gt;35,EJ22+EI23-ER22,IF(A23&lt;'Données projet'!$A$192,$EG$205^A23,IF(A23='Données projet'!$A$192,'Données projet'!$B$192,EJ22+EI23-ER22)))</f>
        <v>84.000000000000014</v>
      </c>
      <c r="EK23" s="17">
        <f>EJ23*VLOOKUP('Données projet'!$B$15,Paramètres!$A$1:$I$89,3,0)*VLOOKUP('Données projet'!$B$15,Paramètres!$A$1:$I$89,5,0)</f>
        <v>55.036800000000007</v>
      </c>
      <c r="EL23" s="13">
        <f t="shared" si="45"/>
        <v>15.907180538864345</v>
      </c>
      <c r="EM23" s="20">
        <f t="shared" si="19"/>
        <v>123.56076610518875</v>
      </c>
      <c r="EN23" s="59">
        <f t="shared" si="20"/>
        <v>404.67187721629989</v>
      </c>
      <c r="EO23" s="59">
        <f ca="1">AVERAGE(OFFSET($EN$3,0,0,'Données projet'!$E$15+1,1))-AVERAGE(OFFSET($H$3,0,0,'Données projet'!$E$15+1,1))</f>
        <v>230.58262378842818</v>
      </c>
      <c r="EP23" s="59">
        <f t="shared" si="46"/>
        <v>235.68746142880792</v>
      </c>
      <c r="EQ23" s="15">
        <f>IF(ISNA(VLOOKUP(A23,'Données projet'!$A$191:$I$211,3,0)),0,VLOOKUP(A23,'Données projet'!$A$191:$I$211,3,0))</f>
        <v>3</v>
      </c>
      <c r="ER23" s="15">
        <f>IF(ISNA(VLOOKUP(A23,'Données projet'!$A$191:$I$211,4,0)),0,VLOOKUP(A23,'Données projet'!$A$191:$I$211,4,0))</f>
        <v>9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4.3000000000000003E-2</v>
      </c>
      <c r="EU23" s="16">
        <f>IF(ISNA(VLOOKUP(A23,'Données projet'!$A$191:$I$211,7,0)),0%,VLOOKUP(A23,'Données projet'!$A$191:$I$211,7,0))</f>
        <v>0.3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0.38373250759201244</v>
      </c>
      <c r="EX23" s="21">
        <f>EXP(-LN(2)/2)*EX22+(1-EXP(-LN(2)/2))/(LN(2)/2)*ER23*EU23*VLOOKUP('Données projet'!$B$15,Paramètres!$A$1:$I$89,3,0)*0.475*44/12</f>
        <v>1.7732872993776654</v>
      </c>
      <c r="EY23" s="22">
        <f t="shared" si="21"/>
        <v>2.1570198069696778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69</v>
      </c>
      <c r="FC23" s="12">
        <f>VLOOKUP(A23,'Données projet'!$A$217:$I$237,9,0)</f>
        <v>5.4</v>
      </c>
      <c r="FD23" s="12">
        <f t="array" ref="FD23">INDEX(FC:FC,MIN(IF(ISNUMBER(FC23:FC219),ROW(FC23:FC219),"")))</f>
        <v>5.4</v>
      </c>
      <c r="FE23" s="12">
        <f>IF('Données projet'!$A$218&gt;35,FE22+FD23-FM22,IF(A23&lt;'Données projet'!$A$218,$FB$205^A23,IF(A23='Données projet'!$A$218,'Données projet'!$B$218,FE22+FD23-FM22)))</f>
        <v>69</v>
      </c>
      <c r="FF23" s="17">
        <f>FE23*VLOOKUP('Données projet'!$B$16,Paramètres!$A$1:$I$89,3,0)*VLOOKUP('Données projet'!$B$16,Paramètres!$A$1:$I$89,5,0)</f>
        <v>55.972800000000007</v>
      </c>
      <c r="FG23" s="13">
        <f t="shared" si="47"/>
        <v>16.145985978099571</v>
      </c>
      <c r="FH23" s="20">
        <f t="shared" si="22"/>
        <v>125.60688557852342</v>
      </c>
      <c r="FI23" s="59">
        <f t="shared" si="23"/>
        <v>406.71799668963456</v>
      </c>
      <c r="FJ23" s="59">
        <f ca="1">AVERAGE(OFFSET($FI$3,0,0,'Données projet'!$E$16+1,1))-AVERAGE(OFFSET($H$3,0,0,'Données projet'!$E$16+1,1))</f>
        <v>272.90535195666996</v>
      </c>
      <c r="FK23" s="59">
        <f t="shared" si="48"/>
        <v>222.25422164416898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15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0.3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3.4442506490755087</v>
      </c>
      <c r="FT23" s="22">
        <f t="shared" si="24"/>
        <v>3.4442506490755087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342.13152361878485</v>
      </c>
      <c r="S24" s="59">
        <f ca="1">AVERAGE(OFFSET($R$3,0,0,'Données projet'!$E$9+1,1))-AVERAGE(OFFSET($H$3,0,0,'Données projet'!$E$9+1,1))</f>
        <v>384.05928630855732</v>
      </c>
      <c r="T24" s="59">
        <f t="shared" si="34"/>
        <v>279.93992813630513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10.6</v>
      </c>
      <c r="AI24" s="13">
        <f>IF('Données projet'!$A$62&gt;35,AI23+AH24-AQ23,IF(A24&lt;'Données projet'!$A$62,$AF$205^A24,IF(A24='Données projet'!$A$62,'Données projet'!$B$62,AI23+AH24-AQ23)))</f>
        <v>171.59999999999997</v>
      </c>
      <c r="AJ24" s="13">
        <f>AI24*VLOOKUP('Données projet'!$B$10,Paramètres!$A$1:$I$89,3,0)*VLOOKUP('Données projet'!$B$10,Paramètres!$A$1:$I$89,5,0)</f>
        <v>155.26367999999997</v>
      </c>
      <c r="AK24" s="13">
        <f t="shared" si="35"/>
        <v>39.77236412265178</v>
      </c>
      <c r="AL24" s="20">
        <f t="shared" si="4"/>
        <v>339.68777684695175</v>
      </c>
      <c r="AM24" s="59">
        <f t="shared" si="5"/>
        <v>622.02111018028506</v>
      </c>
      <c r="AN24" s="59">
        <f ca="1">AVERAGE(OFFSET($AM$3,0,0,'Données projet'!$E$10+1,1))-AVERAGE(OFFSET($H$3,0,0,'Données projet'!$E$10+1,1))</f>
        <v>366.69125512029831</v>
      </c>
      <c r="AO24" s="59">
        <f t="shared" si="36"/>
        <v>513.80016421153414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74.430719999999994</v>
      </c>
      <c r="BF24" s="13">
        <f t="shared" si="37"/>
        <v>20.76980057385482</v>
      </c>
      <c r="BG24" s="20">
        <f t="shared" si="7"/>
        <v>165.80757333279712</v>
      </c>
      <c r="BH24" s="59">
        <f t="shared" si="8"/>
        <v>448.14090666613043</v>
      </c>
      <c r="BI24" s="59">
        <f ca="1">AVERAGE(OFFSET($BH$3,0,0,'Données projet'!$E$11+1,1))-AVERAGE(OFFSET($H$3,0,0,'Données projet'!$E$11+1,1))</f>
        <v>354.24684313982857</v>
      </c>
      <c r="BJ24" s="59">
        <f t="shared" si="38"/>
        <v>322.65043486962185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4.0628205128205126</v>
      </c>
      <c r="BY24" s="12">
        <f>IF('Données projet'!$A$114&gt;35,BY23+BX24-CG23,IF(A24&lt;'Données projet'!$A$114,$BV$205^A24,IF(A24='Données projet'!$A$114,'Données projet'!$B$114,BY23+BX24-CG23)))</f>
        <v>28.851222752799568</v>
      </c>
      <c r="BZ24" s="13">
        <f>BY24*VLOOKUP('Données projet'!$B$12,Paramètres!$A$1:$I$89,3,0)*VLOOKUP('Données projet'!$B$12,Paramètres!$A$1:$I$89,5,0)</f>
        <v>27.904902646507743</v>
      </c>
      <c r="CA24" s="13">
        <f t="shared" si="39"/>
        <v>8.7288165261968871</v>
      </c>
      <c r="CB24" s="20">
        <f t="shared" si="10"/>
        <v>63.803727559127225</v>
      </c>
      <c r="CC24" s="59">
        <f t="shared" si="11"/>
        <v>346.13706089246057</v>
      </c>
      <c r="CD24" s="59">
        <f ca="1">AVERAGE(OFFSET($CC$3,0,0,'Données projet'!$E$12+1,1))-AVERAGE(OFFSET($H$3,0,0,'Données projet'!$E$12+1,1))</f>
        <v>407.73540492005355</v>
      </c>
      <c r="CE24" s="59">
        <f t="shared" si="40"/>
        <v>296.29416764204774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51.395759999999996</v>
      </c>
      <c r="CV24" s="13">
        <f t="shared" si="41"/>
        <v>14.973641136922506</v>
      </c>
      <c r="CW24" s="20">
        <f t="shared" si="13"/>
        <v>115.59337364680668</v>
      </c>
      <c r="CX24" s="59">
        <f t="shared" si="14"/>
        <v>397.92670698014001</v>
      </c>
      <c r="CY24" s="59">
        <f ca="1">AVERAGE(OFFSET($CX$3,0,0,'Données projet'!$E$13+1,1))-AVERAGE(OFFSET($H$3,0,0,'Données projet'!$E$13+1,1))</f>
        <v>299.10536994156814</v>
      </c>
      <c r="CZ24" s="59">
        <f t="shared" si="42"/>
        <v>292.57799203101769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51.395759999999996</v>
      </c>
      <c r="DQ24" s="13">
        <f t="shared" si="43"/>
        <v>14.973641136922506</v>
      </c>
      <c r="DR24" s="20">
        <f t="shared" si="16"/>
        <v>115.59337364680668</v>
      </c>
      <c r="DS24" s="59">
        <f t="shared" si="17"/>
        <v>397.92670698014001</v>
      </c>
      <c r="DT24" s="59">
        <f ca="1">AVERAGE(OFFSET($DS$3,0,0,'Données projet'!$E$14+1,1))-AVERAGE(OFFSET($H$3,0,0,'Données projet'!$E$14+1,1))</f>
        <v>299.10536994156814</v>
      </c>
      <c r="DU24" s="59">
        <f t="shared" si="44"/>
        <v>292.57799203101769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8.1999999999999993</v>
      </c>
      <c r="EJ24" s="12">
        <f>IF('Données projet'!$A$192&gt;35,EJ23+EI24-ER23,IF(A24&lt;'Données projet'!$A$192,$EG$205^A24,IF(A24='Données projet'!$A$192,'Données projet'!$B$192,EJ23+EI24-ER23)))</f>
        <v>83.200000000000017</v>
      </c>
      <c r="EK24" s="17">
        <f>EJ24*VLOOKUP('Données projet'!$B$15,Paramètres!$A$1:$I$89,3,0)*VLOOKUP('Données projet'!$B$15,Paramètres!$A$1:$I$89,5,0)</f>
        <v>54.512640000000005</v>
      </c>
      <c r="EL24" s="13">
        <f t="shared" si="45"/>
        <v>15.773243364716285</v>
      </c>
      <c r="EM24" s="20">
        <f t="shared" si="19"/>
        <v>122.41458019354752</v>
      </c>
      <c r="EN24" s="59">
        <f t="shared" si="20"/>
        <v>404.74791352688084</v>
      </c>
      <c r="EO24" s="59">
        <f ca="1">AVERAGE(OFFSET($EN$3,0,0,'Données projet'!$E$15+1,1))-AVERAGE(OFFSET($H$3,0,0,'Données projet'!$E$15+1,1))</f>
        <v>230.58262378842818</v>
      </c>
      <c r="EP24" s="59">
        <f t="shared" si="46"/>
        <v>235.68746142880792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0.37323932199229332</v>
      </c>
      <c r="EX24" s="21">
        <f>EXP(-LN(2)/2)*EX23+(1-EXP(-LN(2)/2))/(LN(2)/2)*ER24*EU24*VLOOKUP('Données projet'!$B$15,Paramètres!$A$1:$I$89,3,0)*0.475*44/12</f>
        <v>1.2539034743819266</v>
      </c>
      <c r="EY24" s="22">
        <f t="shared" si="21"/>
        <v>1.62714279637422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5.8</v>
      </c>
      <c r="FE24" s="12">
        <f>IF('Données projet'!$A$218&gt;35,FE23+FD24-FM23,IF(A24&lt;'Données projet'!$A$218,$FB$205^A24,IF(A24='Données projet'!$A$218,'Données projet'!$B$218,FE23+FD24-FM23)))</f>
        <v>59.8</v>
      </c>
      <c r="FF24" s="17">
        <f>FE24*VLOOKUP('Données projet'!$B$16,Paramètres!$A$1:$I$89,3,0)*VLOOKUP('Données projet'!$B$16,Paramètres!$A$1:$I$89,5,0)</f>
        <v>48.50976</v>
      </c>
      <c r="FG24" s="13">
        <f t="shared" si="47"/>
        <v>14.228223566336322</v>
      </c>
      <c r="FH24" s="20">
        <f t="shared" si="22"/>
        <v>109.26865471136909</v>
      </c>
      <c r="FI24" s="59">
        <f t="shared" si="23"/>
        <v>391.60198804470241</v>
      </c>
      <c r="FJ24" s="59">
        <f ca="1">AVERAGE(OFFSET($FI$3,0,0,'Données projet'!$E$16+1,1))-AVERAGE(OFFSET($H$3,0,0,'Données projet'!$E$16+1,1))</f>
        <v>272.90535195666996</v>
      </c>
      <c r="FK24" s="59">
        <f t="shared" si="48"/>
        <v>222.25422164416898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2.4354529900674602</v>
      </c>
      <c r="FT24" s="22">
        <f t="shared" si="24"/>
        <v>2.4354529900674602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353.42599694336508</v>
      </c>
      <c r="S25" s="59">
        <f ca="1">AVERAGE(OFFSET($R$3,0,0,'Données projet'!$E$9+1,1))-AVERAGE(OFFSET($H$3,0,0,'Données projet'!$E$9+1,1))</f>
        <v>384.05928630855732</v>
      </c>
      <c r="T25" s="59">
        <f t="shared" si="34"/>
        <v>279.93992813630513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10.6</v>
      </c>
      <c r="AI25" s="13">
        <f>IF('Données projet'!$A$62&gt;35,AI24+AH25-AQ24,IF(A25&lt;'Données projet'!$A$62,$AF$205^A25,IF(A25='Données projet'!$A$62,'Données projet'!$B$62,AI24+AH25-AQ24)))</f>
        <v>182.19999999999996</v>
      </c>
      <c r="AJ25" s="13">
        <f>AI25*VLOOKUP('Données projet'!$B$10,Paramètres!$A$1:$I$89,3,0)*VLOOKUP('Données projet'!$B$10,Paramètres!$A$1:$I$89,5,0)</f>
        <v>164.85455999999996</v>
      </c>
      <c r="AK25" s="13">
        <f t="shared" si="35"/>
        <v>41.935562922532498</v>
      </c>
      <c r="AL25" s="20">
        <f t="shared" si="4"/>
        <v>360.15946409007734</v>
      </c>
      <c r="AM25" s="59">
        <f t="shared" si="5"/>
        <v>643.71501964563288</v>
      </c>
      <c r="AN25" s="59">
        <f ca="1">AVERAGE(OFFSET($AM$3,0,0,'Données projet'!$E$10+1,1))-AVERAGE(OFFSET($H$3,0,0,'Données projet'!$E$10+1,1))</f>
        <v>366.69125512029831</v>
      </c>
      <c r="AO25" s="59">
        <f t="shared" si="36"/>
        <v>513.80016421153414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83.341440000000006</v>
      </c>
      <c r="BF25" s="13">
        <f t="shared" si="37"/>
        <v>22.952227742446681</v>
      </c>
      <c r="BG25" s="20">
        <f t="shared" si="7"/>
        <v>185.12813798476131</v>
      </c>
      <c r="BH25" s="59">
        <f t="shared" si="8"/>
        <v>468.68369354031688</v>
      </c>
      <c r="BI25" s="59">
        <f ca="1">AVERAGE(OFFSET($BH$3,0,0,'Données projet'!$E$11+1,1))-AVERAGE(OFFSET($H$3,0,0,'Données projet'!$E$11+1,1))</f>
        <v>354.24684313982857</v>
      </c>
      <c r="BJ25" s="59">
        <f t="shared" si="38"/>
        <v>322.65043486962185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4.0628205128205126</v>
      </c>
      <c r="BY25" s="12">
        <f>IF('Données projet'!$A$114&gt;35,BY24+BX25-CG24,IF(A25&lt;'Données projet'!$A$114,$BV$205^A25,IF(A25='Données projet'!$A$114,'Données projet'!$B$114,BY24+BX25-CG24)))</f>
        <v>33.860693883812012</v>
      </c>
      <c r="BZ25" s="13">
        <f>BY25*VLOOKUP('Données projet'!$B$12,Paramètres!$A$1:$I$89,3,0)*VLOOKUP('Données projet'!$B$12,Paramètres!$A$1:$I$89,5,0)</f>
        <v>32.750063124422979</v>
      </c>
      <c r="CA25" s="13">
        <f t="shared" si="39"/>
        <v>10.055264823785132</v>
      </c>
      <c r="CB25" s="20">
        <f t="shared" si="10"/>
        <v>74.552612843129126</v>
      </c>
      <c r="CC25" s="59">
        <f t="shared" si="11"/>
        <v>358.10816839868465</v>
      </c>
      <c r="CD25" s="59">
        <f ca="1">AVERAGE(OFFSET($CC$3,0,0,'Données projet'!$E$12+1,1))-AVERAGE(OFFSET($H$3,0,0,'Données projet'!$E$12+1,1))</f>
        <v>407.73540492005355</v>
      </c>
      <c r="CE25" s="59">
        <f t="shared" si="40"/>
        <v>296.29416764204774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61.42031999999999</v>
      </c>
      <c r="CV25" s="13">
        <f t="shared" si="41"/>
        <v>17.526880037631354</v>
      </c>
      <c r="CW25" s="20">
        <f t="shared" si="13"/>
        <v>137.4997067322079</v>
      </c>
      <c r="CX25" s="59">
        <f t="shared" si="14"/>
        <v>421.05526228776341</v>
      </c>
      <c r="CY25" s="59">
        <f ca="1">AVERAGE(OFFSET($CX$3,0,0,'Données projet'!$E$13+1,1))-AVERAGE(OFFSET($H$3,0,0,'Données projet'!$E$13+1,1))</f>
        <v>299.10536994156814</v>
      </c>
      <c r="CZ25" s="59">
        <f t="shared" si="42"/>
        <v>292.57799203101769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61.42031999999999</v>
      </c>
      <c r="DQ25" s="13">
        <f t="shared" si="43"/>
        <v>17.526880037631354</v>
      </c>
      <c r="DR25" s="20">
        <f t="shared" si="16"/>
        <v>137.4997067322079</v>
      </c>
      <c r="DS25" s="59">
        <f t="shared" si="17"/>
        <v>421.05526228776341</v>
      </c>
      <c r="DT25" s="59">
        <f ca="1">AVERAGE(OFFSET($DS$3,0,0,'Données projet'!$E$14+1,1))-AVERAGE(OFFSET($H$3,0,0,'Données projet'!$E$14+1,1))</f>
        <v>299.10536994156814</v>
      </c>
      <c r="DU25" s="59">
        <f t="shared" si="44"/>
        <v>292.57799203101769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8.1999999999999993</v>
      </c>
      <c r="EJ25" s="12">
        <f>IF('Données projet'!$A$192&gt;35,EJ24+EI25-ER24,IF(A25&lt;'Données projet'!$A$192,$EG$205^A25,IF(A25='Données projet'!$A$192,'Données projet'!$B$192,EJ24+EI25-ER24)))</f>
        <v>91.40000000000002</v>
      </c>
      <c r="EK25" s="17">
        <f>EJ25*VLOOKUP('Données projet'!$B$15,Paramètres!$A$1:$I$89,3,0)*VLOOKUP('Données projet'!$B$15,Paramètres!$A$1:$I$89,5,0)</f>
        <v>59.885280000000009</v>
      </c>
      <c r="EL25" s="13">
        <f t="shared" si="45"/>
        <v>17.139260967250106</v>
      </c>
      <c r="EM25" s="20">
        <f t="shared" si="19"/>
        <v>134.15107551796063</v>
      </c>
      <c r="EN25" s="59">
        <f t="shared" si="20"/>
        <v>417.70663107351618</v>
      </c>
      <c r="EO25" s="59">
        <f ca="1">AVERAGE(OFFSET($EN$3,0,0,'Données projet'!$E$15+1,1))-AVERAGE(OFFSET($H$3,0,0,'Données projet'!$E$15+1,1))</f>
        <v>230.58262378842818</v>
      </c>
      <c r="EP25" s="59">
        <f t="shared" si="46"/>
        <v>235.68746142880792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0.36303307310461114</v>
      </c>
      <c r="EX25" s="21">
        <f>EXP(-LN(2)/2)*EX24+(1-EXP(-LN(2)/2))/(LN(2)/2)*ER25*EU25*VLOOKUP('Données projet'!$B$15,Paramètres!$A$1:$I$89,3,0)*0.475*44/12</f>
        <v>0.88664364968883269</v>
      </c>
      <c r="EY25" s="22">
        <f t="shared" si="21"/>
        <v>1.2496767227934438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5.8</v>
      </c>
      <c r="FE25" s="12">
        <f>IF('Données projet'!$A$218&gt;35,FE24+FD25-FM24,IF(A25&lt;'Données projet'!$A$218,$FB$205^A25,IF(A25='Données projet'!$A$218,'Données projet'!$B$218,FE24+FD25-FM24)))</f>
        <v>65.599999999999994</v>
      </c>
      <c r="FF25" s="17">
        <f>FE25*VLOOKUP('Données projet'!$B$16,Paramètres!$A$1:$I$89,3,0)*VLOOKUP('Données projet'!$B$16,Paramètres!$A$1:$I$89,5,0)</f>
        <v>53.214719999999993</v>
      </c>
      <c r="FG25" s="13">
        <f t="shared" si="47"/>
        <v>15.440940408182183</v>
      </c>
      <c r="FH25" s="20">
        <f t="shared" si="22"/>
        <v>119.57527521091727</v>
      </c>
      <c r="FI25" s="59">
        <f t="shared" si="23"/>
        <v>403.1308307664728</v>
      </c>
      <c r="FJ25" s="59">
        <f ca="1">AVERAGE(OFFSET($FI$3,0,0,'Données projet'!$E$16+1,1))-AVERAGE(OFFSET($H$3,0,0,'Données projet'!$E$16+1,1))</f>
        <v>272.90535195666996</v>
      </c>
      <c r="FK25" s="59">
        <f t="shared" si="48"/>
        <v>222.25422164416898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1.7221253245377546</v>
      </c>
      <c r="FT25" s="22">
        <f t="shared" si="24"/>
        <v>1.7221253245377546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366.42213084948315</v>
      </c>
      <c r="S26" s="59">
        <f ca="1">AVERAGE(OFFSET($R$3,0,0,'Données projet'!$E$9+1,1))-AVERAGE(OFFSET($H$3,0,0,'Données projet'!$E$9+1,1))</f>
        <v>384.05928630855732</v>
      </c>
      <c r="T26" s="59">
        <f t="shared" si="34"/>
        <v>279.93992813630513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10.6</v>
      </c>
      <c r="AI26" s="13">
        <f>IF('Données projet'!$A$62&gt;35,AI25+AH26-AQ25,IF(A26&lt;'Données projet'!$A$62,$AF$205^A26,IF(A26='Données projet'!$A$62,'Données projet'!$B$62,AI25+AH26-AQ25)))</f>
        <v>192.79999999999995</v>
      </c>
      <c r="AJ26" s="13">
        <f>AI26*VLOOKUP('Données projet'!$B$10,Paramètres!$A$1:$I$89,3,0)*VLOOKUP('Données projet'!$B$10,Paramètres!$A$1:$I$89,5,0)</f>
        <v>174.44543999999996</v>
      </c>
      <c r="AK26" s="13">
        <f t="shared" si="35"/>
        <v>44.08415354960767</v>
      </c>
      <c r="AL26" s="20">
        <f t="shared" si="4"/>
        <v>380.60570876556659</v>
      </c>
      <c r="AM26" s="59">
        <f t="shared" si="5"/>
        <v>665.38348654334436</v>
      </c>
      <c r="AN26" s="59">
        <f ca="1">AVERAGE(OFFSET($AM$3,0,0,'Données projet'!$E$10+1,1))-AVERAGE(OFFSET($H$3,0,0,'Données projet'!$E$10+1,1))</f>
        <v>366.69125512029831</v>
      </c>
      <c r="AO26" s="59">
        <f t="shared" si="36"/>
        <v>513.80016421153414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92.252160000000003</v>
      </c>
      <c r="BF26" s="13">
        <f t="shared" si="37"/>
        <v>25.107607958259987</v>
      </c>
      <c r="BG26" s="20">
        <f t="shared" si="7"/>
        <v>204.40159586063612</v>
      </c>
      <c r="BH26" s="59">
        <f t="shared" si="8"/>
        <v>489.17937363841389</v>
      </c>
      <c r="BI26" s="59">
        <f ca="1">AVERAGE(OFFSET($BH$3,0,0,'Données projet'!$E$11+1,1))-AVERAGE(OFFSET($H$3,0,0,'Données projet'!$E$11+1,1))</f>
        <v>354.24684313982857</v>
      </c>
      <c r="BJ26" s="59">
        <f t="shared" si="38"/>
        <v>322.65043486962185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4.0628205128205126</v>
      </c>
      <c r="BY26" s="12">
        <f>IF('Données projet'!$A$114&gt;35,BY25+BX26-CG25,IF(A26&lt;'Données projet'!$A$114,$BV$205^A26,IF(A26='Données projet'!$A$114,'Données projet'!$B$114,BY25+BX26-CG25)))</f>
        <v>39.739965273463824</v>
      </c>
      <c r="BZ26" s="13">
        <f>BY26*VLOOKUP('Données projet'!$B$12,Paramètres!$A$1:$I$89,3,0)*VLOOKUP('Données projet'!$B$12,Paramètres!$A$1:$I$89,5,0)</f>
        <v>38.436494412494213</v>
      </c>
      <c r="CA26" s="13">
        <f t="shared" si="39"/>
        <v>11.583282839432428</v>
      </c>
      <c r="CB26" s="20">
        <f t="shared" si="10"/>
        <v>87.117778713772225</v>
      </c>
      <c r="CC26" s="59">
        <f t="shared" si="11"/>
        <v>371.89555649155</v>
      </c>
      <c r="CD26" s="59">
        <f ca="1">AVERAGE(OFFSET($CC$3,0,0,'Données projet'!$E$12+1,1))-AVERAGE(OFFSET($H$3,0,0,'Données projet'!$E$12+1,1))</f>
        <v>407.73540492005355</v>
      </c>
      <c r="CE26" s="59">
        <f t="shared" si="40"/>
        <v>296.29416764204774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71.444879999999998</v>
      </c>
      <c r="CV26" s="13">
        <f t="shared" si="41"/>
        <v>20.03184442542841</v>
      </c>
      <c r="CW26" s="20">
        <f t="shared" si="13"/>
        <v>159.32196170762117</v>
      </c>
      <c r="CX26" s="59">
        <f t="shared" si="14"/>
        <v>444.09973948539891</v>
      </c>
      <c r="CY26" s="59">
        <f ca="1">AVERAGE(OFFSET($CX$3,0,0,'Données projet'!$E$13+1,1))-AVERAGE(OFFSET($H$3,0,0,'Données projet'!$E$13+1,1))</f>
        <v>299.10536994156814</v>
      </c>
      <c r="CZ26" s="59">
        <f t="shared" si="42"/>
        <v>292.57799203101769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71.444879999999998</v>
      </c>
      <c r="DQ26" s="13">
        <f t="shared" si="43"/>
        <v>20.03184442542841</v>
      </c>
      <c r="DR26" s="20">
        <f t="shared" si="16"/>
        <v>159.32196170762117</v>
      </c>
      <c r="DS26" s="59">
        <f t="shared" si="17"/>
        <v>444.09973948539891</v>
      </c>
      <c r="DT26" s="59">
        <f ca="1">AVERAGE(OFFSET($DS$3,0,0,'Données projet'!$E$14+1,1))-AVERAGE(OFFSET($H$3,0,0,'Données projet'!$E$14+1,1))</f>
        <v>299.10536994156814</v>
      </c>
      <c r="DU26" s="59">
        <f t="shared" si="44"/>
        <v>292.57799203101769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8.1999999999999993</v>
      </c>
      <c r="EJ26" s="12">
        <f>IF('Données projet'!$A$192&gt;35,EJ25+EI26-ER25,IF(A26&lt;'Données projet'!$A$192,$EG$205^A26,IF(A26='Données projet'!$A$192,'Données projet'!$B$192,EJ25+EI26-ER25)))</f>
        <v>99.600000000000023</v>
      </c>
      <c r="EK26" s="17">
        <f>EJ26*VLOOKUP('Données projet'!$B$15,Paramètres!$A$1:$I$89,3,0)*VLOOKUP('Données projet'!$B$15,Paramètres!$A$1:$I$89,5,0)</f>
        <v>65.257920000000013</v>
      </c>
      <c r="EL26" s="13">
        <f t="shared" si="45"/>
        <v>18.491067519086762</v>
      </c>
      <c r="EM26" s="20">
        <f t="shared" si="19"/>
        <v>145.8628199290761</v>
      </c>
      <c r="EN26" s="59">
        <f t="shared" si="20"/>
        <v>430.6405977068539</v>
      </c>
      <c r="EO26" s="59">
        <f ca="1">AVERAGE(OFFSET($EN$3,0,0,'Données projet'!$E$15+1,1))-AVERAGE(OFFSET($H$3,0,0,'Données projet'!$E$15+1,1))</f>
        <v>230.58262378842818</v>
      </c>
      <c r="EP26" s="59">
        <f t="shared" si="46"/>
        <v>235.68746142880792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0.35310591462948593</v>
      </c>
      <c r="EX26" s="21">
        <f>EXP(-LN(2)/2)*EX25+(1-EXP(-LN(2)/2))/(LN(2)/2)*ER26*EU26*VLOOKUP('Données projet'!$B$15,Paramètres!$A$1:$I$89,3,0)*0.475*44/12</f>
        <v>0.62695173719096331</v>
      </c>
      <c r="EY26" s="22">
        <f t="shared" si="21"/>
        <v>0.98005765182044924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5.8</v>
      </c>
      <c r="FE26" s="12">
        <f>IF('Données projet'!$A$218&gt;35,FE25+FD26-FM25,IF(A26&lt;'Données projet'!$A$218,$FB$205^A26,IF(A26='Données projet'!$A$218,'Données projet'!$B$218,FE25+FD26-FM25)))</f>
        <v>71.399999999999991</v>
      </c>
      <c r="FF26" s="17">
        <f>FE26*VLOOKUP('Données projet'!$B$16,Paramètres!$A$1:$I$89,3,0)*VLOOKUP('Données projet'!$B$16,Paramètres!$A$1:$I$89,5,0)</f>
        <v>57.91968</v>
      </c>
      <c r="FG26" s="13">
        <f t="shared" si="47"/>
        <v>16.641223534705848</v>
      </c>
      <c r="FH26" s="20">
        <f t="shared" si="22"/>
        <v>129.860240322946</v>
      </c>
      <c r="FI26" s="59">
        <f t="shared" si="23"/>
        <v>414.6380181007238</v>
      </c>
      <c r="FJ26" s="59">
        <f ca="1">AVERAGE(OFFSET($FI$3,0,0,'Données projet'!$E$16+1,1))-AVERAGE(OFFSET($H$3,0,0,'Données projet'!$E$16+1,1))</f>
        <v>272.90535195666996</v>
      </c>
      <c r="FK26" s="59">
        <f t="shared" si="48"/>
        <v>222.25422164416898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1.2177264950337303</v>
      </c>
      <c r="FT26" s="22">
        <f t="shared" si="24"/>
        <v>1.2177264950337303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381.40821462978687</v>
      </c>
      <c r="S27" s="59">
        <f ca="1">AVERAGE(OFFSET($R$3,0,0,'Données projet'!$E$9+1,1))-AVERAGE(OFFSET($H$3,0,0,'Données projet'!$E$9+1,1))</f>
        <v>384.05928630855732</v>
      </c>
      <c r="T27" s="59">
        <f t="shared" si="34"/>
        <v>279.93992813630513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10.6</v>
      </c>
      <c r="AI27" s="13">
        <f>IF('Données projet'!$A$62&gt;35,AI26+AH27-AQ26,IF(A27&lt;'Données projet'!$A$62,$AF$205^A27,IF(A27='Données projet'!$A$62,'Données projet'!$B$62,AI26+AH27-AQ26)))</f>
        <v>203.39999999999995</v>
      </c>
      <c r="AJ27" s="13">
        <f>AI27*VLOOKUP('Données projet'!$B$10,Paramètres!$A$1:$I$89,3,0)*VLOOKUP('Données projet'!$B$10,Paramètres!$A$1:$I$89,5,0)</f>
        <v>184.03631999999996</v>
      </c>
      <c r="AK27" s="13">
        <f t="shared" si="35"/>
        <v>46.219030699200047</v>
      </c>
      <c r="AL27" s="20">
        <f t="shared" si="4"/>
        <v>401.02806913443993</v>
      </c>
      <c r="AM27" s="59">
        <f t="shared" si="5"/>
        <v>687.02806913443987</v>
      </c>
      <c r="AN27" s="59">
        <f ca="1">AVERAGE(OFFSET($AM$3,0,0,'Données projet'!$E$10+1,1))-AVERAGE(OFFSET($H$3,0,0,'Données projet'!$E$10+1,1))</f>
        <v>366.69125512029831</v>
      </c>
      <c r="AO27" s="59">
        <f t="shared" si="36"/>
        <v>513.80016421153414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101.16288</v>
      </c>
      <c r="BF27" s="13">
        <f t="shared" si="37"/>
        <v>27.238850979377386</v>
      </c>
      <c r="BG27" s="20">
        <f t="shared" si="7"/>
        <v>223.63301478908227</v>
      </c>
      <c r="BH27" s="59">
        <f t="shared" si="8"/>
        <v>509.63301478908227</v>
      </c>
      <c r="BI27" s="59">
        <f ca="1">AVERAGE(OFFSET($BH$3,0,0,'Données projet'!$E$11+1,1))-AVERAGE(OFFSET($H$3,0,0,'Données projet'!$E$11+1,1))</f>
        <v>354.24684313982857</v>
      </c>
      <c r="BJ27" s="59">
        <f t="shared" si="38"/>
        <v>322.65043486962185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4.0628205128205126</v>
      </c>
      <c r="BY27" s="12">
        <f>IF('Données projet'!$A$114&gt;35,BY26+BX27-CG26,IF(A27&lt;'Données projet'!$A$114,$BV$205^A27,IF(A27='Données projet'!$A$114,'Données projet'!$B$114,BY26+BX27-CG26)))</f>
        <v>46.640061345320483</v>
      </c>
      <c r="BZ27" s="13">
        <f>BY27*VLOOKUP('Données projet'!$B$12,Paramètres!$A$1:$I$89,3,0)*VLOOKUP('Données projet'!$B$12,Paramètres!$A$1:$I$89,5,0)</f>
        <v>45.110267333193974</v>
      </c>
      <c r="CA27" s="13">
        <f t="shared" si="39"/>
        <v>13.343501507878033</v>
      </c>
      <c r="CB27" s="20">
        <f t="shared" si="10"/>
        <v>101.80698073153373</v>
      </c>
      <c r="CC27" s="59">
        <f t="shared" si="11"/>
        <v>387.80698073153371</v>
      </c>
      <c r="CD27" s="59">
        <f ca="1">AVERAGE(OFFSET($CC$3,0,0,'Données projet'!$E$12+1,1))-AVERAGE(OFFSET($H$3,0,0,'Données projet'!$E$12+1,1))</f>
        <v>407.73540492005355</v>
      </c>
      <c r="CE27" s="59">
        <f t="shared" si="40"/>
        <v>296.29416764204774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81.469439999999992</v>
      </c>
      <c r="CV27" s="13">
        <f t="shared" si="41"/>
        <v>22.496088365195678</v>
      </c>
      <c r="CW27" s="20">
        <f t="shared" si="13"/>
        <v>181.07329523604912</v>
      </c>
      <c r="CX27" s="59">
        <f t="shared" si="14"/>
        <v>467.07329523604915</v>
      </c>
      <c r="CY27" s="59">
        <f ca="1">AVERAGE(OFFSET($CX$3,0,0,'Données projet'!$E$13+1,1))-AVERAGE(OFFSET($H$3,0,0,'Données projet'!$E$13+1,1))</f>
        <v>299.10536994156814</v>
      </c>
      <c r="CZ27" s="59">
        <f t="shared" si="42"/>
        <v>292.57799203101769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81.469439999999992</v>
      </c>
      <c r="DQ27" s="13">
        <f t="shared" si="43"/>
        <v>22.496088365195678</v>
      </c>
      <c r="DR27" s="20">
        <f t="shared" si="16"/>
        <v>181.07329523604912</v>
      </c>
      <c r="DS27" s="59">
        <f t="shared" si="17"/>
        <v>467.07329523604915</v>
      </c>
      <c r="DT27" s="59">
        <f ca="1">AVERAGE(OFFSET($DS$3,0,0,'Données projet'!$E$14+1,1))-AVERAGE(OFFSET($H$3,0,0,'Données projet'!$E$14+1,1))</f>
        <v>299.10536994156814</v>
      </c>
      <c r="DU27" s="59">
        <f t="shared" si="44"/>
        <v>292.57799203101769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8.1999999999999993</v>
      </c>
      <c r="EJ27" s="12">
        <f>IF('Données projet'!$A$192&gt;35,EJ26+EI27-ER26,IF(A27&lt;'Données projet'!$A$192,$EG$205^A27,IF(A27='Données projet'!$A$192,'Données projet'!$B$192,EJ26+EI27-ER26)))</f>
        <v>107.80000000000003</v>
      </c>
      <c r="EK27" s="17">
        <f>EJ27*VLOOKUP('Données projet'!$B$15,Paramètres!$A$1:$I$89,3,0)*VLOOKUP('Données projet'!$B$15,Paramètres!$A$1:$I$89,5,0)</f>
        <v>70.630560000000017</v>
      </c>
      <c r="EL27" s="13">
        <f t="shared" si="45"/>
        <v>19.829966022106095</v>
      </c>
      <c r="EM27" s="20">
        <f t="shared" si="19"/>
        <v>157.5520828218348</v>
      </c>
      <c r="EN27" s="59">
        <f t="shared" si="20"/>
        <v>443.5520828218348</v>
      </c>
      <c r="EO27" s="59">
        <f ca="1">AVERAGE(OFFSET($EN$3,0,0,'Données projet'!$E$15+1,1))-AVERAGE(OFFSET($H$3,0,0,'Données projet'!$E$15+1,1))</f>
        <v>230.58262378842818</v>
      </c>
      <c r="EP27" s="59">
        <f t="shared" si="46"/>
        <v>235.68746142880792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0.34345021482490962</v>
      </c>
      <c r="EX27" s="21">
        <f>EXP(-LN(2)/2)*EX26+(1-EXP(-LN(2)/2))/(LN(2)/2)*ER27*EU27*VLOOKUP('Données projet'!$B$15,Paramètres!$A$1:$I$89,3,0)*0.475*44/12</f>
        <v>0.44332182484441635</v>
      </c>
      <c r="EY27" s="22">
        <f t="shared" si="21"/>
        <v>0.78677203966932596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5.8</v>
      </c>
      <c r="FE27" s="12">
        <f>IF('Données projet'!$A$218&gt;35,FE26+FD27-FM26,IF(A27&lt;'Données projet'!$A$218,$FB$205^A27,IF(A27='Données projet'!$A$218,'Données projet'!$B$218,FE26+FD27-FM26)))</f>
        <v>77.199999999999989</v>
      </c>
      <c r="FF27" s="17">
        <f>FE27*VLOOKUP('Données projet'!$B$16,Paramètres!$A$1:$I$89,3,0)*VLOOKUP('Données projet'!$B$16,Paramètres!$A$1:$I$89,5,0)</f>
        <v>62.624639999999999</v>
      </c>
      <c r="FG27" s="13">
        <f t="shared" si="47"/>
        <v>17.830197796836153</v>
      </c>
      <c r="FH27" s="20">
        <f t="shared" si="22"/>
        <v>140.12550916282296</v>
      </c>
      <c r="FI27" s="59">
        <f t="shared" si="23"/>
        <v>426.12550916282294</v>
      </c>
      <c r="FJ27" s="59">
        <f ca="1">AVERAGE(OFFSET($FI$3,0,0,'Données projet'!$E$16+1,1))-AVERAGE(OFFSET($H$3,0,0,'Données projet'!$E$16+1,1))</f>
        <v>272.90535195666996</v>
      </c>
      <c r="FK27" s="59">
        <f t="shared" si="48"/>
        <v>222.25422164416898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0.8610626622688774</v>
      </c>
      <c r="FT27" s="22">
        <f t="shared" si="24"/>
        <v>0.8610626622688774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398.72150370848578</v>
      </c>
      <c r="S28" s="59">
        <f ca="1">AVERAGE(OFFSET($R$3,0,0,'Données projet'!$E$9+1,1))-AVERAGE(OFFSET($H$3,0,0,'Données projet'!$E$9+1,1))</f>
        <v>384.05928630855732</v>
      </c>
      <c r="T28" s="59">
        <f t="shared" si="34"/>
        <v>279.93992813630513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214</v>
      </c>
      <c r="AG28" s="12">
        <f>VLOOKUP(A28,'Données projet'!$A$61:$I$81,9,0)</f>
        <v>10.6</v>
      </c>
      <c r="AH28" s="12">
        <f t="array" ref="AH28">INDEX(AG:AG,MIN(IF(ISNUMBER(AG28:AG224),ROW(AG28:AG224),"")))</f>
        <v>10.6</v>
      </c>
      <c r="AI28" s="13">
        <f>IF('Données projet'!$A$62&gt;35,AI27+AH28-AQ27,IF(A28&lt;'Données projet'!$A$62,$AF$205^A28,IF(A28='Données projet'!$A$62,'Données projet'!$B$62,AI27+AH28-AQ27)))</f>
        <v>213.99999999999994</v>
      </c>
      <c r="AJ28" s="13">
        <f>AI28*VLOOKUP('Données projet'!$B$10,Paramètres!$A$1:$I$89,3,0)*VLOOKUP('Données projet'!$B$10,Paramètres!$A$1:$I$89,5,0)</f>
        <v>193.62719999999996</v>
      </c>
      <c r="AK28" s="13">
        <f t="shared" si="35"/>
        <v>48.340990547231193</v>
      </c>
      <c r="AL28" s="20">
        <f t="shared" si="4"/>
        <v>421.42793186976087</v>
      </c>
      <c r="AM28" s="59">
        <f t="shared" si="5"/>
        <v>708.65015409198304</v>
      </c>
      <c r="AN28" s="59">
        <f ca="1">AVERAGE(OFFSET($AM$3,0,0,'Données projet'!$E$10+1,1))-AVERAGE(OFFSET($H$3,0,0,'Données projet'!$E$10+1,1))</f>
        <v>366.69125512029831</v>
      </c>
      <c r="AO28" s="59">
        <f t="shared" si="36"/>
        <v>513.80016421153414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0.15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2.0922117601375478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2.0922117601375478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110.07360000000001</v>
      </c>
      <c r="BF28" s="13">
        <f t="shared" si="37"/>
        <v>29.348324631518828</v>
      </c>
      <c r="BG28" s="20">
        <f t="shared" si="7"/>
        <v>242.8265187332286</v>
      </c>
      <c r="BH28" s="59">
        <f t="shared" si="8"/>
        <v>530.04874095545085</v>
      </c>
      <c r="BI28" s="59">
        <f ca="1">AVERAGE(OFFSET($BH$3,0,0,'Données projet'!$E$11+1,1))-AVERAGE(OFFSET($H$3,0,0,'Données projet'!$E$11+1,1))</f>
        <v>354.24684313982857</v>
      </c>
      <c r="BJ28" s="59">
        <f t="shared" si="38"/>
        <v>322.65043486962185</v>
      </c>
      <c r="BK28" s="15">
        <f>IF(ISNA(VLOOKUP(A28,'Données projet'!$A$87:$I$107,3,0)),0,VLOOKUP(A28,'Données projet'!$A$87:$I$107,3,0))</f>
        <v>2</v>
      </c>
      <c r="BL28" s="15" t="str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4.0628205128205126</v>
      </c>
      <c r="BY28" s="12">
        <f>IF('Données projet'!$A$114&gt;35,BY27+BX28-CG27,IF(A28&lt;'Données projet'!$A$114,$BV$205^A28,IF(A28='Données projet'!$A$114,'Données projet'!$B$114,BY27+BX28-CG27)))</f>
        <v>54.738229068051083</v>
      </c>
      <c r="BZ28" s="13">
        <f>BY28*VLOOKUP('Données projet'!$B$12,Paramètres!$A$1:$I$89,3,0)*VLOOKUP('Données projet'!$B$12,Paramètres!$A$1:$I$89,5,0)</f>
        <v>52.942815154619012</v>
      </c>
      <c r="CA28" s="13">
        <f t="shared" si="39"/>
        <v>15.371206501547148</v>
      </c>
      <c r="CB28" s="20">
        <f t="shared" si="10"/>
        <v>118.9802543844894</v>
      </c>
      <c r="CC28" s="59">
        <f t="shared" si="11"/>
        <v>406.20247660671163</v>
      </c>
      <c r="CD28" s="59">
        <f ca="1">AVERAGE(OFFSET($CC$3,0,0,'Données projet'!$E$12+1,1))-AVERAGE(OFFSET($H$3,0,0,'Données projet'!$E$12+1,1))</f>
        <v>407.73540492005355</v>
      </c>
      <c r="CE28" s="59">
        <f t="shared" si="40"/>
        <v>296.29416764204774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91.493999999999986</v>
      </c>
      <c r="CV28" s="13">
        <f t="shared" si="41"/>
        <v>24.925195840896517</v>
      </c>
      <c r="CW28" s="20">
        <f t="shared" si="13"/>
        <v>202.76343275622807</v>
      </c>
      <c r="CX28" s="59">
        <f t="shared" si="14"/>
        <v>489.98565497845027</v>
      </c>
      <c r="CY28" s="59">
        <f ca="1">AVERAGE(OFFSET($CX$3,0,0,'Données projet'!$E$13+1,1))-AVERAGE(OFFSET($H$3,0,0,'Données projet'!$E$13+1,1))</f>
        <v>299.10536994156814</v>
      </c>
      <c r="CZ28" s="59">
        <f t="shared" si="42"/>
        <v>292.57799203101769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3.7100000000000008E-2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0.91003997042672546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0.91003997042672546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91.493999999999986</v>
      </c>
      <c r="DQ28" s="13">
        <f t="shared" si="43"/>
        <v>24.925195840896517</v>
      </c>
      <c r="DR28" s="20">
        <f t="shared" si="16"/>
        <v>202.76343275622807</v>
      </c>
      <c r="DS28" s="59">
        <f t="shared" si="17"/>
        <v>489.98565497845027</v>
      </c>
      <c r="DT28" s="59">
        <f ca="1">AVERAGE(OFFSET($DS$3,0,0,'Données projet'!$E$14+1,1))-AVERAGE(OFFSET($H$3,0,0,'Données projet'!$E$14+1,1))</f>
        <v>299.10536994156814</v>
      </c>
      <c r="DU28" s="59">
        <f t="shared" si="44"/>
        <v>292.57799203101769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3.7100000000000008E-2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0.91003997042672546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0.91003997042672546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116</v>
      </c>
      <c r="EH28" s="12">
        <f>VLOOKUP(A28,'Données projet'!$A$191:$I$211,9,0)</f>
        <v>8.1999999999999993</v>
      </c>
      <c r="EI28" s="12">
        <f t="array" ref="EI28">INDEX(EH:EH,MIN(IF(ISNUMBER(EH28:EH224),ROW(EH28:EH224),"")))</f>
        <v>8.1999999999999993</v>
      </c>
      <c r="EJ28" s="12">
        <f>IF('Données projet'!$A$192&gt;35,EJ27+EI28-ER27,IF(A28&lt;'Données projet'!$A$192,$EG$205^A28,IF(A28='Données projet'!$A$192,'Données projet'!$B$192,EJ27+EI28-ER27)))</f>
        <v>116.00000000000003</v>
      </c>
      <c r="EK28" s="17">
        <f>EJ28*VLOOKUP('Données projet'!$B$15,Paramètres!$A$1:$I$89,3,0)*VLOOKUP('Données projet'!$B$15,Paramètres!$A$1:$I$89,5,0)</f>
        <v>76.003200000000021</v>
      </c>
      <c r="EL28" s="13">
        <f t="shared" si="45"/>
        <v>21.157049992000456</v>
      </c>
      <c r="EM28" s="20">
        <f t="shared" si="19"/>
        <v>169.2207687360675</v>
      </c>
      <c r="EN28" s="59">
        <f t="shared" si="20"/>
        <v>456.44299095828973</v>
      </c>
      <c r="EO28" s="59">
        <f ca="1">AVERAGE(OFFSET($EN$3,0,0,'Données projet'!$E$15+1,1))-AVERAGE(OFFSET($H$3,0,0,'Données projet'!$E$15+1,1))</f>
        <v>230.58262378842818</v>
      </c>
      <c r="EP28" s="59">
        <f t="shared" si="46"/>
        <v>235.68746142880792</v>
      </c>
      <c r="EQ28" s="15">
        <f>IF(ISNA(VLOOKUP(A28,'Données projet'!$A$191:$I$211,3,0)),0,VLOOKUP(A28,'Données projet'!$A$191:$I$211,3,0))</f>
        <v>4</v>
      </c>
      <c r="ER28" s="15">
        <f>IF(ISNA(VLOOKUP(A28,'Données projet'!$A$191:$I$211,4,0)),0,VLOOKUP(A28,'Données projet'!$A$191:$I$211,4,0))</f>
        <v>18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4.3000000000000003E-2</v>
      </c>
      <c r="EU28" s="16">
        <f>IF(ISNA(VLOOKUP(A28,'Données projet'!$A$191:$I$211,7,0)),0%,VLOOKUP(A28,'Données projet'!$A$191:$I$211,7,0))</f>
        <v>0.3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0.89246265489666166</v>
      </c>
      <c r="EX28" s="21">
        <f>EXP(-LN(2)/2)*EX27+(1-EXP(-LN(2)/2))/(LN(2)/2)*ER28*EU28*VLOOKUP('Données projet'!$B$15,Paramètres!$A$1:$I$89,3,0)*0.475*44/12</f>
        <v>3.6517495746225133</v>
      </c>
      <c r="EY28" s="22">
        <f t="shared" si="21"/>
        <v>4.5442122295191751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83</v>
      </c>
      <c r="FC28" s="12">
        <f>VLOOKUP(A28,'Données projet'!$A$217:$I$237,9,0)</f>
        <v>5.8</v>
      </c>
      <c r="FD28" s="12">
        <f t="array" ref="FD28">INDEX(FC:FC,MIN(IF(ISNUMBER(FC28:FC224),ROW(FC28:FC224),"")))</f>
        <v>5.8</v>
      </c>
      <c r="FE28" s="12">
        <f>IF('Données projet'!$A$218&gt;35,FE27+FD28-FM27,IF(A28&lt;'Données projet'!$A$218,$FB$205^A28,IF(A28='Données projet'!$A$218,'Données projet'!$B$218,FE27+FD28-FM27)))</f>
        <v>82.999999999999986</v>
      </c>
      <c r="FF28" s="17">
        <f>FE28*VLOOKUP('Données projet'!$B$16,Paramètres!$A$1:$I$89,3,0)*VLOOKUP('Données projet'!$B$16,Paramètres!$A$1:$I$89,5,0)</f>
        <v>67.329599999999999</v>
      </c>
      <c r="FG28" s="13">
        <f t="shared" si="47"/>
        <v>19.008809433660961</v>
      </c>
      <c r="FH28" s="20">
        <f t="shared" si="22"/>
        <v>150.37272976362615</v>
      </c>
      <c r="FI28" s="59">
        <f t="shared" si="23"/>
        <v>437.59495198584841</v>
      </c>
      <c r="FJ28" s="59">
        <f ca="1">AVERAGE(OFFSET($FI$3,0,0,'Données projet'!$E$16+1,1))-AVERAGE(OFFSET($H$3,0,0,'Données projet'!$E$16+1,1))</f>
        <v>272.90535195666996</v>
      </c>
      <c r="FK28" s="59">
        <f t="shared" si="48"/>
        <v>222.25422164416898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10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4.3000000000000003E-2</v>
      </c>
      <c r="FP28" s="16">
        <f>IF(ISNA(VLOOKUP(A28,'Données projet'!$A$217:$I$237,7,0)),0%,VLOOKUP(A28,'Données projet'!$A$217:$I$237,7,0))</f>
        <v>0.3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0.38408747911884716</v>
      </c>
      <c r="FS28" s="21">
        <f>EXP(-LN(2)/2)*FS27+(1-EXP(-LN(2)/2))/(LN(2)/2)*FM28*FP28*VLOOKUP('Données projet'!$B$16,Paramètres!$A$1:$I$89,3,0)*0.475*44/12</f>
        <v>2.9050303469005381</v>
      </c>
      <c r="FT28" s="22">
        <f t="shared" si="24"/>
        <v>3.2891178260193854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418.75655606832322</v>
      </c>
      <c r="S29" s="59">
        <f ca="1">AVERAGE(OFFSET($R$3,0,0,'Données projet'!$E$9+1,1))-AVERAGE(OFFSET($H$3,0,0,'Données projet'!$E$9+1,1))</f>
        <v>384.05928630855732</v>
      </c>
      <c r="T29" s="59">
        <f t="shared" si="34"/>
        <v>279.93992813630513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8.6</v>
      </c>
      <c r="AI29" s="13">
        <f>IF('Données projet'!$A$62&gt;35,AI28+AH29-AQ28,IF(A29&lt;'Données projet'!$A$62,$AF$205^A29,IF(A29='Données projet'!$A$62,'Données projet'!$B$62,AI28+AH29-AQ28)))</f>
        <v>208.59999999999994</v>
      </c>
      <c r="AJ29" s="13">
        <f>AI29*VLOOKUP('Données projet'!$B$10,Paramètres!$A$1:$I$89,3,0)*VLOOKUP('Données projet'!$B$10,Paramètres!$A$1:$I$89,5,0)</f>
        <v>188.74127999999993</v>
      </c>
      <c r="AK29" s="13">
        <f t="shared" si="35"/>
        <v>47.261560168122358</v>
      </c>
      <c r="AL29" s="20">
        <f t="shared" si="4"/>
        <v>411.03827995947967</v>
      </c>
      <c r="AM29" s="59">
        <f t="shared" si="5"/>
        <v>699.48272440392407</v>
      </c>
      <c r="AN29" s="59">
        <f ca="1">AVERAGE(OFFSET($AM$3,0,0,'Données projet'!$E$10+1,1))-AVERAGE(OFFSET($H$3,0,0,'Données projet'!$E$10+1,1))</f>
        <v>366.69125512029831</v>
      </c>
      <c r="AO29" s="59">
        <f t="shared" si="36"/>
        <v>513.80016421153414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2.035000119531952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2.035000119531952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95.921280000000024</v>
      </c>
      <c r="BF29" s="13">
        <f t="shared" si="37"/>
        <v>25.98795633328076</v>
      </c>
      <c r="BG29" s="20">
        <f t="shared" si="7"/>
        <v>212.32525328046404</v>
      </c>
      <c r="BH29" s="59">
        <f t="shared" si="8"/>
        <v>500.7696977249085</v>
      </c>
      <c r="BI29" s="59">
        <f ca="1">AVERAGE(OFFSET($BH$3,0,0,'Données projet'!$E$11+1,1))-AVERAGE(OFFSET($H$3,0,0,'Données projet'!$E$11+1,1))</f>
        <v>354.24684313982857</v>
      </c>
      <c r="BJ29" s="59">
        <f t="shared" si="38"/>
        <v>322.65043486962185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4.0628205128205126</v>
      </c>
      <c r="BY29" s="12">
        <f>IF('Données projet'!$A$114&gt;35,BY28+BX29-CG28,IF(A29&lt;'Données projet'!$A$114,$BV$205^A29,IF(A29='Données projet'!$A$114,'Données projet'!$B$114,BY28+BX29-CG28)))</f>
        <v>64.242491006222849</v>
      </c>
      <c r="BZ29" s="13">
        <f>BY29*VLOOKUP('Données projet'!$B$12,Paramètres!$A$1:$I$89,3,0)*VLOOKUP('Données projet'!$B$12,Paramètres!$A$1:$I$89,5,0)</f>
        <v>62.13533730121874</v>
      </c>
      <c r="CA29" s="13">
        <f t="shared" si="39"/>
        <v>17.707045573735556</v>
      </c>
      <c r="CB29" s="20">
        <f t="shared" si="10"/>
        <v>139.0588168405454</v>
      </c>
      <c r="CC29" s="59">
        <f t="shared" si="11"/>
        <v>427.50326128498989</v>
      </c>
      <c r="CD29" s="59">
        <f ca="1">AVERAGE(OFFSET($CC$3,0,0,'Données projet'!$E$12+1,1))-AVERAGE(OFFSET($H$3,0,0,'Données projet'!$E$12+1,1))</f>
        <v>407.73540492005355</v>
      </c>
      <c r="CE29" s="59">
        <f t="shared" si="40"/>
        <v>296.29416764204774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78.605279999999979</v>
      </c>
      <c r="CV29" s="13">
        <f t="shared" si="41"/>
        <v>21.795819556945734</v>
      </c>
      <c r="CW29" s="20">
        <f t="shared" si="13"/>
        <v>174.86524839501377</v>
      </c>
      <c r="CX29" s="59">
        <f t="shared" si="14"/>
        <v>463.30969283945819</v>
      </c>
      <c r="CY29" s="59">
        <f ca="1">AVERAGE(OFFSET($CX$3,0,0,'Données projet'!$E$13+1,1))-AVERAGE(OFFSET($H$3,0,0,'Données projet'!$E$13+1,1))</f>
        <v>299.10536994156814</v>
      </c>
      <c r="CZ29" s="59">
        <f t="shared" si="42"/>
        <v>292.57799203101769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0.88515487957848449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0.88515487957848449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78.605279999999979</v>
      </c>
      <c r="DQ29" s="13">
        <f t="shared" si="43"/>
        <v>21.795819556945734</v>
      </c>
      <c r="DR29" s="20">
        <f t="shared" si="16"/>
        <v>174.86524839501377</v>
      </c>
      <c r="DS29" s="59">
        <f t="shared" si="17"/>
        <v>463.30969283945819</v>
      </c>
      <c r="DT29" s="59">
        <f ca="1">AVERAGE(OFFSET($DS$3,0,0,'Données projet'!$E$14+1,1))-AVERAGE(OFFSET($H$3,0,0,'Données projet'!$E$14+1,1))</f>
        <v>299.10536994156814</v>
      </c>
      <c r="DU29" s="59">
        <f t="shared" si="44"/>
        <v>292.57799203101769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0.88515487957848449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0.88515487957848449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7.8</v>
      </c>
      <c r="EJ29" s="12">
        <f>IF('Données projet'!$A$192&gt;35,EJ28+EI29-ER28,IF(A29&lt;'Données projet'!$A$192,$EG$205^A29,IF(A29='Données projet'!$A$192,'Données projet'!$B$192,EJ28+EI29-ER28)))</f>
        <v>105.80000000000003</v>
      </c>
      <c r="EK29" s="17">
        <f>EJ29*VLOOKUP('Données projet'!$B$15,Paramètres!$A$1:$I$89,3,0)*VLOOKUP('Données projet'!$B$15,Paramètres!$A$1:$I$89,5,0)</f>
        <v>69.320160000000016</v>
      </c>
      <c r="EL29" s="13">
        <f t="shared" si="45"/>
        <v>19.50453356393022</v>
      </c>
      <c r="EM29" s="20">
        <f t="shared" si="19"/>
        <v>154.70300795717847</v>
      </c>
      <c r="EN29" s="59">
        <f t="shared" si="20"/>
        <v>443.1474524016229</v>
      </c>
      <c r="EO29" s="59">
        <f ca="1">AVERAGE(OFFSET($EN$3,0,0,'Données projet'!$E$15+1,1))-AVERAGE(OFFSET($H$3,0,0,'Données projet'!$E$15+1,1))</f>
        <v>230.58262378842818</v>
      </c>
      <c r="EP29" s="59">
        <f t="shared" si="46"/>
        <v>235.68746142880792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0.86805821666594118</v>
      </c>
      <c r="EX29" s="21">
        <f>EXP(-LN(2)/2)*EX28+(1-EXP(-LN(2)/2))/(LN(2)/2)*ER29*EU29*VLOOKUP('Données projet'!$B$15,Paramètres!$A$1:$I$89,3,0)*0.475*44/12</f>
        <v>2.5821768874106699</v>
      </c>
      <c r="EY29" s="22">
        <f t="shared" si="21"/>
        <v>3.450235104076611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6</v>
      </c>
      <c r="FE29" s="12">
        <f>IF('Données projet'!$A$218&gt;35,FE28+FD29-FM28,IF(A29&lt;'Données projet'!$A$218,$FB$205^A29,IF(A29='Données projet'!$A$218,'Données projet'!$B$218,FE28+FD29-FM28)))</f>
        <v>78.999999999999986</v>
      </c>
      <c r="FF29" s="17">
        <f>FE29*VLOOKUP('Données projet'!$B$16,Paramètres!$A$1:$I$89,3,0)*VLOOKUP('Données projet'!$B$16,Paramètres!$A$1:$I$89,5,0)</f>
        <v>64.084799999999987</v>
      </c>
      <c r="FG29" s="13">
        <f t="shared" si="47"/>
        <v>18.197042620605469</v>
      </c>
      <c r="FH29" s="20">
        <f t="shared" si="22"/>
        <v>143.30754256422117</v>
      </c>
      <c r="FI29" s="59">
        <f t="shared" si="23"/>
        <v>431.75198700866565</v>
      </c>
      <c r="FJ29" s="59">
        <f ca="1">AVERAGE(OFFSET($FI$3,0,0,'Données projet'!$E$16+1,1))-AVERAGE(OFFSET($H$3,0,0,'Données projet'!$E$16+1,1))</f>
        <v>272.90535195666996</v>
      </c>
      <c r="FK29" s="59">
        <f t="shared" si="48"/>
        <v>222.25422164416898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0.37358458680405959</v>
      </c>
      <c r="FS29" s="21">
        <f>EXP(-LN(2)/2)*FS28+(1-EXP(-LN(2)/2))/(LN(2)/2)*FM29*FP29*VLOOKUP('Données projet'!$B$16,Paramètres!$A$1:$I$89,3,0)*0.475*44/12</f>
        <v>2.0541666578460793</v>
      </c>
      <c r="FT29" s="22">
        <f t="shared" si="24"/>
        <v>2.427751244650139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441.97499097319923</v>
      </c>
      <c r="S30" s="59">
        <f ca="1">AVERAGE(OFFSET($R$3,0,0,'Données projet'!$E$9+1,1))-AVERAGE(OFFSET($H$3,0,0,'Données projet'!$E$9+1,1))</f>
        <v>384.05928630855732</v>
      </c>
      <c r="T30" s="59">
        <f t="shared" si="34"/>
        <v>279.93992813630513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8.6</v>
      </c>
      <c r="AI30" s="13">
        <f>IF('Données projet'!$A$62&gt;35,AI29+AH30-AQ29,IF(A30&lt;'Données projet'!$A$62,$AF$205^A30,IF(A30='Données projet'!$A$62,'Données projet'!$B$62,AI29+AH30-AQ29)))</f>
        <v>217.19999999999993</v>
      </c>
      <c r="AJ30" s="13">
        <f>AI30*VLOOKUP('Données projet'!$B$10,Paramètres!$A$1:$I$89,3,0)*VLOOKUP('Données projet'!$B$10,Paramètres!$A$1:$I$89,5,0)</f>
        <v>196.52255999999994</v>
      </c>
      <c r="AK30" s="13">
        <f t="shared" si="35"/>
        <v>48.979153257338155</v>
      </c>
      <c r="AL30" s="20">
        <f t="shared" si="4"/>
        <v>427.58215058986383</v>
      </c>
      <c r="AM30" s="59">
        <f t="shared" si="5"/>
        <v>717.24881725653051</v>
      </c>
      <c r="AN30" s="59">
        <f ca="1">AVERAGE(OFFSET($AM$3,0,0,'Données projet'!$E$10+1,1))-AVERAGE(OFFSET($H$3,0,0,'Données projet'!$E$10+1,1))</f>
        <v>366.69125512029831</v>
      </c>
      <c r="AO30" s="59">
        <f t="shared" si="36"/>
        <v>513.80016421153414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1.9793529342473455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1.9793529342473455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104.48256000000002</v>
      </c>
      <c r="BF30" s="13">
        <f t="shared" si="37"/>
        <v>28.02716504477474</v>
      </c>
      <c r="BG30" s="20">
        <f t="shared" si="7"/>
        <v>230.78777111964939</v>
      </c>
      <c r="BH30" s="59">
        <f t="shared" si="8"/>
        <v>520.45443778631602</v>
      </c>
      <c r="BI30" s="59">
        <f ca="1">AVERAGE(OFFSET($BH$3,0,0,'Données projet'!$E$11+1,1))-AVERAGE(OFFSET($H$3,0,0,'Données projet'!$E$11+1,1))</f>
        <v>354.24684313982857</v>
      </c>
      <c r="BJ30" s="59">
        <f t="shared" si="38"/>
        <v>322.65043486962185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4.0628205128205126</v>
      </c>
      <c r="BY30" s="12">
        <f>IF('Données projet'!$A$114&gt;35,BY29+BX30-CG29,IF(A30&lt;'Données projet'!$A$114,$BV$205^A30,IF(A30='Données projet'!$A$114,'Données projet'!$B$114,BY29+BX30-CG29)))</f>
        <v>75.396988922564091</v>
      </c>
      <c r="BZ30" s="13">
        <f>BY30*VLOOKUP('Données projet'!$B$12,Paramètres!$A$1:$I$89,3,0)*VLOOKUP('Données projet'!$B$12,Paramètres!$A$1:$I$89,5,0)</f>
        <v>72.923967685903989</v>
      </c>
      <c r="CA30" s="13">
        <f t="shared" si="39"/>
        <v>20.397843391069493</v>
      </c>
      <c r="CB30" s="20">
        <f t="shared" si="10"/>
        <v>162.53548762572882</v>
      </c>
      <c r="CC30" s="59">
        <f t="shared" si="11"/>
        <v>452.20215429239551</v>
      </c>
      <c r="CD30" s="59">
        <f ca="1">AVERAGE(OFFSET($CC$3,0,0,'Données projet'!$E$12+1,1))-AVERAGE(OFFSET($H$3,0,0,'Données projet'!$E$12+1,1))</f>
        <v>407.73540492005355</v>
      </c>
      <c r="CE30" s="59">
        <f t="shared" si="40"/>
        <v>296.29416764204774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87.993359999999981</v>
      </c>
      <c r="CV30" s="13">
        <f t="shared" si="41"/>
        <v>24.080638481970816</v>
      </c>
      <c r="CW30" s="20">
        <f t="shared" si="13"/>
        <v>195.19554735609913</v>
      </c>
      <c r="CX30" s="59">
        <f t="shared" si="14"/>
        <v>484.86221402276578</v>
      </c>
      <c r="CY30" s="59">
        <f ca="1">AVERAGE(OFFSET($CX$3,0,0,'Données projet'!$E$13+1,1))-AVERAGE(OFFSET($H$3,0,0,'Données projet'!$E$13+1,1))</f>
        <v>299.10536994156814</v>
      </c>
      <c r="CZ30" s="59">
        <f t="shared" si="42"/>
        <v>292.57799203101769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0.86095027284813874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0.86095027284813874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87.993359999999981</v>
      </c>
      <c r="DQ30" s="13">
        <f t="shared" si="43"/>
        <v>24.080638481970816</v>
      </c>
      <c r="DR30" s="20">
        <f t="shared" si="16"/>
        <v>195.19554735609913</v>
      </c>
      <c r="DS30" s="59">
        <f t="shared" si="17"/>
        <v>484.86221402276578</v>
      </c>
      <c r="DT30" s="59">
        <f ca="1">AVERAGE(OFFSET($DS$3,0,0,'Données projet'!$E$14+1,1))-AVERAGE(OFFSET($H$3,0,0,'Données projet'!$E$14+1,1))</f>
        <v>299.10536994156814</v>
      </c>
      <c r="DU30" s="59">
        <f t="shared" si="44"/>
        <v>292.57799203101769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0.86095027284813874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0.86095027284813874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7.8</v>
      </c>
      <c r="EJ30" s="12">
        <f>IF('Données projet'!$A$192&gt;35,EJ29+EI30-ER29,IF(A30&lt;'Données projet'!$A$192,$EG$205^A30,IF(A30='Données projet'!$A$192,'Données projet'!$B$192,EJ29+EI30-ER29)))</f>
        <v>113.60000000000002</v>
      </c>
      <c r="EK30" s="17">
        <f>EJ30*VLOOKUP('Données projet'!$B$15,Paramètres!$A$1:$I$89,3,0)*VLOOKUP('Données projet'!$B$15,Paramètres!$A$1:$I$89,5,0)</f>
        <v>74.430720000000022</v>
      </c>
      <c r="EL30" s="13">
        <f t="shared" si="45"/>
        <v>20.76980057385482</v>
      </c>
      <c r="EM30" s="20">
        <f t="shared" si="19"/>
        <v>165.80757333279718</v>
      </c>
      <c r="EN30" s="59">
        <f t="shared" si="20"/>
        <v>455.47423999946386</v>
      </c>
      <c r="EO30" s="59">
        <f ca="1">AVERAGE(OFFSET($EN$3,0,0,'Données projet'!$E$15+1,1))-AVERAGE(OFFSET($H$3,0,0,'Données projet'!$E$15+1,1))</f>
        <v>230.58262378842818</v>
      </c>
      <c r="EP30" s="59">
        <f t="shared" si="46"/>
        <v>235.68746142880792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0.84432111908201335</v>
      </c>
      <c r="EX30" s="21">
        <f>EXP(-LN(2)/2)*EX29+(1-EXP(-LN(2)/2))/(LN(2)/2)*ER30*EU30*VLOOKUP('Données projet'!$B$15,Paramètres!$A$1:$I$89,3,0)*0.475*44/12</f>
        <v>1.8258747873112571</v>
      </c>
      <c r="EY30" s="22">
        <f t="shared" si="21"/>
        <v>2.6701959063932703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6</v>
      </c>
      <c r="FE30" s="12">
        <f>IF('Données projet'!$A$218&gt;35,FE29+FD30-FM29,IF(A30&lt;'Données projet'!$A$218,$FB$205^A30,IF(A30='Données projet'!$A$218,'Données projet'!$B$218,FE29+FD30-FM29)))</f>
        <v>84.999999999999986</v>
      </c>
      <c r="FF30" s="17">
        <f>FE30*VLOOKUP('Données projet'!$B$16,Paramètres!$A$1:$I$89,3,0)*VLOOKUP('Données projet'!$B$16,Paramètres!$A$1:$I$89,5,0)</f>
        <v>68.951999999999998</v>
      </c>
      <c r="FG30" s="13">
        <f t="shared" si="47"/>
        <v>19.412974191553594</v>
      </c>
      <c r="FH30" s="20">
        <f t="shared" si="22"/>
        <v>153.90233005028915</v>
      </c>
      <c r="FI30" s="59">
        <f t="shared" si="23"/>
        <v>443.56899671695584</v>
      </c>
      <c r="FJ30" s="59">
        <f ca="1">AVERAGE(OFFSET($FI$3,0,0,'Données projet'!$E$16+1,1))-AVERAGE(OFFSET($H$3,0,0,'Données projet'!$E$16+1,1))</f>
        <v>272.90535195666996</v>
      </c>
      <c r="FK30" s="59">
        <f t="shared" si="48"/>
        <v>222.25422164416898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0.36336889663194299</v>
      </c>
      <c r="FS30" s="21">
        <f>EXP(-LN(2)/2)*FS29+(1-EXP(-LN(2)/2))/(LN(2)/2)*FM30*FP30*VLOOKUP('Données projet'!$B$16,Paramètres!$A$1:$I$89,3,0)*0.475*44/12</f>
        <v>1.4525151734502693</v>
      </c>
      <c r="FT30" s="22">
        <f t="shared" si="24"/>
        <v>1.8158840700822123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468.91691311673264</v>
      </c>
      <c r="S31" s="59">
        <f ca="1">AVERAGE(OFFSET($R$3,0,0,'Données projet'!$E$9+1,1))-AVERAGE(OFFSET($H$3,0,0,'Données projet'!$E$9+1,1))</f>
        <v>384.05928630855732</v>
      </c>
      <c r="T31" s="59">
        <f t="shared" si="34"/>
        <v>279.93992813630513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8.6</v>
      </c>
      <c r="AI31" s="13">
        <f>IF('Données projet'!$A$62&gt;35,AI30+AH31-AQ30,IF(A31&lt;'Données projet'!$A$62,$AF$205^A31,IF(A31='Données projet'!$A$62,'Données projet'!$B$62,AI30+AH31-AQ30)))</f>
        <v>225.79999999999993</v>
      </c>
      <c r="AJ31" s="13">
        <f>AI31*VLOOKUP('Données projet'!$B$10,Paramètres!$A$1:$I$89,3,0)*VLOOKUP('Données projet'!$B$10,Paramètres!$A$1:$I$89,5,0)</f>
        <v>204.30383999999992</v>
      </c>
      <c r="AK31" s="13">
        <f t="shared" si="35"/>
        <v>50.688846269088558</v>
      </c>
      <c r="AL31" s="20">
        <f t="shared" si="4"/>
        <v>444.11226191866245</v>
      </c>
      <c r="AM31" s="59">
        <f t="shared" si="5"/>
        <v>735.00115080755131</v>
      </c>
      <c r="AN31" s="59">
        <f ca="1">AVERAGE(OFFSET($AM$3,0,0,'Données projet'!$E$10+1,1))-AVERAGE(OFFSET($H$3,0,0,'Données projet'!$E$10+1,1))</f>
        <v>366.69125512029831</v>
      </c>
      <c r="AO31" s="59">
        <f t="shared" si="36"/>
        <v>513.80016421153414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1.9252274241707048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1.9252274241707048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113.04384000000002</v>
      </c>
      <c r="BF31" s="13">
        <f t="shared" si="37"/>
        <v>30.046993788338579</v>
      </c>
      <c r="BG31" s="20">
        <f t="shared" si="7"/>
        <v>249.2165355146897</v>
      </c>
      <c r="BH31" s="59">
        <f t="shared" si="8"/>
        <v>540.10542440357858</v>
      </c>
      <c r="BI31" s="59">
        <f ca="1">AVERAGE(OFFSET($BH$3,0,0,'Données projet'!$E$11+1,1))-AVERAGE(OFFSET($H$3,0,0,'Données projet'!$E$11+1,1))</f>
        <v>354.24684313982857</v>
      </c>
      <c r="BJ31" s="59">
        <f t="shared" si="38"/>
        <v>322.65043486962185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4.0628205128205126</v>
      </c>
      <c r="BY31" s="12">
        <f>IF('Données projet'!$A$114&gt;35,BY30+BX31-CG30,IF(A31&lt;'Données projet'!$A$114,$BV$205^A31,IF(A31='Données projet'!$A$114,'Données projet'!$B$114,BY30+BX31-CG30)))</f>
        <v>88.488255196060223</v>
      </c>
      <c r="BZ31" s="13">
        <f>BY31*VLOOKUP('Données projet'!$B$12,Paramètres!$A$1:$I$89,3,0)*VLOOKUP('Données projet'!$B$12,Paramètres!$A$1:$I$89,5,0)</f>
        <v>85.585840425629442</v>
      </c>
      <c r="CA31" s="13">
        <f t="shared" si="39"/>
        <v>23.49754018952472</v>
      </c>
      <c r="CB31" s="20">
        <f t="shared" si="10"/>
        <v>189.98688790472684</v>
      </c>
      <c r="CC31" s="59">
        <f t="shared" si="11"/>
        <v>480.87577679361573</v>
      </c>
      <c r="CD31" s="59">
        <f ca="1">AVERAGE(OFFSET($CC$3,0,0,'Données projet'!$E$12+1,1))-AVERAGE(OFFSET($H$3,0,0,'Données projet'!$E$12+1,1))</f>
        <v>407.73540492005355</v>
      </c>
      <c r="CE31" s="59">
        <f t="shared" si="40"/>
        <v>296.29416764204774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97.381439999999984</v>
      </c>
      <c r="CV31" s="13">
        <f t="shared" si="41"/>
        <v>26.337201615555198</v>
      </c>
      <c r="CW31" s="20">
        <f t="shared" si="13"/>
        <v>215.47663414709197</v>
      </c>
      <c r="CX31" s="59">
        <f t="shared" si="14"/>
        <v>506.3655230359808</v>
      </c>
      <c r="CY31" s="59">
        <f ca="1">AVERAGE(OFFSET($CX$3,0,0,'Données projet'!$E$13+1,1))-AVERAGE(OFFSET($H$3,0,0,'Données projet'!$E$13+1,1))</f>
        <v>299.10536994156814</v>
      </c>
      <c r="CZ31" s="59">
        <f t="shared" si="42"/>
        <v>292.57799203101769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0.83740754236169923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0.83740754236169923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97.381439999999984</v>
      </c>
      <c r="DQ31" s="13">
        <f t="shared" si="43"/>
        <v>26.337201615555198</v>
      </c>
      <c r="DR31" s="20">
        <f t="shared" si="16"/>
        <v>215.47663414709197</v>
      </c>
      <c r="DS31" s="59">
        <f t="shared" si="17"/>
        <v>506.3655230359808</v>
      </c>
      <c r="DT31" s="59">
        <f ca="1">AVERAGE(OFFSET($DS$3,0,0,'Données projet'!$E$14+1,1))-AVERAGE(OFFSET($H$3,0,0,'Données projet'!$E$14+1,1))</f>
        <v>299.10536994156814</v>
      </c>
      <c r="DU31" s="59">
        <f t="shared" si="44"/>
        <v>292.57799203101769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0.83740754236169923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0.83740754236169923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7.8</v>
      </c>
      <c r="EJ31" s="12">
        <f>IF('Données projet'!$A$192&gt;35,EJ30+EI31-ER30,IF(A31&lt;'Données projet'!$A$192,$EG$205^A31,IF(A31='Données projet'!$A$192,'Données projet'!$B$192,EJ30+EI31-ER30)))</f>
        <v>121.40000000000002</v>
      </c>
      <c r="EK31" s="17">
        <f>EJ31*VLOOKUP('Données projet'!$B$15,Paramètres!$A$1:$I$89,3,0)*VLOOKUP('Données projet'!$B$15,Paramètres!$A$1:$I$89,5,0)</f>
        <v>79.541280000000015</v>
      </c>
      <c r="EL31" s="13">
        <f t="shared" si="45"/>
        <v>22.024987194093406</v>
      </c>
      <c r="EM31" s="20">
        <f t="shared" si="19"/>
        <v>176.89458202971272</v>
      </c>
      <c r="EN31" s="59">
        <f t="shared" si="20"/>
        <v>467.78347091860155</v>
      </c>
      <c r="EO31" s="59">
        <f ca="1">AVERAGE(OFFSET($EN$3,0,0,'Données projet'!$E$15+1,1))-AVERAGE(OFFSET($H$3,0,0,'Données projet'!$E$15+1,1))</f>
        <v>230.58262378842818</v>
      </c>
      <c r="EP31" s="59">
        <f t="shared" si="46"/>
        <v>235.68746142880792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0.82123311367979779</v>
      </c>
      <c r="EX31" s="21">
        <f>EXP(-LN(2)/2)*EX30+(1-EXP(-LN(2)/2))/(LN(2)/2)*ER31*EU31*VLOOKUP('Données projet'!$B$15,Paramètres!$A$1:$I$89,3,0)*0.475*44/12</f>
        <v>1.2910884437053352</v>
      </c>
      <c r="EY31" s="22">
        <f t="shared" si="21"/>
        <v>2.1123215573851328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6</v>
      </c>
      <c r="FE31" s="12">
        <f>IF('Données projet'!$A$218&gt;35,FE30+FD31-FM30,IF(A31&lt;'Données projet'!$A$218,$FB$205^A31,IF(A31='Données projet'!$A$218,'Données projet'!$B$218,FE30+FD31-FM30)))</f>
        <v>90.999999999999986</v>
      </c>
      <c r="FF31" s="17">
        <f>FE31*VLOOKUP('Données projet'!$B$16,Paramètres!$A$1:$I$89,3,0)*VLOOKUP('Données projet'!$B$16,Paramètres!$A$1:$I$89,5,0)</f>
        <v>73.819199999999995</v>
      </c>
      <c r="FG31" s="13">
        <f t="shared" si="47"/>
        <v>20.618947302373449</v>
      </c>
      <c r="FH31" s="20">
        <f t="shared" si="22"/>
        <v>164.47977321830038</v>
      </c>
      <c r="FI31" s="59">
        <f t="shared" si="23"/>
        <v>455.36866210718927</v>
      </c>
      <c r="FJ31" s="59">
        <f ca="1">AVERAGE(OFFSET($FI$3,0,0,'Données projet'!$E$16+1,1))-AVERAGE(OFFSET($H$3,0,0,'Données projet'!$E$16+1,1))</f>
        <v>272.90535195666996</v>
      </c>
      <c r="FK31" s="59">
        <f t="shared" si="48"/>
        <v>222.25422164416898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0.35343255504480275</v>
      </c>
      <c r="FS31" s="21">
        <f>EXP(-LN(2)/2)*FS30+(1-EXP(-LN(2)/2))/(LN(2)/2)*FM31*FP31*VLOOKUP('Données projet'!$B$16,Paramètres!$A$1:$I$89,3,0)*0.475*44/12</f>
        <v>1.0270833289230397</v>
      </c>
      <c r="FT31" s="22">
        <f t="shared" si="24"/>
        <v>1.3805158839678424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500.21428696085883</v>
      </c>
      <c r="S32" s="59">
        <f ca="1">AVERAGE(OFFSET($R$3,0,0,'Données projet'!$E$9+1,1))-AVERAGE(OFFSET($H$3,0,0,'Données projet'!$E$9+1,1))</f>
        <v>384.05928630855732</v>
      </c>
      <c r="T32" s="59">
        <f t="shared" si="34"/>
        <v>279.93992813630513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8.6</v>
      </c>
      <c r="AI32" s="13">
        <f>IF('Données projet'!$A$62&gt;35,AI31+AH32-AQ31,IF(A32&lt;'Données projet'!$A$62,$AF$205^A32,IF(A32='Données projet'!$A$62,'Données projet'!$B$62,AI31+AH32-AQ31)))</f>
        <v>234.39999999999992</v>
      </c>
      <c r="AJ32" s="13">
        <f>AI32*VLOOKUP('Données projet'!$B$10,Paramètres!$A$1:$I$89,3,0)*VLOOKUP('Données projet'!$B$10,Paramètres!$A$1:$I$89,5,0)</f>
        <v>212.0851199999999</v>
      </c>
      <c r="AK32" s="13">
        <f t="shared" si="35"/>
        <v>52.390974537063038</v>
      </c>
      <c r="AL32" s="20">
        <f t="shared" si="4"/>
        <v>460.62919798538456</v>
      </c>
      <c r="AM32" s="59">
        <f t="shared" si="5"/>
        <v>752.74030909649571</v>
      </c>
      <c r="AN32" s="59">
        <f ca="1">AVERAGE(OFFSET($AM$3,0,0,'Données projet'!$E$10+1,1))-AVERAGE(OFFSET($H$3,0,0,'Données projet'!$E$10+1,1))</f>
        <v>366.69125512029831</v>
      </c>
      <c r="AO32" s="59">
        <f t="shared" si="36"/>
        <v>513.80016421153414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1.8725819790134468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1.8725819790134468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121.60512000000003</v>
      </c>
      <c r="BF32" s="13">
        <f t="shared" si="37"/>
        <v>32.049077176455789</v>
      </c>
      <c r="BG32" s="20">
        <f t="shared" si="7"/>
        <v>267.61439341566057</v>
      </c>
      <c r="BH32" s="59">
        <f t="shared" si="8"/>
        <v>559.72550452677172</v>
      </c>
      <c r="BI32" s="59">
        <f ca="1">AVERAGE(OFFSET($BH$3,0,0,'Données projet'!$E$11+1,1))-AVERAGE(OFFSET($H$3,0,0,'Données projet'!$E$11+1,1))</f>
        <v>354.24684313982857</v>
      </c>
      <c r="BJ32" s="59">
        <f t="shared" si="38"/>
        <v>322.65043486962185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4.0628205128205126</v>
      </c>
      <c r="BY32" s="12">
        <f>IF('Données projet'!$A$114&gt;35,BY31+BX32-CG31,IF(A32&lt;'Données projet'!$A$114,$BV$205^A32,IF(A32='Données projet'!$A$114,'Données projet'!$B$114,BY31+BX32-CG31)))</f>
        <v>103.85257315361756</v>
      </c>
      <c r="BZ32" s="13">
        <f>BY32*VLOOKUP('Données projet'!$B$12,Paramètres!$A$1:$I$89,3,0)*VLOOKUP('Données projet'!$B$12,Paramètres!$A$1:$I$89,5,0)</f>
        <v>100.4462087541789</v>
      </c>
      <c r="CA32" s="13">
        <f t="shared" si="39"/>
        <v>27.068273070478782</v>
      </c>
      <c r="CB32" s="20">
        <f t="shared" si="10"/>
        <v>222.0877225112788</v>
      </c>
      <c r="CC32" s="59">
        <f t="shared" si="11"/>
        <v>514.19883362238988</v>
      </c>
      <c r="CD32" s="59">
        <f ca="1">AVERAGE(OFFSET($CC$3,0,0,'Données projet'!$E$12+1,1))-AVERAGE(OFFSET($H$3,0,0,'Données projet'!$E$12+1,1))</f>
        <v>407.73540492005355</v>
      </c>
      <c r="CE32" s="59">
        <f t="shared" si="40"/>
        <v>296.29416764204774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106.76951999999997</v>
      </c>
      <c r="CV32" s="13">
        <f t="shared" si="41"/>
        <v>28.568542914630683</v>
      </c>
      <c r="CW32" s="20">
        <f t="shared" si="13"/>
        <v>235.71379290964839</v>
      </c>
      <c r="CX32" s="59">
        <f t="shared" si="14"/>
        <v>527.8249040207595</v>
      </c>
      <c r="CY32" s="59">
        <f ca="1">AVERAGE(OFFSET($CX$3,0,0,'Données projet'!$E$13+1,1))-AVERAGE(OFFSET($H$3,0,0,'Données projet'!$E$13+1,1))</f>
        <v>299.10536994156814</v>
      </c>
      <c r="CZ32" s="59">
        <f t="shared" si="42"/>
        <v>292.57799203101769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0.81450858907846979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0.81450858907846979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106.76951999999997</v>
      </c>
      <c r="DQ32" s="13">
        <f t="shared" si="43"/>
        <v>28.568542914630683</v>
      </c>
      <c r="DR32" s="20">
        <f t="shared" si="16"/>
        <v>235.71379290964839</v>
      </c>
      <c r="DS32" s="59">
        <f t="shared" si="17"/>
        <v>527.8249040207595</v>
      </c>
      <c r="DT32" s="59">
        <f ca="1">AVERAGE(OFFSET($DS$3,0,0,'Données projet'!$E$14+1,1))-AVERAGE(OFFSET($H$3,0,0,'Données projet'!$E$14+1,1))</f>
        <v>299.10536994156814</v>
      </c>
      <c r="DU32" s="59">
        <f t="shared" si="44"/>
        <v>292.57799203101769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0.81450858907846979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0.81450858907846979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7.8</v>
      </c>
      <c r="EJ32" s="12">
        <f>IF('Données projet'!$A$192&gt;35,EJ31+EI32-ER31,IF(A32&lt;'Données projet'!$A$192,$EG$205^A32,IF(A32='Données projet'!$A$192,'Données projet'!$B$192,EJ31+EI32-ER31)))</f>
        <v>129.20000000000002</v>
      </c>
      <c r="EK32" s="17">
        <f>EJ32*VLOOKUP('Données projet'!$B$15,Paramètres!$A$1:$I$89,3,0)*VLOOKUP('Données projet'!$B$15,Paramètres!$A$1:$I$89,5,0)</f>
        <v>84.651840000000007</v>
      </c>
      <c r="EL32" s="13">
        <f t="shared" si="45"/>
        <v>23.270814809686321</v>
      </c>
      <c r="EM32" s="20">
        <f t="shared" si="19"/>
        <v>187.96529046020365</v>
      </c>
      <c r="EN32" s="59">
        <f t="shared" si="20"/>
        <v>480.07640157131482</v>
      </c>
      <c r="EO32" s="59">
        <f ca="1">AVERAGE(OFFSET($EN$3,0,0,'Données projet'!$E$15+1,1))-AVERAGE(OFFSET($H$3,0,0,'Données projet'!$E$15+1,1))</f>
        <v>230.58262378842818</v>
      </c>
      <c r="EP32" s="59">
        <f t="shared" si="46"/>
        <v>235.68746142880792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0.79877645099945127</v>
      </c>
      <c r="EX32" s="21">
        <f>EXP(-LN(2)/2)*EX31+(1-EXP(-LN(2)/2))/(LN(2)/2)*ER32*EU32*VLOOKUP('Données projet'!$B$15,Paramètres!$A$1:$I$89,3,0)*0.475*44/12</f>
        <v>0.91293739365562865</v>
      </c>
      <c r="EY32" s="22">
        <f t="shared" si="21"/>
        <v>1.7117138446550799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6</v>
      </c>
      <c r="FE32" s="12">
        <f>IF('Données projet'!$A$218&gt;35,FE31+FD32-FM31,IF(A32&lt;'Données projet'!$A$218,$FB$205^A32,IF(A32='Données projet'!$A$218,'Données projet'!$B$218,FE31+FD32-FM31)))</f>
        <v>96.999999999999986</v>
      </c>
      <c r="FF32" s="17">
        <f>FE32*VLOOKUP('Données projet'!$B$16,Paramètres!$A$1:$I$89,3,0)*VLOOKUP('Données projet'!$B$16,Paramètres!$A$1:$I$89,5,0)</f>
        <v>78.686400000000006</v>
      </c>
      <c r="FG32" s="13">
        <f t="shared" si="47"/>
        <v>21.815693271997169</v>
      </c>
      <c r="FH32" s="20">
        <f t="shared" si="22"/>
        <v>175.04114578206176</v>
      </c>
      <c r="FI32" s="59">
        <f t="shared" si="23"/>
        <v>467.15225689317288</v>
      </c>
      <c r="FJ32" s="59">
        <f ca="1">AVERAGE(OFFSET($FI$3,0,0,'Données projet'!$E$16+1,1))-AVERAGE(OFFSET($H$3,0,0,'Données projet'!$E$16+1,1))</f>
        <v>272.90535195666996</v>
      </c>
      <c r="FK32" s="59">
        <f t="shared" si="48"/>
        <v>222.25422164416898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0.34376792324089234</v>
      </c>
      <c r="FS32" s="21">
        <f>EXP(-LN(2)/2)*FS31+(1-EXP(-LN(2)/2))/(LN(2)/2)*FM32*FP32*VLOOKUP('Données projet'!$B$16,Paramètres!$A$1:$I$89,3,0)*0.475*44/12</f>
        <v>0.72625758672513463</v>
      </c>
      <c r="FT32" s="22">
        <f t="shared" si="24"/>
        <v>1.070025509966027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384.05928630855732</v>
      </c>
      <c r="T33" s="59">
        <f t="shared" si="34"/>
        <v>279.93992813630513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243</v>
      </c>
      <c r="AG33" s="12">
        <f>VLOOKUP(A33,'Données projet'!$A$61:$I$81,9,0)</f>
        <v>8.6</v>
      </c>
      <c r="AH33" s="12">
        <f t="array" ref="AH33">INDEX(AG:AG,MIN(IF(ISNUMBER(AG33:AG229),ROW(AG33:AG229),"")))</f>
        <v>8.6</v>
      </c>
      <c r="AI33" s="13">
        <f>IF('Données projet'!$A$62&gt;35,AI32+AH33-AQ32,IF(A33&lt;'Données projet'!$A$62,$AF$205^A33,IF(A33='Données projet'!$A$62,'Données projet'!$B$62,AI32+AH33-AQ32)))</f>
        <v>242.99999999999991</v>
      </c>
      <c r="AJ33" s="13">
        <f>AI33*VLOOKUP('Données projet'!$B$10,Paramètres!$A$1:$I$89,3,0)*VLOOKUP('Données projet'!$B$10,Paramètres!$A$1:$I$89,5,0)</f>
        <v>219.86639999999991</v>
      </c>
      <c r="AK33" s="13">
        <f t="shared" si="35"/>
        <v>54.085847394182416</v>
      </c>
      <c r="AL33" s="20">
        <f t="shared" si="4"/>
        <v>477.13349754486757</v>
      </c>
      <c r="AM33" s="59">
        <f t="shared" si="5"/>
        <v>770.46683087820088</v>
      </c>
      <c r="AN33" s="59">
        <f ca="1">AVERAGE(OFFSET($AM$3,0,0,'Données projet'!$E$10+1,1))-AVERAGE(OFFSET($H$3,0,0,'Données projet'!$E$10+1,1))</f>
        <v>366.69125512029831</v>
      </c>
      <c r="AO33" s="59">
        <f t="shared" si="36"/>
        <v>513.80016421153414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3.4652567950020199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3.4652567950020199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130.16640000000004</v>
      </c>
      <c r="BF33" s="13">
        <f t="shared" si="37"/>
        <v>34.034806623706302</v>
      </c>
      <c r="BG33" s="20">
        <f t="shared" si="7"/>
        <v>285.98376820295522</v>
      </c>
      <c r="BH33" s="59">
        <f t="shared" si="8"/>
        <v>579.31710153628853</v>
      </c>
      <c r="BI33" s="59">
        <f ca="1">AVERAGE(OFFSET($BH$3,0,0,'Données projet'!$E$11+1,1))-AVERAGE(OFFSET($H$3,0,0,'Données projet'!$E$11+1,1))</f>
        <v>354.24684313982857</v>
      </c>
      <c r="BJ33" s="59">
        <f t="shared" si="38"/>
        <v>322.65043486962185</v>
      </c>
      <c r="BK33" s="15">
        <f>IF(ISNA(VLOOKUP(A33,'Données projet'!$A$87:$I$107,3,0)),0,VLOOKUP(A33,'Données projet'!$A$87:$I$107,3,0))</f>
        <v>3</v>
      </c>
      <c r="BL33" s="15" t="str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121.88461538461537</v>
      </c>
      <c r="BW33" s="12">
        <f>VLOOKUP(A33,'Données projet'!$A$113:$I$133,9,0)</f>
        <v>4.0628205128205126</v>
      </c>
      <c r="BX33" s="12">
        <f t="array" ref="BX33">INDEX(BW:BW,MIN(IF(ISNUMBER(BW33:BW229),ROW(BW33:BW229),"")))</f>
        <v>4.0628205128205126</v>
      </c>
      <c r="BY33" s="12">
        <f>IF('Données projet'!$A$114&gt;35,BY32+BX33-CG32,IF(A33&lt;'Données projet'!$A$114,$BV$205^A33,IF(A33='Données projet'!$A$114,'Données projet'!$B$114,BY32+BX33-CG32)))</f>
        <v>121.88461538461537</v>
      </c>
      <c r="BZ33" s="13">
        <f>BY33*VLOOKUP('Données projet'!$B$12,Paramètres!$A$1:$I$89,3,0)*VLOOKUP('Données projet'!$B$12,Paramètres!$A$1:$I$89,5,0)</f>
        <v>117.88679999999999</v>
      </c>
      <c r="CA33" s="13">
        <f t="shared" si="39"/>
        <v>31.181621612658997</v>
      </c>
      <c r="CB33" s="20">
        <f t="shared" si="10"/>
        <v>259.62750097538111</v>
      </c>
      <c r="CC33" s="59">
        <f t="shared" si="11"/>
        <v>552.96083430871442</v>
      </c>
      <c r="CD33" s="59">
        <f ca="1">AVERAGE(OFFSET($CC$3,0,0,'Données projet'!$E$12+1,1))-AVERAGE(OFFSET($H$3,0,0,'Données projet'!$E$12+1,1))</f>
        <v>407.73540492005355</v>
      </c>
      <c r="CE33" s="59">
        <f t="shared" si="40"/>
        <v>296.29416764204774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116.15759999999999</v>
      </c>
      <c r="CV33" s="13">
        <f t="shared" si="41"/>
        <v>30.777132266613055</v>
      </c>
      <c r="CW33" s="20">
        <f t="shared" si="13"/>
        <v>255.91132536435109</v>
      </c>
      <c r="CX33" s="59">
        <f t="shared" si="14"/>
        <v>549.24465869768437</v>
      </c>
      <c r="CY33" s="59">
        <f ca="1">AVERAGE(OFFSET($CX$3,0,0,'Données projet'!$E$13+1,1))-AVERAGE(OFFSET($H$3,0,0,'Données projet'!$E$13+1,1))</f>
        <v>299.10536994156814</v>
      </c>
      <c r="CZ33" s="59">
        <f t="shared" si="42"/>
        <v>292.57799203101769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2.12E-2</v>
      </c>
      <c r="DD33" s="16">
        <f>IF(ISNA(VLOOKUP(A33,'Données projet'!$A$139:$I$159,6,0)),0%,VLOOKUP(A33,'Données projet'!$A$139:$I$159,6,0)*VLOOKUP('Données projet'!$B$13,Paramètres!$A$1:$I$89,7,0))</f>
        <v>0.1537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0.52207846207652797</v>
      </c>
      <c r="DG33" s="21">
        <f>EXP(-LN(2)/25)*DG32+(1-EXP(-LN(2)/25))/(LN(2)/25)*Calculateur!DB33*Calculateur!DD33*VLOOKUP('Données projet'!$B$13,Paramètres!$A$1:$I$89,3,0)*0.475*44/12</f>
        <v>4.5624014006448359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5.0844798627213637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116.15759999999999</v>
      </c>
      <c r="DQ33" s="13">
        <f t="shared" si="43"/>
        <v>30.777132266613055</v>
      </c>
      <c r="DR33" s="20">
        <f t="shared" si="16"/>
        <v>255.91132536435109</v>
      </c>
      <c r="DS33" s="59">
        <f t="shared" si="17"/>
        <v>549.24465869768437</v>
      </c>
      <c r="DT33" s="59">
        <f ca="1">AVERAGE(OFFSET($DS$3,0,0,'Données projet'!$E$14+1,1))-AVERAGE(OFFSET($H$3,0,0,'Données projet'!$E$14+1,1))</f>
        <v>299.10536994156814</v>
      </c>
      <c r="DU33" s="59">
        <f t="shared" si="44"/>
        <v>292.57799203101769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2.12E-2</v>
      </c>
      <c r="DY33" s="16">
        <f>IF(ISNA(VLOOKUP(A33,'Données projet'!$A$165:$I$185,6,0)),0%,VLOOKUP(A33,'Données projet'!$A$165:$I$185,6,0)*VLOOKUP('Données projet'!$B$14,Paramètres!$A$1:$I$89,7,0))</f>
        <v>0.1537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0.52207846207652797</v>
      </c>
      <c r="EB33" s="21">
        <f>EXP(-LN(2)/25)*EB32+(1-EXP(-LN(2)/25))/(LN(2)/25)*Calculateur!DW33*Calculateur!DY33*VLOOKUP('Données projet'!$B$14,Paramètres!$A$1:$I$89,3,0)*0.475*44/12</f>
        <v>4.5624014006448359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5.0844798627213637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137</v>
      </c>
      <c r="EH33" s="12">
        <f>VLOOKUP(A33,'Données projet'!$A$191:$I$211,9,0)</f>
        <v>7.8</v>
      </c>
      <c r="EI33" s="12">
        <f t="array" ref="EI33">INDEX(EH:EH,MIN(IF(ISNUMBER(EH33:EH229),ROW(EH33:EH229),"")))</f>
        <v>7.8</v>
      </c>
      <c r="EJ33" s="12">
        <f>IF('Données projet'!$A$192&gt;35,EJ32+EI33-ER32,IF(A33&lt;'Données projet'!$A$192,$EG$205^A33,IF(A33='Données projet'!$A$192,'Données projet'!$B$192,EJ32+EI33-ER32)))</f>
        <v>137.00000000000003</v>
      </c>
      <c r="EK33" s="17">
        <f>EJ33*VLOOKUP('Données projet'!$B$15,Paramètres!$A$1:$I$89,3,0)*VLOOKUP('Données projet'!$B$15,Paramètres!$A$1:$I$89,5,0)</f>
        <v>89.762400000000028</v>
      </c>
      <c r="EL33" s="13">
        <f t="shared" si="45"/>
        <v>24.507912782090678</v>
      </c>
      <c r="EM33" s="20">
        <f t="shared" si="19"/>
        <v>199.02079476214132</v>
      </c>
      <c r="EN33" s="59">
        <f t="shared" si="20"/>
        <v>492.35412809547461</v>
      </c>
      <c r="EO33" s="59">
        <f ca="1">AVERAGE(OFFSET($EN$3,0,0,'Données projet'!$E$15+1,1))-AVERAGE(OFFSET($H$3,0,0,'Données projet'!$E$15+1,1))</f>
        <v>230.58262378842818</v>
      </c>
      <c r="EP33" s="59">
        <f t="shared" si="46"/>
        <v>235.68746142880792</v>
      </c>
      <c r="EQ33" s="15">
        <f>IF(ISNA(VLOOKUP(A33,'Données projet'!$A$191:$I$211,3,0)),0,VLOOKUP(A33,'Données projet'!$A$191:$I$211,3,0))</f>
        <v>5</v>
      </c>
      <c r="ER33" s="15">
        <f>IF(ISNA(VLOOKUP(A33,'Données projet'!$A$191:$I$211,4,0)),0,VLOOKUP(A33,'Données projet'!$A$191:$I$211,4,0))</f>
        <v>20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4.3000000000000003E-2</v>
      </c>
      <c r="EU33" s="16">
        <f>IF(ISNA(VLOOKUP(A33,'Données projet'!$A$191:$I$211,7,0)),0%,VLOOKUP(A33,'Données projet'!$A$191:$I$211,7,0))</f>
        <v>0.3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1.3973828716714887</v>
      </c>
      <c r="EX33" s="21">
        <f>EXP(-LN(2)/2)*EX32+(1-EXP(-LN(2)/2))/(LN(2)/2)*ER33*EU33*VLOOKUP('Données projet'!$B$15,Paramètres!$A$1:$I$89,3,0)*0.475*44/12</f>
        <v>4.3547372285493697</v>
      </c>
      <c r="EY33" s="22">
        <f t="shared" si="21"/>
        <v>5.7521201002208588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103</v>
      </c>
      <c r="FC33" s="12">
        <f>VLOOKUP(A33,'Données projet'!$A$217:$I$237,9,0)</f>
        <v>6</v>
      </c>
      <c r="FD33" s="12">
        <f t="array" ref="FD33">INDEX(FC:FC,MIN(IF(ISNUMBER(FC33:FC229),ROW(FC33:FC229),"")))</f>
        <v>6</v>
      </c>
      <c r="FE33" s="12">
        <f>IF('Données projet'!$A$218&gt;35,FE32+FD33-FM32,IF(A33&lt;'Données projet'!$A$218,$FB$205^A33,IF(A33='Données projet'!$A$218,'Données projet'!$B$218,FE32+FD33-FM32)))</f>
        <v>102.99999999999999</v>
      </c>
      <c r="FF33" s="17">
        <f>FE33*VLOOKUP('Données projet'!$B$16,Paramètres!$A$1:$I$89,3,0)*VLOOKUP('Données projet'!$B$16,Paramètres!$A$1:$I$89,5,0)</f>
        <v>83.553599999999989</v>
      </c>
      <c r="FG33" s="13">
        <f t="shared" si="47"/>
        <v>23.00384783397265</v>
      </c>
      <c r="FH33" s="20">
        <f t="shared" si="22"/>
        <v>185.58755497750235</v>
      </c>
      <c r="FI33" s="59">
        <f t="shared" si="23"/>
        <v>478.92088831083566</v>
      </c>
      <c r="FJ33" s="59">
        <f ca="1">AVERAGE(OFFSET($FI$3,0,0,'Données projet'!$E$16+1,1))-AVERAGE(OFFSET($H$3,0,0,'Données projet'!$E$16+1,1))</f>
        <v>272.90535195666996</v>
      </c>
      <c r="FK33" s="59">
        <f t="shared" si="48"/>
        <v>222.25422164416898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11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4.3000000000000003E-2</v>
      </c>
      <c r="FP33" s="16">
        <f>IF(ISNA(VLOOKUP(A33,'Données projet'!$A$217:$I$237,7,0)),0%,VLOOKUP(A33,'Données projet'!$A$217:$I$237,7,0))</f>
        <v>0.3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0.75686379833263273</v>
      </c>
      <c r="FS33" s="21">
        <f>EXP(-LN(2)/2)*FS32+(1-EXP(-LN(2)/2))/(LN(2)/2)*FM33*FP33*VLOOKUP('Données projet'!$B$16,Paramètres!$A$1:$I$89,3,0)*0.475*44/12</f>
        <v>3.0393254737835598</v>
      </c>
      <c r="FT33" s="22">
        <f t="shared" si="24"/>
        <v>3.7961892721161927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552.2814740118273</v>
      </c>
      <c r="S34" s="59">
        <f ca="1">AVERAGE(OFFSET($R$3,0,0,'Données projet'!$E$9+1,1))-AVERAGE(OFFSET($H$3,0,0,'Données projet'!$E$9+1,1))</f>
        <v>384.05928630855732</v>
      </c>
      <c r="T34" s="59">
        <f t="shared" si="34"/>
        <v>279.93992813630513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</v>
      </c>
      <c r="AI34" s="13">
        <f>IF('Données projet'!$A$62&gt;35,AI33+AH34-AQ33,IF(A34&lt;'Données projet'!$A$62,$AF$205^A34,IF(A34='Données projet'!$A$62,'Données projet'!$B$62,AI33+AH34-AQ33)))</f>
        <v>238.99999999999991</v>
      </c>
      <c r="AJ34" s="13">
        <f>AI34*VLOOKUP('Données projet'!$B$10,Paramètres!$A$1:$I$89,3,0)*VLOOKUP('Données projet'!$B$10,Paramètres!$A$1:$I$89,5,0)</f>
        <v>216.24719999999994</v>
      </c>
      <c r="AK34" s="13">
        <f t="shared" si="35"/>
        <v>53.298418226645289</v>
      </c>
      <c r="AL34" s="20">
        <f t="shared" si="4"/>
        <v>469.45861841140703</v>
      </c>
      <c r="AM34" s="59">
        <f t="shared" si="5"/>
        <v>762.79195174474035</v>
      </c>
      <c r="AN34" s="59">
        <f ca="1">AVERAGE(OFFSET($AM$3,0,0,'Données projet'!$E$10+1,1))-AVERAGE(OFFSET($H$3,0,0,'Données projet'!$E$10+1,1))</f>
        <v>366.69125512029831</v>
      </c>
      <c r="AO34" s="59">
        <f t="shared" si="36"/>
        <v>513.80016421153414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3.3704991657127548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3.3704991657127548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114.61632000000004</v>
      </c>
      <c r="BF34" s="13">
        <f t="shared" si="37"/>
        <v>30.416009647934409</v>
      </c>
      <c r="BG34" s="20">
        <f t="shared" si="7"/>
        <v>252.59797413681915</v>
      </c>
      <c r="BH34" s="59">
        <f t="shared" si="8"/>
        <v>545.93130747015243</v>
      </c>
      <c r="BI34" s="59">
        <f ca="1">AVERAGE(OFFSET($BH$3,0,0,'Données projet'!$E$11+1,1))-AVERAGE(OFFSET($H$3,0,0,'Données projet'!$E$11+1,1))</f>
        <v>354.24684313982857</v>
      </c>
      <c r="BJ34" s="59">
        <f t="shared" si="38"/>
        <v>322.65043486962185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8.0564102564102633</v>
      </c>
      <c r="BY34" s="12">
        <f>IF('Données projet'!$A$114&gt;35,BY33+BX34-CG33,IF(A34&lt;'Données projet'!$A$114,$BV$205^A34,IF(A34='Données projet'!$A$114,'Données projet'!$B$114,BY33+BX34-CG33)))</f>
        <v>129.94102564102565</v>
      </c>
      <c r="BZ34" s="13">
        <f>BY34*VLOOKUP('Données projet'!$B$12,Paramètres!$A$1:$I$89,3,0)*VLOOKUP('Données projet'!$B$12,Paramètres!$A$1:$I$89,5,0)</f>
        <v>125.67896</v>
      </c>
      <c r="CA34" s="13">
        <f t="shared" si="39"/>
        <v>32.995938008731372</v>
      </c>
      <c r="CB34" s="20">
        <f t="shared" si="10"/>
        <v>276.35878069854044</v>
      </c>
      <c r="CC34" s="59">
        <f t="shared" si="11"/>
        <v>569.69211403187376</v>
      </c>
      <c r="CD34" s="59">
        <f ca="1">AVERAGE(OFFSET($CC$3,0,0,'Données projet'!$E$12+1,1))-AVERAGE(OFFSET($H$3,0,0,'Données projet'!$E$12+1,1))</f>
        <v>407.73540492005355</v>
      </c>
      <c r="CE34" s="59">
        <f t="shared" si="40"/>
        <v>296.29416764204774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102.47327999999999</v>
      </c>
      <c r="CV34" s="13">
        <f t="shared" si="41"/>
        <v>27.550381949314474</v>
      </c>
      <c r="CW34" s="20">
        <f t="shared" si="13"/>
        <v>226.45787789505599</v>
      </c>
      <c r="CX34" s="59">
        <f t="shared" si="14"/>
        <v>519.79121122838933</v>
      </c>
      <c r="CY34" s="59">
        <f ca="1">AVERAGE(OFFSET($CX$3,0,0,'Données projet'!$E$13+1,1))-AVERAGE(OFFSET($H$3,0,0,'Données projet'!$E$13+1,1))</f>
        <v>299.10536994156814</v>
      </c>
      <c r="CZ34" s="59">
        <f t="shared" si="42"/>
        <v>292.57799203101769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0.51184082187162616</v>
      </c>
      <c r="DG34" s="21">
        <f>EXP(-LN(2)/25)*DG33+(1-EXP(-LN(2)/25))/(LN(2)/25)*Calculateur!DB34*Calculateur!DD34*VLOOKUP('Données projet'!$B$13,Paramètres!$A$1:$I$89,3,0)*0.475*44/12</f>
        <v>4.437642294417941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4.9494831162895672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102.47327999999999</v>
      </c>
      <c r="DQ34" s="13">
        <f t="shared" si="43"/>
        <v>27.550381949314474</v>
      </c>
      <c r="DR34" s="20">
        <f t="shared" si="16"/>
        <v>226.45787789505599</v>
      </c>
      <c r="DS34" s="59">
        <f t="shared" si="17"/>
        <v>519.79121122838933</v>
      </c>
      <c r="DT34" s="59">
        <f ca="1">AVERAGE(OFFSET($DS$3,0,0,'Données projet'!$E$14+1,1))-AVERAGE(OFFSET($H$3,0,0,'Données projet'!$E$14+1,1))</f>
        <v>299.10536994156814</v>
      </c>
      <c r="DU34" s="59">
        <f t="shared" si="44"/>
        <v>292.57799203101769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0.51184082187162616</v>
      </c>
      <c r="EB34" s="21">
        <f>EXP(-LN(2)/25)*EB33+(1-EXP(-LN(2)/25))/(LN(2)/25)*Calculateur!DW34*Calculateur!DY34*VLOOKUP('Données projet'!$B$14,Paramètres!$A$1:$I$89,3,0)*0.475*44/12</f>
        <v>4.437642294417941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4.9494831162895672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7.2</v>
      </c>
      <c r="EJ34" s="12">
        <f>IF('Données projet'!$A$192&gt;35,EJ33+EI34-ER33,IF(A34&lt;'Données projet'!$A$192,$EG$205^A34,IF(A34='Données projet'!$A$192,'Données projet'!$B$192,EJ33+EI34-ER33)))</f>
        <v>124.20000000000002</v>
      </c>
      <c r="EK34" s="17">
        <f>EJ34*VLOOKUP('Données projet'!$B$15,Paramètres!$A$1:$I$89,3,0)*VLOOKUP('Données projet'!$B$15,Paramètres!$A$1:$I$89,5,0)</f>
        <v>81.375840000000011</v>
      </c>
      <c r="EL34" s="13">
        <f t="shared" si="45"/>
        <v>22.473249586041131</v>
      </c>
      <c r="EM34" s="20">
        <f t="shared" si="19"/>
        <v>180.87049769568833</v>
      </c>
      <c r="EN34" s="59">
        <f t="shared" si="20"/>
        <v>474.20383102902167</v>
      </c>
      <c r="EO34" s="59">
        <f ca="1">AVERAGE(OFFSET($EN$3,0,0,'Données projet'!$E$15+1,1))-AVERAGE(OFFSET($H$3,0,0,'Données projet'!$E$15+1,1))</f>
        <v>230.58262378842818</v>
      </c>
      <c r="EP34" s="59">
        <f t="shared" si="46"/>
        <v>235.68746142880792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1.3591713635604603</v>
      </c>
      <c r="EX34" s="21">
        <f>EXP(-LN(2)/2)*EX33+(1-EXP(-LN(2)/2))/(LN(2)/2)*ER34*EU34*VLOOKUP('Données projet'!$B$15,Paramètres!$A$1:$I$89,3,0)*0.475*44/12</f>
        <v>3.0792642245927717</v>
      </c>
      <c r="EY34" s="22">
        <f t="shared" si="21"/>
        <v>4.438435588153232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5.8</v>
      </c>
      <c r="FE34" s="12">
        <f>IF('Données projet'!$A$218&gt;35,FE33+FD34-FM33,IF(A34&lt;'Données projet'!$A$218,$FB$205^A34,IF(A34='Données projet'!$A$218,'Données projet'!$B$218,FE33+FD34-FM33)))</f>
        <v>97.799999999999983</v>
      </c>
      <c r="FF34" s="17">
        <f>FE34*VLOOKUP('Données projet'!$B$16,Paramètres!$A$1:$I$89,3,0)*VLOOKUP('Données projet'!$B$16,Paramètres!$A$1:$I$89,5,0)</f>
        <v>79.335359999999994</v>
      </c>
      <c r="FG34" s="13">
        <f t="shared" si="47"/>
        <v>21.974597372641874</v>
      </c>
      <c r="FH34" s="20">
        <f t="shared" si="22"/>
        <v>176.44817575735124</v>
      </c>
      <c r="FI34" s="59">
        <f t="shared" si="23"/>
        <v>469.78150909068455</v>
      </c>
      <c r="FJ34" s="59">
        <f ca="1">AVERAGE(OFFSET($FI$3,0,0,'Données projet'!$E$16+1,1))-AVERAGE(OFFSET($H$3,0,0,'Données projet'!$E$16+1,1))</f>
        <v>272.90535195666996</v>
      </c>
      <c r="FK34" s="59">
        <f t="shared" si="48"/>
        <v>222.25422164416898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0.73616731796548962</v>
      </c>
      <c r="FS34" s="21">
        <f>EXP(-LN(2)/2)*FS33+(1-EXP(-LN(2)/2))/(LN(2)/2)*FM34*FP34*VLOOKUP('Données projet'!$B$16,Paramètres!$A$1:$I$89,3,0)*0.475*44/12</f>
        <v>2.1491276527453715</v>
      </c>
      <c r="FT34" s="22">
        <f t="shared" si="24"/>
        <v>2.8852949707108611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384.05928630855732</v>
      </c>
      <c r="T35" s="59">
        <f t="shared" si="34"/>
        <v>279.93992813630513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</v>
      </c>
      <c r="AI35" s="13">
        <f>IF('Données projet'!$A$62&gt;35,AI34+AH35-AQ34,IF(A35&lt;'Données projet'!$A$62,$AF$205^A35,IF(A35='Données projet'!$A$62,'Données projet'!$B$62,AI34+AH35-AQ34)))</f>
        <v>245.99999999999991</v>
      </c>
      <c r="AJ35" s="13">
        <f>AI35*VLOOKUP('Données projet'!$B$10,Paramètres!$A$1:$I$89,3,0)*VLOOKUP('Données projet'!$B$10,Paramètres!$A$1:$I$89,5,0)</f>
        <v>222.58079999999993</v>
      </c>
      <c r="AK35" s="13">
        <f t="shared" si="35"/>
        <v>54.675428546153199</v>
      </c>
      <c r="AL35" s="20">
        <f t="shared" si="4"/>
        <v>482.88793138454997</v>
      </c>
      <c r="AM35" s="59">
        <f t="shared" si="5"/>
        <v>776.22126471788329</v>
      </c>
      <c r="AN35" s="59">
        <f ca="1">AVERAGE(OFFSET($AM$3,0,0,'Données projet'!$E$10+1,1))-AVERAGE(OFFSET($H$3,0,0,'Données projet'!$E$10+1,1))</f>
        <v>366.69125512029831</v>
      </c>
      <c r="AO35" s="59">
        <f t="shared" si="36"/>
        <v>513.80016421153414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3.2783326887794919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3.2783326887794919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122.65344000000002</v>
      </c>
      <c r="BF35" s="13">
        <f t="shared" si="37"/>
        <v>32.293080640759037</v>
      </c>
      <c r="BG35" s="20">
        <f t="shared" si="7"/>
        <v>269.8651901159887</v>
      </c>
      <c r="BH35" s="59">
        <f t="shared" si="8"/>
        <v>563.19852344932201</v>
      </c>
      <c r="BI35" s="59">
        <f ca="1">AVERAGE(OFFSET($BH$3,0,0,'Données projet'!$E$11+1,1))-AVERAGE(OFFSET($H$3,0,0,'Données projet'!$E$11+1,1))</f>
        <v>354.24684313982857</v>
      </c>
      <c r="BJ35" s="59">
        <f t="shared" si="38"/>
        <v>322.65043486962185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8.0564102564102633</v>
      </c>
      <c r="BY35" s="12">
        <f>IF('Données projet'!$A$114&gt;35,BY34+BX35-CG34,IF(A35&lt;'Données projet'!$A$114,$BV$205^A35,IF(A35='Données projet'!$A$114,'Données projet'!$B$114,BY34+BX35-CG34)))</f>
        <v>137.99743589743591</v>
      </c>
      <c r="BZ35" s="13">
        <f>BY35*VLOOKUP('Données projet'!$B$12,Paramètres!$A$1:$I$89,3,0)*VLOOKUP('Données projet'!$B$12,Paramètres!$A$1:$I$89,5,0)</f>
        <v>133.47112000000001</v>
      </c>
      <c r="CA35" s="13">
        <f t="shared" si="39"/>
        <v>34.797199044605101</v>
      </c>
      <c r="CB35" s="20">
        <f t="shared" si="10"/>
        <v>293.0673223360206</v>
      </c>
      <c r="CC35" s="59">
        <f t="shared" si="11"/>
        <v>586.40065566935391</v>
      </c>
      <c r="CD35" s="59">
        <f ca="1">AVERAGE(OFFSET($CC$3,0,0,'Données projet'!$E$12+1,1))-AVERAGE(OFFSET($H$3,0,0,'Données projet'!$E$12+1,1))</f>
        <v>407.73540492005355</v>
      </c>
      <c r="CE35" s="59">
        <f t="shared" si="40"/>
        <v>296.29416764204774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111.06576</v>
      </c>
      <c r="CV35" s="13">
        <f t="shared" si="41"/>
        <v>29.581944857062648</v>
      </c>
      <c r="CW35" s="20">
        <f t="shared" si="13"/>
        <v>244.96141929271744</v>
      </c>
      <c r="CX35" s="59">
        <f t="shared" si="14"/>
        <v>538.29475262605069</v>
      </c>
      <c r="CY35" s="59">
        <f ca="1">AVERAGE(OFFSET($CX$3,0,0,'Données projet'!$E$13+1,1))-AVERAGE(OFFSET($H$3,0,0,'Données projet'!$E$13+1,1))</f>
        <v>299.10536994156814</v>
      </c>
      <c r="CZ35" s="59">
        <f t="shared" si="42"/>
        <v>292.57799203101769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0.50180393554679847</v>
      </c>
      <c r="DG35" s="21">
        <f>EXP(-LN(2)/25)*DG34+(1-EXP(-LN(2)/25))/(LN(2)/25)*Calculateur!DB35*Calculateur!DD35*VLOOKUP('Données projet'!$B$13,Paramètres!$A$1:$I$89,3,0)*0.475*44/12</f>
        <v>4.3162947325116168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4.8180986680584148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111.06576</v>
      </c>
      <c r="DQ35" s="13">
        <f t="shared" si="43"/>
        <v>29.581944857062648</v>
      </c>
      <c r="DR35" s="20">
        <f t="shared" si="16"/>
        <v>244.96141929271744</v>
      </c>
      <c r="DS35" s="59">
        <f t="shared" si="17"/>
        <v>538.29475262605069</v>
      </c>
      <c r="DT35" s="59">
        <f ca="1">AVERAGE(OFFSET($DS$3,0,0,'Données projet'!$E$14+1,1))-AVERAGE(OFFSET($H$3,0,0,'Données projet'!$E$14+1,1))</f>
        <v>299.10536994156814</v>
      </c>
      <c r="DU35" s="59">
        <f t="shared" si="44"/>
        <v>292.57799203101769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0.50180393554679847</v>
      </c>
      <c r="EB35" s="21">
        <f>EXP(-LN(2)/25)*EB34+(1-EXP(-LN(2)/25))/(LN(2)/25)*Calculateur!DW35*Calculateur!DY35*VLOOKUP('Données projet'!$B$14,Paramètres!$A$1:$I$89,3,0)*0.475*44/12</f>
        <v>4.3162947325116168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4.8180986680584148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7.2</v>
      </c>
      <c r="EJ35" s="12">
        <f>IF('Données projet'!$A$192&gt;35,EJ34+EI35-ER34,IF(A35&lt;'Données projet'!$A$192,$EG$205^A35,IF(A35='Données projet'!$A$192,'Données projet'!$B$192,EJ34+EI35-ER34)))</f>
        <v>131.4</v>
      </c>
      <c r="EK35" s="17">
        <f>EJ35*VLOOKUP('Données projet'!$B$15,Paramètres!$A$1:$I$89,3,0)*VLOOKUP('Données projet'!$B$15,Paramètres!$A$1:$I$89,5,0)</f>
        <v>86.093280000000007</v>
      </c>
      <c r="EL35" s="13">
        <f t="shared" si="45"/>
        <v>23.620598504835936</v>
      </c>
      <c r="EM35" s="20">
        <f t="shared" si="19"/>
        <v>191.08500506258926</v>
      </c>
      <c r="EN35" s="59">
        <f t="shared" si="20"/>
        <v>484.41833839592255</v>
      </c>
      <c r="EO35" s="59">
        <f ca="1">AVERAGE(OFFSET($EN$3,0,0,'Données projet'!$E$15+1,1))-AVERAGE(OFFSET($H$3,0,0,'Données projet'!$E$15+1,1))</f>
        <v>230.58262378842818</v>
      </c>
      <c r="EP35" s="59">
        <f t="shared" si="46"/>
        <v>235.68746142880792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1.3220047511481838</v>
      </c>
      <c r="EX35" s="21">
        <f>EXP(-LN(2)/2)*EX34+(1-EXP(-LN(2)/2))/(LN(2)/2)*ER35*EU35*VLOOKUP('Données projet'!$B$15,Paramètres!$A$1:$I$89,3,0)*0.475*44/12</f>
        <v>2.1773686142746853</v>
      </c>
      <c r="EY35" s="22">
        <f t="shared" si="21"/>
        <v>3.4993733654228691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5.8</v>
      </c>
      <c r="FE35" s="12">
        <f>IF('Données projet'!$A$218&gt;35,FE34+FD35-FM34,IF(A35&lt;'Données projet'!$A$218,$FB$205^A35,IF(A35='Données projet'!$A$218,'Données projet'!$B$218,FE34+FD35-FM34)))</f>
        <v>103.59999999999998</v>
      </c>
      <c r="FF35" s="17">
        <f>FE35*VLOOKUP('Données projet'!$B$16,Paramètres!$A$1:$I$89,3,0)*VLOOKUP('Données projet'!$B$16,Paramètres!$A$1:$I$89,5,0)</f>
        <v>84.040319999999994</v>
      </c>
      <c r="FG35" s="13">
        <f t="shared" si="47"/>
        <v>23.122212826195224</v>
      </c>
      <c r="FH35" s="20">
        <f t="shared" si="22"/>
        <v>186.64141133895666</v>
      </c>
      <c r="FI35" s="59">
        <f t="shared" si="23"/>
        <v>479.97474467228994</v>
      </c>
      <c r="FJ35" s="59">
        <f ca="1">AVERAGE(OFFSET($FI$3,0,0,'Données projet'!$E$16+1,1))-AVERAGE(OFFSET($H$3,0,0,'Données projet'!$E$16+1,1))</f>
        <v>272.90535195666996</v>
      </c>
      <c r="FK35" s="59">
        <f t="shared" si="48"/>
        <v>222.25422164416898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0.71603678394236658</v>
      </c>
      <c r="FS35" s="21">
        <f>EXP(-LN(2)/2)*FS34+(1-EXP(-LN(2)/2))/(LN(2)/2)*FM35*FP35*VLOOKUP('Données projet'!$B$16,Paramètres!$A$1:$I$89,3,0)*0.475*44/12</f>
        <v>1.5196627368917801</v>
      </c>
      <c r="FT35" s="22">
        <f t="shared" si="24"/>
        <v>2.2356995208341468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384.05928630855732</v>
      </c>
      <c r="T36" s="59">
        <f t="shared" si="34"/>
        <v>279.93992813630513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</v>
      </c>
      <c r="AI36" s="13">
        <f>IF('Données projet'!$A$62&gt;35,AI35+AH36-AQ35,IF(A36&lt;'Données projet'!$A$62,$AF$205^A36,IF(A36='Données projet'!$A$62,'Données projet'!$B$62,AI35+AH36-AQ35)))</f>
        <v>252.99999999999991</v>
      </c>
      <c r="AJ36" s="13">
        <f>AI36*VLOOKUP('Données projet'!$B$10,Paramètres!$A$1:$I$89,3,0)*VLOOKUP('Données projet'!$B$10,Paramètres!$A$1:$I$89,5,0)</f>
        <v>228.91439999999994</v>
      </c>
      <c r="AK36" s="13">
        <f t="shared" si="35"/>
        <v>56.047884834417424</v>
      </c>
      <c r="AL36" s="20">
        <f t="shared" si="4"/>
        <v>496.30931275327686</v>
      </c>
      <c r="AM36" s="59">
        <f t="shared" si="5"/>
        <v>789.64264608661017</v>
      </c>
      <c r="AN36" s="59">
        <f ca="1">AVERAGE(OFFSET($AM$3,0,0,'Données projet'!$E$10+1,1))-AVERAGE(OFFSET($H$3,0,0,'Données projet'!$E$10+1,1))</f>
        <v>366.69125512029831</v>
      </c>
      <c r="AO36" s="59">
        <f t="shared" si="36"/>
        <v>513.80016421153414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3.1886865090047931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3.1886865090047931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130.69056000000003</v>
      </c>
      <c r="BF36" s="13">
        <f t="shared" si="37"/>
        <v>34.155878238422723</v>
      </c>
      <c r="BG36" s="20">
        <f t="shared" si="7"/>
        <v>287.10754659858628</v>
      </c>
      <c r="BH36" s="59">
        <f t="shared" si="8"/>
        <v>580.44087993191965</v>
      </c>
      <c r="BI36" s="59">
        <f ca="1">AVERAGE(OFFSET($BH$3,0,0,'Données projet'!$E$11+1,1))-AVERAGE(OFFSET($H$3,0,0,'Données projet'!$E$11+1,1))</f>
        <v>354.24684313982857</v>
      </c>
      <c r="BJ36" s="59">
        <f t="shared" si="38"/>
        <v>322.65043486962185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8.0564102564102633</v>
      </c>
      <c r="BY36" s="12">
        <f>IF('Données projet'!$A$114&gt;35,BY35+BX36-CG35,IF(A36&lt;'Données projet'!$A$114,$BV$205^A36,IF(A36='Données projet'!$A$114,'Données projet'!$B$114,BY35+BX36-CG35)))</f>
        <v>146.05384615384617</v>
      </c>
      <c r="BZ36" s="13">
        <f>BY36*VLOOKUP('Données projet'!$B$12,Paramètres!$A$1:$I$89,3,0)*VLOOKUP('Données projet'!$B$12,Paramètres!$A$1:$I$89,5,0)</f>
        <v>141.26328000000001</v>
      </c>
      <c r="CA36" s="13">
        <f t="shared" si="39"/>
        <v>36.586253729191895</v>
      </c>
      <c r="CB36" s="20">
        <f t="shared" si="10"/>
        <v>309.75460457834254</v>
      </c>
      <c r="CC36" s="59">
        <f t="shared" si="11"/>
        <v>603.08793791167591</v>
      </c>
      <c r="CD36" s="59">
        <f ca="1">AVERAGE(OFFSET($CC$3,0,0,'Données projet'!$E$12+1,1))-AVERAGE(OFFSET($H$3,0,0,'Données projet'!$E$12+1,1))</f>
        <v>407.73540492005355</v>
      </c>
      <c r="CE36" s="59">
        <f t="shared" si="40"/>
        <v>296.29416764204774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119.65824000000002</v>
      </c>
      <c r="CV36" s="13">
        <f t="shared" si="41"/>
        <v>31.595276160231336</v>
      </c>
      <c r="CW36" s="20">
        <f t="shared" si="13"/>
        <v>263.43320731240294</v>
      </c>
      <c r="CX36" s="59">
        <f t="shared" si="14"/>
        <v>556.76654064573631</v>
      </c>
      <c r="CY36" s="59">
        <f ca="1">AVERAGE(OFFSET($CX$3,0,0,'Données projet'!$E$13+1,1))-AVERAGE(OFFSET($H$3,0,0,'Données projet'!$E$13+1,1))</f>
        <v>299.10536994156814</v>
      </c>
      <c r="CZ36" s="59">
        <f t="shared" si="42"/>
        <v>292.57799203101769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0.49196386644090451</v>
      </c>
      <c r="DG36" s="21">
        <f>EXP(-LN(2)/25)*DG35+(1-EXP(-LN(2)/25))/(LN(2)/25)*Calculateur!DB36*Calculateur!DD36*VLOOKUP('Données projet'!$B$13,Paramètres!$A$1:$I$89,3,0)*0.475*44/12</f>
        <v>4.198265426067012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4.690229292507917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119.65824000000002</v>
      </c>
      <c r="DQ36" s="13">
        <f t="shared" si="43"/>
        <v>31.595276160231336</v>
      </c>
      <c r="DR36" s="20">
        <f t="shared" si="16"/>
        <v>263.43320731240294</v>
      </c>
      <c r="DS36" s="59">
        <f t="shared" si="17"/>
        <v>556.76654064573631</v>
      </c>
      <c r="DT36" s="59">
        <f ca="1">AVERAGE(OFFSET($DS$3,0,0,'Données projet'!$E$14+1,1))-AVERAGE(OFFSET($H$3,0,0,'Données projet'!$E$14+1,1))</f>
        <v>299.10536994156814</v>
      </c>
      <c r="DU36" s="59">
        <f t="shared" si="44"/>
        <v>292.57799203101769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0.49196386644090451</v>
      </c>
      <c r="EB36" s="21">
        <f>EXP(-LN(2)/25)*EB35+(1-EXP(-LN(2)/25))/(LN(2)/25)*Calculateur!DW36*Calculateur!DY36*VLOOKUP('Données projet'!$B$14,Paramètres!$A$1:$I$89,3,0)*0.475*44/12</f>
        <v>4.198265426067012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4.690229292507917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7.2</v>
      </c>
      <c r="EJ36" s="12">
        <f>IF('Données projet'!$A$192&gt;35,EJ35+EI36-ER35,IF(A36&lt;'Données projet'!$A$192,$EG$205^A36,IF(A36='Données projet'!$A$192,'Données projet'!$B$192,EJ35+EI36-ER35)))</f>
        <v>138.6</v>
      </c>
      <c r="EK36" s="17">
        <f>EJ36*VLOOKUP('Données projet'!$B$15,Paramètres!$A$1:$I$89,3,0)*VLOOKUP('Données projet'!$B$15,Paramètres!$A$1:$I$89,5,0)</f>
        <v>90.810720000000003</v>
      </c>
      <c r="EL36" s="13">
        <f t="shared" si="45"/>
        <v>24.760648970178448</v>
      </c>
      <c r="EM36" s="20">
        <f t="shared" si="19"/>
        <v>201.28680095639413</v>
      </c>
      <c r="EN36" s="59">
        <f t="shared" si="20"/>
        <v>494.62013428972745</v>
      </c>
      <c r="EO36" s="59">
        <f ca="1">AVERAGE(OFFSET($EN$3,0,0,'Données projet'!$E$15+1,1))-AVERAGE(OFFSET($H$3,0,0,'Données projet'!$E$15+1,1))</f>
        <v>230.58262378842818</v>
      </c>
      <c r="EP36" s="59">
        <f t="shared" si="46"/>
        <v>235.68746142880792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1.2858544617068284</v>
      </c>
      <c r="EX36" s="21">
        <f>EXP(-LN(2)/2)*EX35+(1-EXP(-LN(2)/2))/(LN(2)/2)*ER36*EU36*VLOOKUP('Données projet'!$B$15,Paramètres!$A$1:$I$89,3,0)*0.475*44/12</f>
        <v>1.5396321122963863</v>
      </c>
      <c r="EY36" s="22">
        <f t="shared" si="21"/>
        <v>2.8254865740032145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5.8</v>
      </c>
      <c r="FE36" s="12">
        <f>IF('Données projet'!$A$218&gt;35,FE35+FD36-FM35,IF(A36&lt;'Données projet'!$A$218,$FB$205^A36,IF(A36='Données projet'!$A$218,'Données projet'!$B$218,FE35+FD36-FM35)))</f>
        <v>109.39999999999998</v>
      </c>
      <c r="FF36" s="17">
        <f>FE36*VLOOKUP('Données projet'!$B$16,Paramètres!$A$1:$I$89,3,0)*VLOOKUP('Données projet'!$B$16,Paramètres!$A$1:$I$89,5,0)</f>
        <v>88.745279999999994</v>
      </c>
      <c r="FG36" s="13">
        <f t="shared" si="47"/>
        <v>24.262369928218718</v>
      </c>
      <c r="FH36" s="20">
        <f t="shared" si="22"/>
        <v>196.82165695831426</v>
      </c>
      <c r="FI36" s="59">
        <f t="shared" si="23"/>
        <v>490.15499029164755</v>
      </c>
      <c r="FJ36" s="59">
        <f ca="1">AVERAGE(OFFSET($FI$3,0,0,'Données projet'!$E$16+1,1))-AVERAGE(OFFSET($H$3,0,0,'Données projet'!$E$16+1,1))</f>
        <v>272.90535195666996</v>
      </c>
      <c r="FK36" s="59">
        <f t="shared" si="48"/>
        <v>222.25422164416898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0.6964567204307246</v>
      </c>
      <c r="FS36" s="21">
        <f>EXP(-LN(2)/2)*FS35+(1-EXP(-LN(2)/2))/(LN(2)/2)*FM36*FP36*VLOOKUP('Données projet'!$B$16,Paramètres!$A$1:$I$89,3,0)*0.475*44/12</f>
        <v>1.074563826372686</v>
      </c>
      <c r="FT36" s="22">
        <f t="shared" si="24"/>
        <v>1.7710205468034106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599.18290416174227</v>
      </c>
      <c r="S37" s="59">
        <f ca="1">AVERAGE(OFFSET($R$3,0,0,'Données projet'!$E$9+1,1))-AVERAGE(OFFSET($H$3,0,0,'Données projet'!$E$9+1,1))</f>
        <v>384.05928630855732</v>
      </c>
      <c r="T37" s="59">
        <f t="shared" si="34"/>
        <v>279.93992813630513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</v>
      </c>
      <c r="AI37" s="13">
        <f>IF('Données projet'!$A$62&gt;35,AI36+AH37-AQ36,IF(A37&lt;'Données projet'!$A$62,$AF$205^A37,IF(A37='Données projet'!$A$62,'Données projet'!$B$62,AI36+AH37-AQ36)))</f>
        <v>259.99999999999989</v>
      </c>
      <c r="AJ37" s="13">
        <f>AI37*VLOOKUP('Données projet'!$B$10,Paramètres!$A$1:$I$89,3,0)*VLOOKUP('Données projet'!$B$10,Paramètres!$A$1:$I$89,5,0)</f>
        <v>235.24799999999991</v>
      </c>
      <c r="AK37" s="13">
        <f t="shared" si="35"/>
        <v>57.41592756883739</v>
      </c>
      <c r="AL37" s="20">
        <f t="shared" si="4"/>
        <v>509.72300718239154</v>
      </c>
      <c r="AM37" s="59">
        <f t="shared" si="5"/>
        <v>803.05634051572486</v>
      </c>
      <c r="AN37" s="59">
        <f ca="1">AVERAGE(OFFSET($AM$3,0,0,'Données projet'!$E$10+1,1))-AVERAGE(OFFSET($H$3,0,0,'Données projet'!$E$10+1,1))</f>
        <v>366.69125512029831</v>
      </c>
      <c r="AO37" s="59">
        <f t="shared" si="36"/>
        <v>513.80016421153414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3.1014917087303213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3.1014917087303213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138.72767999999999</v>
      </c>
      <c r="BF37" s="13">
        <f t="shared" si="37"/>
        <v>36.005380160492741</v>
      </c>
      <c r="BG37" s="20">
        <f t="shared" si="7"/>
        <v>304.32674644619152</v>
      </c>
      <c r="BH37" s="59">
        <f t="shared" si="8"/>
        <v>597.66007977952484</v>
      </c>
      <c r="BI37" s="59">
        <f ca="1">AVERAGE(OFFSET($BH$3,0,0,'Données projet'!$E$11+1,1))-AVERAGE(OFFSET($H$3,0,0,'Données projet'!$E$11+1,1))</f>
        <v>354.24684313982857</v>
      </c>
      <c r="BJ37" s="59">
        <f t="shared" si="38"/>
        <v>322.65043486962185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8.0564102564102633</v>
      </c>
      <c r="BY37" s="12">
        <f>IF('Données projet'!$A$114&gt;35,BY36+BX37-CG36,IF(A37&lt;'Données projet'!$A$114,$BV$205^A37,IF(A37='Données projet'!$A$114,'Données projet'!$B$114,BY36+BX37-CG36)))</f>
        <v>154.11025641025643</v>
      </c>
      <c r="BZ37" s="13">
        <f>BY37*VLOOKUP('Données projet'!$B$12,Paramètres!$A$1:$I$89,3,0)*VLOOKUP('Données projet'!$B$12,Paramètres!$A$1:$I$89,5,0)</f>
        <v>149.05544000000003</v>
      </c>
      <c r="CA37" s="13">
        <f t="shared" si="39"/>
        <v>38.363852117836124</v>
      </c>
      <c r="CB37" s="20">
        <f t="shared" si="10"/>
        <v>326.42193377189795</v>
      </c>
      <c r="CC37" s="59">
        <f t="shared" si="11"/>
        <v>619.75526710523127</v>
      </c>
      <c r="CD37" s="59">
        <f ca="1">AVERAGE(OFFSET($CC$3,0,0,'Données projet'!$E$12+1,1))-AVERAGE(OFFSET($H$3,0,0,'Données projet'!$E$12+1,1))</f>
        <v>407.73540492005355</v>
      </c>
      <c r="CE37" s="59">
        <f t="shared" si="40"/>
        <v>296.29416764204774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128.25072</v>
      </c>
      <c r="CV37" s="13">
        <f t="shared" si="41"/>
        <v>33.591833937449593</v>
      </c>
      <c r="CW37" s="20">
        <f t="shared" si="13"/>
        <v>281.875781441058</v>
      </c>
      <c r="CX37" s="59">
        <f t="shared" si="14"/>
        <v>575.20911477439131</v>
      </c>
      <c r="CY37" s="59">
        <f ca="1">AVERAGE(OFFSET($CX$3,0,0,'Données projet'!$E$13+1,1))-AVERAGE(OFFSET($H$3,0,0,'Données projet'!$E$13+1,1))</f>
        <v>299.10536994156814</v>
      </c>
      <c r="CZ37" s="59">
        <f t="shared" si="42"/>
        <v>292.57799203101769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0.48231675508832761</v>
      </c>
      <c r="DG37" s="21">
        <f>EXP(-LN(2)/25)*DG36+(1-EXP(-LN(2)/25))/(LN(2)/25)*Calculateur!DB37*Calculateur!DD37*VLOOKUP('Données projet'!$B$13,Paramètres!$A$1:$I$89,3,0)*0.475*44/12</f>
        <v>4.0834636372140265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4.5657803923023543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128.25072</v>
      </c>
      <c r="DQ37" s="13">
        <f t="shared" si="43"/>
        <v>33.591833937449593</v>
      </c>
      <c r="DR37" s="20">
        <f t="shared" si="16"/>
        <v>281.875781441058</v>
      </c>
      <c r="DS37" s="59">
        <f t="shared" si="17"/>
        <v>575.20911477439131</v>
      </c>
      <c r="DT37" s="59">
        <f ca="1">AVERAGE(OFFSET($DS$3,0,0,'Données projet'!$E$14+1,1))-AVERAGE(OFFSET($H$3,0,0,'Données projet'!$E$14+1,1))</f>
        <v>299.10536994156814</v>
      </c>
      <c r="DU37" s="59">
        <f t="shared" si="44"/>
        <v>292.57799203101769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0.48231675508832761</v>
      </c>
      <c r="EB37" s="21">
        <f>EXP(-LN(2)/25)*EB36+(1-EXP(-LN(2)/25))/(LN(2)/25)*Calculateur!DW37*Calculateur!DY37*VLOOKUP('Données projet'!$B$14,Paramètres!$A$1:$I$89,3,0)*0.475*44/12</f>
        <v>4.0834636372140265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4.5657803923023543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7.2</v>
      </c>
      <c r="EJ37" s="12">
        <f>IF('Données projet'!$A$192&gt;35,EJ36+EI37-ER36,IF(A37&lt;'Données projet'!$A$192,$EG$205^A37,IF(A37='Données projet'!$A$192,'Données projet'!$B$192,EJ36+EI37-ER36)))</f>
        <v>145.79999999999998</v>
      </c>
      <c r="EK37" s="17">
        <f>EJ37*VLOOKUP('Données projet'!$B$15,Paramètres!$A$1:$I$89,3,0)*VLOOKUP('Données projet'!$B$15,Paramètres!$A$1:$I$89,5,0)</f>
        <v>95.528159999999986</v>
      </c>
      <c r="EL37" s="13">
        <f t="shared" si="45"/>
        <v>25.893823366813653</v>
      </c>
      <c r="EM37" s="20">
        <f t="shared" si="19"/>
        <v>211.47662103053372</v>
      </c>
      <c r="EN37" s="59">
        <f t="shared" si="20"/>
        <v>504.80995436386706</v>
      </c>
      <c r="EO37" s="59">
        <f ca="1">AVERAGE(OFFSET($EN$3,0,0,'Données projet'!$E$15+1,1))-AVERAGE(OFFSET($H$3,0,0,'Données projet'!$E$15+1,1))</f>
        <v>230.58262378842818</v>
      </c>
      <c r="EP37" s="59">
        <f t="shared" si="46"/>
        <v>235.68746142880792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1.2506927038313078</v>
      </c>
      <c r="EX37" s="21">
        <f>EXP(-LN(2)/2)*EX36+(1-EXP(-LN(2)/2))/(LN(2)/2)*ER37*EU37*VLOOKUP('Données projet'!$B$15,Paramètres!$A$1:$I$89,3,0)*0.475*44/12</f>
        <v>1.0886843071373429</v>
      </c>
      <c r="EY37" s="22">
        <f t="shared" si="21"/>
        <v>2.3393770109686507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5.8</v>
      </c>
      <c r="FE37" s="12">
        <f>IF('Données projet'!$A$218&gt;35,FE36+FD37-FM36,IF(A37&lt;'Données projet'!$A$218,$FB$205^A37,IF(A37='Données projet'!$A$218,'Données projet'!$B$218,FE36+FD37-FM36)))</f>
        <v>115.19999999999997</v>
      </c>
      <c r="FF37" s="17">
        <f>FE37*VLOOKUP('Données projet'!$B$16,Paramètres!$A$1:$I$89,3,0)*VLOOKUP('Données projet'!$B$16,Paramètres!$A$1:$I$89,5,0)</f>
        <v>93.45023999999998</v>
      </c>
      <c r="FG37" s="13">
        <f t="shared" si="47"/>
        <v>25.395509184428445</v>
      </c>
      <c r="FH37" s="20">
        <f t="shared" si="22"/>
        <v>206.98967982954616</v>
      </c>
      <c r="FI37" s="59">
        <f t="shared" si="23"/>
        <v>500.32301316287948</v>
      </c>
      <c r="FJ37" s="59">
        <f ca="1">AVERAGE(OFFSET($FI$3,0,0,'Données projet'!$E$16+1,1))-AVERAGE(OFFSET($H$3,0,0,'Données projet'!$E$16+1,1))</f>
        <v>272.90535195666996</v>
      </c>
      <c r="FK37" s="59">
        <f t="shared" si="48"/>
        <v>222.25422164416898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0.67741207478547927</v>
      </c>
      <c r="FS37" s="21">
        <f>EXP(-LN(2)/2)*FS36+(1-EXP(-LN(2)/2))/(LN(2)/2)*FM37*FP37*VLOOKUP('Données projet'!$B$16,Paramètres!$A$1:$I$89,3,0)*0.475*44/12</f>
        <v>0.75983136844589017</v>
      </c>
      <c r="FT37" s="22">
        <f t="shared" si="24"/>
        <v>1.4372434432313694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614.77977679294247</v>
      </c>
      <c r="S38" s="59">
        <f ca="1">AVERAGE(OFFSET($R$3,0,0,'Données projet'!$E$9+1,1))-AVERAGE(OFFSET($H$3,0,0,'Données projet'!$E$9+1,1))</f>
        <v>384.05928630855732</v>
      </c>
      <c r="T38" s="59">
        <f t="shared" si="34"/>
        <v>279.93992813630513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267</v>
      </c>
      <c r="AG38" s="12">
        <f>VLOOKUP(A38,'Données projet'!$A$61:$I$81,9,0)</f>
        <v>7</v>
      </c>
      <c r="AH38" s="12">
        <f t="array" ref="AH38">INDEX(AG:AG,MIN(IF(ISNUMBER(AG38:AG234),ROW(AG38:AG234),"")))</f>
        <v>7</v>
      </c>
      <c r="AI38" s="13">
        <f>IF('Données projet'!$A$62&gt;35,AI37+AH38-AQ37,IF(A38&lt;'Données projet'!$A$62,$AF$205^A38,IF(A38='Données projet'!$A$62,'Données projet'!$B$62,AI37+AH38-AQ37)))</f>
        <v>266.99999999999989</v>
      </c>
      <c r="AJ38" s="13">
        <f>AI38*VLOOKUP('Données projet'!$B$10,Paramètres!$A$1:$I$89,3,0)*VLOOKUP('Données projet'!$B$10,Paramètres!$A$1:$I$89,5,0)</f>
        <v>241.5815999999999</v>
      </c>
      <c r="AK38" s="13">
        <f t="shared" si="35"/>
        <v>58.779689232021951</v>
      </c>
      <c r="AL38" s="20">
        <f t="shared" si="4"/>
        <v>523.12924541243797</v>
      </c>
      <c r="AM38" s="59">
        <f t="shared" si="5"/>
        <v>816.46257874577122</v>
      </c>
      <c r="AN38" s="59">
        <f ca="1">AVERAGE(OFFSET($AM$3,0,0,'Données projet'!$E$10+1,1))-AVERAGE(OFFSET($H$3,0,0,'Données projet'!$E$10+1,1))</f>
        <v>366.69125512029831</v>
      </c>
      <c r="AO38" s="59">
        <f t="shared" si="36"/>
        <v>513.80016421153414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0.15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4.3616745292288686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4.3616745292288686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146.76480000000001</v>
      </c>
      <c r="BF38" s="13">
        <f t="shared" si="37"/>
        <v>37.842444439956665</v>
      </c>
      <c r="BG38" s="20">
        <f t="shared" si="7"/>
        <v>321.52428406625785</v>
      </c>
      <c r="BH38" s="59">
        <f t="shared" si="8"/>
        <v>614.85761739959116</v>
      </c>
      <c r="BI38" s="59">
        <f ca="1">AVERAGE(OFFSET($BH$3,0,0,'Données projet'!$E$11+1,1))-AVERAGE(OFFSET($H$3,0,0,'Données projet'!$E$11+1,1))</f>
        <v>354.24684313982857</v>
      </c>
      <c r="BJ38" s="59">
        <f t="shared" si="38"/>
        <v>322.65043486962185</v>
      </c>
      <c r="BK38" s="15">
        <f>IF(ISNA(VLOOKUP(A38,'Données projet'!$A$87:$I$107,3,0)),0,VLOOKUP(A38,'Données projet'!$A$87:$I$107,3,0))</f>
        <v>4</v>
      </c>
      <c r="BL38" s="15" t="str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5.5840410425740084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5.5840410425740084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162.16666666666669</v>
      </c>
      <c r="BW38" s="12">
        <f>VLOOKUP(A38,'Données projet'!$A$113:$I$133,9,0)</f>
        <v>8.0564102564102633</v>
      </c>
      <c r="BX38" s="12">
        <f t="array" ref="BX38">INDEX(BW:BW,MIN(IF(ISNUMBER(BW38:BW234),ROW(BW38:BW234),"")))</f>
        <v>8.0564102564102633</v>
      </c>
      <c r="BY38" s="12">
        <f>IF('Données projet'!$A$114&gt;35,BY37+BX38-CG37,IF(A38&lt;'Données projet'!$A$114,$BV$205^A38,IF(A38='Données projet'!$A$114,'Données projet'!$B$114,BY37+BX38-CG37)))</f>
        <v>162.16666666666669</v>
      </c>
      <c r="BZ38" s="13">
        <f>BY38*VLOOKUP('Données projet'!$B$12,Paramètres!$A$1:$I$89,3,0)*VLOOKUP('Données projet'!$B$12,Paramètres!$A$1:$I$89,5,0)</f>
        <v>156.84760000000003</v>
      </c>
      <c r="CA38" s="13">
        <f t="shared" si="39"/>
        <v>40.13066141543748</v>
      </c>
      <c r="CB38" s="20">
        <f t="shared" si="10"/>
        <v>343.07047196522035</v>
      </c>
      <c r="CC38" s="59">
        <f t="shared" si="11"/>
        <v>636.40380529855361</v>
      </c>
      <c r="CD38" s="59">
        <f ca="1">AVERAGE(OFFSET($CC$3,0,0,'Données projet'!$E$12+1,1))-AVERAGE(OFFSET($H$3,0,0,'Données projet'!$E$12+1,1))</f>
        <v>407.73540492005355</v>
      </c>
      <c r="CE38" s="59">
        <f t="shared" si="40"/>
        <v>296.29416764204774</v>
      </c>
      <c r="CF38" s="15">
        <f>IF(ISNA(VLOOKUP(A38,'Données projet'!$A$113:$I$133,3,0)),0,VLOOKUP(A38,'Données projet'!$A$113:$I$133,3,0))</f>
        <v>1</v>
      </c>
      <c r="CG38" s="15">
        <f>IF(ISNA(VLOOKUP(A38,'Données projet'!$A$113:$I$133,4,0)),0,VLOOKUP(A38,'Données projet'!$A$113:$I$133,4,0))</f>
        <v>60.602564102564102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136.84320000000002</v>
      </c>
      <c r="CV38" s="13">
        <f t="shared" si="41"/>
        <v>35.572869837729648</v>
      </c>
      <c r="CW38" s="20">
        <f t="shared" si="13"/>
        <v>300.2913216340458</v>
      </c>
      <c r="CX38" s="59">
        <f t="shared" si="14"/>
        <v>593.62465496737912</v>
      </c>
      <c r="CY38" s="59">
        <f ca="1">AVERAGE(OFFSET($CX$3,0,0,'Données projet'!$E$13+1,1))-AVERAGE(OFFSET($H$3,0,0,'Données projet'!$E$13+1,1))</f>
        <v>299.10536994156814</v>
      </c>
      <c r="CZ38" s="59">
        <f t="shared" si="42"/>
        <v>292.57799203101769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9.5399999999999999E-2</v>
      </c>
      <c r="DD38" s="16">
        <f>IF(ISNA(VLOOKUP(A38,'Données projet'!$A$139:$I$159,6,0)),0%,VLOOKUP(A38,'Données projet'!$A$139:$I$159,6,0)*VLOOKUP('Données projet'!$B$13,Paramètres!$A$1:$I$89,7,0))</f>
        <v>0.22790000000000002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2.822211897049594</v>
      </c>
      <c r="DG38" s="21">
        <f>EXP(-LN(2)/25)*DG37+(1-EXP(-LN(2)/25))/(LN(2)/25)*Calculateur!DB38*Calculateur!DD38*VLOOKUP('Données projet'!$B$13,Paramètres!$A$1:$I$89,3,0)*0.475*44/12</f>
        <v>9.5620466419357015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12.384258538985296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136.84320000000002</v>
      </c>
      <c r="DQ38" s="13">
        <f t="shared" si="43"/>
        <v>35.572869837729648</v>
      </c>
      <c r="DR38" s="20">
        <f t="shared" si="16"/>
        <v>300.2913216340458</v>
      </c>
      <c r="DS38" s="59">
        <f t="shared" si="17"/>
        <v>593.62465496737912</v>
      </c>
      <c r="DT38" s="59">
        <f ca="1">AVERAGE(OFFSET($DS$3,0,0,'Données projet'!$E$14+1,1))-AVERAGE(OFFSET($H$3,0,0,'Données projet'!$E$14+1,1))</f>
        <v>299.10536994156814</v>
      </c>
      <c r="DU38" s="59">
        <f t="shared" si="44"/>
        <v>292.57799203101769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9.5399999999999999E-2</v>
      </c>
      <c r="DY38" s="16">
        <f>IF(ISNA(VLOOKUP(A38,'Données projet'!$A$165:$I$185,6,0)),0%,VLOOKUP(A38,'Données projet'!$A$165:$I$185,6,0)*VLOOKUP('Données projet'!$B$14,Paramètres!$A$1:$I$89,7,0))</f>
        <v>0.22790000000000002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2.822211897049594</v>
      </c>
      <c r="EB38" s="21">
        <f>EXP(-LN(2)/25)*EB37+(1-EXP(-LN(2)/25))/(LN(2)/25)*Calculateur!DW38*Calculateur!DY38*VLOOKUP('Données projet'!$B$14,Paramètres!$A$1:$I$89,3,0)*0.475*44/12</f>
        <v>9.5620466419357015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12.384258538985296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153</v>
      </c>
      <c r="EH38" s="12">
        <f>VLOOKUP(A38,'Données projet'!$A$191:$I$211,9,0)</f>
        <v>7.2</v>
      </c>
      <c r="EI38" s="12">
        <f t="array" ref="EI38">INDEX(EH:EH,MIN(IF(ISNUMBER(EH38:EH234),ROW(EH38:EH234),"")))</f>
        <v>7.2</v>
      </c>
      <c r="EJ38" s="12">
        <f>IF('Données projet'!$A$192&gt;35,EJ37+EI38-ER37,IF(A38&lt;'Données projet'!$A$192,$EG$205^A38,IF(A38='Données projet'!$A$192,'Données projet'!$B$192,EJ37+EI38-ER37)))</f>
        <v>152.99999999999997</v>
      </c>
      <c r="EK38" s="17">
        <f>EJ38*VLOOKUP('Données projet'!$B$15,Paramètres!$A$1:$I$89,3,0)*VLOOKUP('Données projet'!$B$15,Paramètres!$A$1:$I$89,5,0)</f>
        <v>100.2456</v>
      </c>
      <c r="EL38" s="13">
        <f t="shared" si="45"/>
        <v>27.020500005754936</v>
      </c>
      <c r="EM38" s="20">
        <f t="shared" si="19"/>
        <v>221.65512417668984</v>
      </c>
      <c r="EN38" s="59">
        <f t="shared" si="20"/>
        <v>514.98845751002318</v>
      </c>
      <c r="EO38" s="59">
        <f ca="1">AVERAGE(OFFSET($EN$3,0,0,'Données projet'!$E$15+1,1))-AVERAGE(OFFSET($H$3,0,0,'Données projet'!$E$15+1,1))</f>
        <v>230.58262378842818</v>
      </c>
      <c r="EP38" s="59">
        <f t="shared" si="46"/>
        <v>235.68746142880792</v>
      </c>
      <c r="EQ38" s="15">
        <f>IF(ISNA(VLOOKUP(A38,'Données projet'!$A$191:$I$211,3,0)),0,VLOOKUP(A38,'Données projet'!$A$191:$I$211,3,0))</f>
        <v>6</v>
      </c>
      <c r="ER38" s="15">
        <f>IF(ISNA(VLOOKUP(A38,'Données projet'!$A$191:$I$211,4,0)),0,VLOOKUP(A38,'Données projet'!$A$191:$I$211,4,0))</f>
        <v>21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4.3000000000000003E-2</v>
      </c>
      <c r="EU38" s="16">
        <f>IF(ISNA(VLOOKUP(A38,'Données projet'!$A$191:$I$211,7,0)),0%,VLOOKUP(A38,'Données projet'!$A$191:$I$211,7,0))</f>
        <v>0.3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1.8679639010409375</v>
      </c>
      <c r="EX38" s="21">
        <f>EXP(-LN(2)/2)*EX37+(1-EXP(-LN(2)/2))/(LN(2)/2)*ER38*EU38*VLOOKUP('Données projet'!$B$15,Paramètres!$A$1:$I$89,3,0)*0.475*44/12</f>
        <v>4.6644687131797298</v>
      </c>
      <c r="EY38" s="22">
        <f t="shared" si="21"/>
        <v>6.5324326142206672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121</v>
      </c>
      <c r="FC38" s="12">
        <f>VLOOKUP(A38,'Données projet'!$A$217:$I$237,9,0)</f>
        <v>5.8</v>
      </c>
      <c r="FD38" s="12">
        <f t="array" ref="FD38">INDEX(FC:FC,MIN(IF(ISNUMBER(FC38:FC234),ROW(FC38:FC234),"")))</f>
        <v>5.8</v>
      </c>
      <c r="FE38" s="12">
        <f>IF('Données projet'!$A$218&gt;35,FE37+FD38-FM37,IF(A38&lt;'Données projet'!$A$218,$FB$205^A38,IF(A38='Données projet'!$A$218,'Données projet'!$B$218,FE37+FD38-FM37)))</f>
        <v>120.99999999999997</v>
      </c>
      <c r="FF38" s="17">
        <f>FE38*VLOOKUP('Données projet'!$B$16,Paramètres!$A$1:$I$89,3,0)*VLOOKUP('Données projet'!$B$16,Paramètres!$A$1:$I$89,5,0)</f>
        <v>98.155199999999979</v>
      </c>
      <c r="FG38" s="13">
        <f t="shared" si="47"/>
        <v>26.522024238465775</v>
      </c>
      <c r="FH38" s="20">
        <f t="shared" si="22"/>
        <v>217.14616554866117</v>
      </c>
      <c r="FI38" s="59">
        <f t="shared" si="23"/>
        <v>510.47949888199446</v>
      </c>
      <c r="FJ38" s="59">
        <f ca="1">AVERAGE(OFFSET($FI$3,0,0,'Données projet'!$E$16+1,1))-AVERAGE(OFFSET($H$3,0,0,'Données projet'!$E$16+1,1))</f>
        <v>272.90535195666996</v>
      </c>
      <c r="FK38" s="59">
        <f t="shared" si="48"/>
        <v>222.25422164416898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12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4.3000000000000003E-2</v>
      </c>
      <c r="FP38" s="16">
        <f>IF(ISNA(VLOOKUP(A38,'Données projet'!$A$217:$I$237,7,0)),0%,VLOOKUP(A38,'Données projet'!$A$217:$I$237,7,0))</f>
        <v>0.3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1.1197931809195341</v>
      </c>
      <c r="FS38" s="21">
        <f>EXP(-LN(2)/2)*FS37+(1-EXP(-LN(2)/2))/(LN(2)/2)*FM38*FP38*VLOOKUP('Données projet'!$B$16,Paramètres!$A$1:$I$89,3,0)*0.475*44/12</f>
        <v>3.2926824324467501</v>
      </c>
      <c r="FT38" s="22">
        <f t="shared" si="24"/>
        <v>4.4124756133662846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384.05928630855732</v>
      </c>
      <c r="T39" s="59">
        <f t="shared" si="34"/>
        <v>279.93992813630513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6.2</v>
      </c>
      <c r="AI39" s="13">
        <f>IF('Données projet'!$A$62&gt;35,AI38+AH39-AQ38,IF(A39&lt;'Données projet'!$A$62,$AF$205^A39,IF(A39='Données projet'!$A$62,'Données projet'!$B$62,AI38+AH39-AQ38)))</f>
        <v>264.19999999999987</v>
      </c>
      <c r="AJ39" s="13">
        <f>AI39*VLOOKUP('Données projet'!$B$10,Paramètres!$A$1:$I$89,3,0)*VLOOKUP('Données projet'!$B$10,Paramètres!$A$1:$I$89,5,0)</f>
        <v>239.04815999999985</v>
      </c>
      <c r="AK39" s="13">
        <f t="shared" si="35"/>
        <v>58.234690128947292</v>
      </c>
      <c r="AL39" s="20">
        <f t="shared" si="4"/>
        <v>517.76763064124964</v>
      </c>
      <c r="AM39" s="59">
        <f t="shared" si="5"/>
        <v>811.10096397458301</v>
      </c>
      <c r="AN39" s="59">
        <f ca="1">AVERAGE(OFFSET($AM$3,0,0,'Données projet'!$E$10+1,1))-AVERAGE(OFFSET($H$3,0,0,'Données projet'!$E$10+1,1))</f>
        <v>366.69125512029831</v>
      </c>
      <c r="AO39" s="59">
        <f t="shared" si="36"/>
        <v>513.80016421153414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4.2424043098566102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4.2424043098566102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130.86528000000001</v>
      </c>
      <c r="BF39" s="13">
        <f t="shared" si="37"/>
        <v>34.19622287336729</v>
      </c>
      <c r="BG39" s="20">
        <f t="shared" si="7"/>
        <v>287.48211750444801</v>
      </c>
      <c r="BH39" s="59">
        <f t="shared" si="8"/>
        <v>580.81545083778133</v>
      </c>
      <c r="BI39" s="59">
        <f ca="1">AVERAGE(OFFSET($BH$3,0,0,'Données projet'!$E$11+1,1))-AVERAGE(OFFSET($H$3,0,0,'Données projet'!$E$11+1,1))</f>
        <v>354.24684313982857</v>
      </c>
      <c r="BJ39" s="59">
        <f t="shared" si="38"/>
        <v>322.65043486962185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5.4313451466128662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5.4313451466128662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9.3141025641025621</v>
      </c>
      <c r="BY39" s="12">
        <f>IF('Données projet'!$A$114&gt;35,BY38+BX39-CG38,IF(A39&lt;'Données projet'!$A$114,$BV$205^A39,IF(A39='Données projet'!$A$114,'Données projet'!$B$114,BY38+BX39-CG38)))</f>
        <v>110.87820512820515</v>
      </c>
      <c r="BZ39" s="13">
        <f>BY39*VLOOKUP('Données projet'!$B$12,Paramètres!$A$1:$I$89,3,0)*VLOOKUP('Données projet'!$B$12,Paramètres!$A$1:$I$89,5,0)</f>
        <v>107.24140000000003</v>
      </c>
      <c r="CA39" s="13">
        <f t="shared" si="39"/>
        <v>28.680079292654327</v>
      </c>
      <c r="CB39" s="20">
        <f t="shared" si="10"/>
        <v>236.72990976803965</v>
      </c>
      <c r="CC39" s="59">
        <f t="shared" si="11"/>
        <v>530.06324310137302</v>
      </c>
      <c r="CD39" s="59">
        <f ca="1">AVERAGE(OFFSET($CC$3,0,0,'Données projet'!$E$12+1,1))-AVERAGE(OFFSET($H$3,0,0,'Données projet'!$E$12+1,1))</f>
        <v>407.73540492005355</v>
      </c>
      <c r="CE39" s="59">
        <f t="shared" si="40"/>
        <v>296.29416764204774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122.20416000000003</v>
      </c>
      <c r="CV39" s="13">
        <f t="shared" si="41"/>
        <v>32.188537573102472</v>
      </c>
      <c r="CW39" s="20">
        <f t="shared" si="13"/>
        <v>268.90061493982017</v>
      </c>
      <c r="CX39" s="59">
        <f t="shared" si="14"/>
        <v>562.23394827315349</v>
      </c>
      <c r="CY39" s="59">
        <f ca="1">AVERAGE(OFFSET($CX$3,0,0,'Données projet'!$E$13+1,1))-AVERAGE(OFFSET($H$3,0,0,'Données projet'!$E$13+1,1))</f>
        <v>299.10536994156814</v>
      </c>
      <c r="CZ39" s="59">
        <f t="shared" si="42"/>
        <v>292.57799203101769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2.7668700431277364</v>
      </c>
      <c r="DG39" s="21">
        <f>EXP(-LN(2)/25)*DG38+(1-EXP(-LN(2)/25))/(LN(2)/25)*Calculateur!DB39*Calculateur!DD39*VLOOKUP('Données projet'!$B$13,Paramètres!$A$1:$I$89,3,0)*0.475*44/12</f>
        <v>9.3005719736657912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12.067442016793528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122.20416000000003</v>
      </c>
      <c r="DQ39" s="13">
        <f t="shared" si="43"/>
        <v>32.188537573102472</v>
      </c>
      <c r="DR39" s="20">
        <f t="shared" si="16"/>
        <v>268.90061493982017</v>
      </c>
      <c r="DS39" s="59">
        <f t="shared" si="17"/>
        <v>562.23394827315349</v>
      </c>
      <c r="DT39" s="59">
        <f ca="1">AVERAGE(OFFSET($DS$3,0,0,'Données projet'!$E$14+1,1))-AVERAGE(OFFSET($H$3,0,0,'Données projet'!$E$14+1,1))</f>
        <v>299.10536994156814</v>
      </c>
      <c r="DU39" s="59">
        <f t="shared" si="44"/>
        <v>292.57799203101769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2.7668700431277364</v>
      </c>
      <c r="EB39" s="21">
        <f>EXP(-LN(2)/25)*EB38+(1-EXP(-LN(2)/25))/(LN(2)/25)*Calculateur!DW39*Calculateur!DY39*VLOOKUP('Données projet'!$B$14,Paramètres!$A$1:$I$89,3,0)*0.475*44/12</f>
        <v>9.3005719736657912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12.067442016793528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7</v>
      </c>
      <c r="EJ39" s="12">
        <f>IF('Données projet'!$A$192&gt;35,EJ38+EI39-ER38,IF(A39&lt;'Données projet'!$A$192,$EG$205^A39,IF(A39='Données projet'!$A$192,'Données projet'!$B$192,EJ38+EI39-ER38)))</f>
        <v>138.99999999999997</v>
      </c>
      <c r="EK39" s="17">
        <f>EJ39*VLOOKUP('Données projet'!$B$15,Paramètres!$A$1:$I$89,3,0)*VLOOKUP('Données projet'!$B$15,Paramètres!$A$1:$I$89,5,0)</f>
        <v>91.072799999999987</v>
      </c>
      <c r="EL39" s="13">
        <f t="shared" si="45"/>
        <v>24.823779817332358</v>
      </c>
      <c r="EM39" s="20">
        <f t="shared" si="19"/>
        <v>201.85320984852046</v>
      </c>
      <c r="EN39" s="59">
        <f t="shared" si="20"/>
        <v>495.18654318185378</v>
      </c>
      <c r="EO39" s="59">
        <f ca="1">AVERAGE(OFFSET($EN$3,0,0,'Données projet'!$E$15+1,1))-AVERAGE(OFFSET($H$3,0,0,'Données projet'!$E$15+1,1))</f>
        <v>230.58262378842818</v>
      </c>
      <c r="EP39" s="59">
        <f t="shared" si="46"/>
        <v>235.68746142880792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1.8168843299350208</v>
      </c>
      <c r="EX39" s="21">
        <f>EXP(-LN(2)/2)*EX38+(1-EXP(-LN(2)/2))/(LN(2)/2)*ER39*EU39*VLOOKUP('Données projet'!$B$15,Paramètres!$A$1:$I$89,3,0)*0.475*44/12</f>
        <v>3.2982774577218765</v>
      </c>
      <c r="EY39" s="22">
        <f t="shared" si="21"/>
        <v>5.1151617876568976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6</v>
      </c>
      <c r="FE39" s="12">
        <f>IF('Données projet'!$A$218&gt;35,FE38+FD39-FM38,IF(A39&lt;'Données projet'!$A$218,$FB$205^A39,IF(A39='Données projet'!$A$218,'Données projet'!$B$218,FE38+FD39-FM38)))</f>
        <v>114.99999999999997</v>
      </c>
      <c r="FF39" s="17">
        <f>FE39*VLOOKUP('Données projet'!$B$16,Paramètres!$A$1:$I$89,3,0)*VLOOKUP('Données projet'!$B$16,Paramètres!$A$1:$I$89,5,0)</f>
        <v>93.287999999999982</v>
      </c>
      <c r="FG39" s="13">
        <f t="shared" si="47"/>
        <v>25.356547829040977</v>
      </c>
      <c r="FH39" s="20">
        <f t="shared" si="22"/>
        <v>206.63925413557965</v>
      </c>
      <c r="FI39" s="59">
        <f t="shared" si="23"/>
        <v>499.97258746891293</v>
      </c>
      <c r="FJ39" s="59">
        <f ca="1">AVERAGE(OFFSET($FI$3,0,0,'Données projet'!$E$16+1,1))-AVERAGE(OFFSET($H$3,0,0,'Données projet'!$E$16+1,1))</f>
        <v>272.90535195666996</v>
      </c>
      <c r="FK39" s="59">
        <f t="shared" si="48"/>
        <v>222.25422164416898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1.0891723774999253</v>
      </c>
      <c r="FS39" s="21">
        <f>EXP(-LN(2)/2)*FS38+(1-EXP(-LN(2)/2))/(LN(2)/2)*FM39*FP39*VLOOKUP('Données projet'!$B$16,Paramètres!$A$1:$I$89,3,0)*0.475*44/12</f>
        <v>2.3282780762769133</v>
      </c>
      <c r="FT39" s="22">
        <f t="shared" si="24"/>
        <v>3.4174504537768389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384.05928630855732</v>
      </c>
      <c r="T40" s="59">
        <f t="shared" si="34"/>
        <v>279.93992813630513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6.2</v>
      </c>
      <c r="AI40" s="13">
        <f>IF('Données projet'!$A$62&gt;35,AI39+AH40-AQ39,IF(A40&lt;'Données projet'!$A$62,$AF$205^A40,IF(A40='Données projet'!$A$62,'Données projet'!$B$62,AI39+AH40-AQ39)))</f>
        <v>270.39999999999986</v>
      </c>
      <c r="AJ40" s="13">
        <f>AI40*VLOOKUP('Données projet'!$B$10,Paramètres!$A$1:$I$89,3,0)*VLOOKUP('Données projet'!$B$10,Paramètres!$A$1:$I$89,5,0)</f>
        <v>244.65791999999988</v>
      </c>
      <c r="AK40" s="13">
        <f t="shared" si="35"/>
        <v>59.44058075210863</v>
      </c>
      <c r="AL40" s="20">
        <f t="shared" si="4"/>
        <v>529.63822214325558</v>
      </c>
      <c r="AM40" s="59">
        <f t="shared" si="5"/>
        <v>822.97155547658895</v>
      </c>
      <c r="AN40" s="59">
        <f ca="1">AVERAGE(OFFSET($AM$3,0,0,'Données projet'!$E$10+1,1))-AVERAGE(OFFSET($H$3,0,0,'Données projet'!$E$10+1,1))</f>
        <v>366.69125512029831</v>
      </c>
      <c r="AO40" s="59">
        <f t="shared" si="36"/>
        <v>513.80016421153414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4.1263955409052349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4.1263955409052349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138.55296000000001</v>
      </c>
      <c r="BF40" s="13">
        <f t="shared" si="37"/>
        <v>35.965308766301796</v>
      </c>
      <c r="BG40" s="20">
        <f t="shared" si="7"/>
        <v>303.95265143464229</v>
      </c>
      <c r="BH40" s="59">
        <f t="shared" si="8"/>
        <v>597.28598476797561</v>
      </c>
      <c r="BI40" s="59">
        <f ca="1">AVERAGE(OFFSET($BH$3,0,0,'Données projet'!$E$11+1,1))-AVERAGE(OFFSET($H$3,0,0,'Données projet'!$E$11+1,1))</f>
        <v>354.24684313982857</v>
      </c>
      <c r="BJ40" s="59">
        <f t="shared" si="38"/>
        <v>322.65043486962185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5.2828247279567098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5.2828247279567098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9.3141025641025621</v>
      </c>
      <c r="BY40" s="12">
        <f>IF('Données projet'!$A$114&gt;35,BY39+BX40-CG39,IF(A40&lt;'Données projet'!$A$114,$BV$205^A40,IF(A40='Données projet'!$A$114,'Données projet'!$B$114,BY39+BX40-CG39)))</f>
        <v>120.19230769230771</v>
      </c>
      <c r="BZ40" s="13">
        <f>BY40*VLOOKUP('Données projet'!$B$12,Paramètres!$A$1:$I$89,3,0)*VLOOKUP('Données projet'!$B$12,Paramètres!$A$1:$I$89,5,0)</f>
        <v>116.25000000000001</v>
      </c>
      <c r="CA40" s="13">
        <f t="shared" si="39"/>
        <v>30.798763839454629</v>
      </c>
      <c r="CB40" s="20">
        <f t="shared" si="10"/>
        <v>256.10993035371683</v>
      </c>
      <c r="CC40" s="59">
        <f t="shared" si="11"/>
        <v>549.44326368705015</v>
      </c>
      <c r="CD40" s="59">
        <f ca="1">AVERAGE(OFFSET($CC$3,0,0,'Données projet'!$E$12+1,1))-AVERAGE(OFFSET($H$3,0,0,'Données projet'!$E$12+1,1))</f>
        <v>407.73540492005355</v>
      </c>
      <c r="CE40" s="59">
        <f t="shared" si="40"/>
        <v>296.29416764204774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129.84192000000002</v>
      </c>
      <c r="CV40" s="13">
        <f t="shared" si="41"/>
        <v>33.959829099416851</v>
      </c>
      <c r="CW40" s="20">
        <f t="shared" si="13"/>
        <v>285.288046348151</v>
      </c>
      <c r="CX40" s="59">
        <f t="shared" si="14"/>
        <v>578.62137968148431</v>
      </c>
      <c r="CY40" s="59">
        <f ca="1">AVERAGE(OFFSET($CX$3,0,0,'Données projet'!$E$13+1,1))-AVERAGE(OFFSET($H$3,0,0,'Données projet'!$E$13+1,1))</f>
        <v>299.10536994156814</v>
      </c>
      <c r="CZ40" s="59">
        <f t="shared" si="42"/>
        <v>292.57799203101769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2.7126134092060887</v>
      </c>
      <c r="DG40" s="21">
        <f>EXP(-LN(2)/25)*DG39+(1-EXP(-LN(2)/25))/(LN(2)/25)*Calculateur!DB40*Calculateur!DD40*VLOOKUP('Données projet'!$B$13,Paramètres!$A$1:$I$89,3,0)*0.475*44/12</f>
        <v>9.0462473439500766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11.758860753156165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129.84192000000002</v>
      </c>
      <c r="DQ40" s="13">
        <f t="shared" si="43"/>
        <v>33.959829099416851</v>
      </c>
      <c r="DR40" s="20">
        <f t="shared" si="16"/>
        <v>285.288046348151</v>
      </c>
      <c r="DS40" s="59">
        <f t="shared" si="17"/>
        <v>578.62137968148431</v>
      </c>
      <c r="DT40" s="59">
        <f ca="1">AVERAGE(OFFSET($DS$3,0,0,'Données projet'!$E$14+1,1))-AVERAGE(OFFSET($H$3,0,0,'Données projet'!$E$14+1,1))</f>
        <v>299.10536994156814</v>
      </c>
      <c r="DU40" s="59">
        <f t="shared" si="44"/>
        <v>292.57799203101769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2.7126134092060887</v>
      </c>
      <c r="EB40" s="21">
        <f>EXP(-LN(2)/25)*EB39+(1-EXP(-LN(2)/25))/(LN(2)/25)*Calculateur!DW40*Calculateur!DY40*VLOOKUP('Données projet'!$B$14,Paramètres!$A$1:$I$89,3,0)*0.475*44/12</f>
        <v>9.0462473439500766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11.758860753156165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7</v>
      </c>
      <c r="EJ40" s="12">
        <f>IF('Données projet'!$A$192&gt;35,EJ39+EI40-ER39,IF(A40&lt;'Données projet'!$A$192,$EG$205^A40,IF(A40='Données projet'!$A$192,'Données projet'!$B$192,EJ39+EI40-ER39)))</f>
        <v>145.99999999999997</v>
      </c>
      <c r="EK40" s="17">
        <f>EJ40*VLOOKUP('Données projet'!$B$15,Paramètres!$A$1:$I$89,3,0)*VLOOKUP('Données projet'!$B$15,Paramètres!$A$1:$I$89,5,0)</f>
        <v>95.659199999999984</v>
      </c>
      <c r="EL40" s="13">
        <f t="shared" si="45"/>
        <v>25.92520602338745</v>
      </c>
      <c r="EM40" s="20">
        <f t="shared" si="19"/>
        <v>211.75950715739978</v>
      </c>
      <c r="EN40" s="59">
        <f t="shared" si="20"/>
        <v>505.09284049073312</v>
      </c>
      <c r="EO40" s="59">
        <f ca="1">AVERAGE(OFFSET($EN$3,0,0,'Données projet'!$E$15+1,1))-AVERAGE(OFFSET($H$3,0,0,'Données projet'!$E$15+1,1))</f>
        <v>230.58262378842818</v>
      </c>
      <c r="EP40" s="59">
        <f t="shared" si="46"/>
        <v>235.68746142880792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1.7672015323871533</v>
      </c>
      <c r="EX40" s="21">
        <f>EXP(-LN(2)/2)*EX39+(1-EXP(-LN(2)/2))/(LN(2)/2)*ER40*EU40*VLOOKUP('Données projet'!$B$15,Paramètres!$A$1:$I$89,3,0)*0.475*44/12</f>
        <v>2.3322343565898653</v>
      </c>
      <c r="EY40" s="22">
        <f t="shared" si="21"/>
        <v>4.0994358889770188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6</v>
      </c>
      <c r="FE40" s="12">
        <f>IF('Données projet'!$A$218&gt;35,FE39+FD40-FM39,IF(A40&lt;'Données projet'!$A$218,$FB$205^A40,IF(A40='Données projet'!$A$218,'Données projet'!$B$218,FE39+FD40-FM39)))</f>
        <v>120.99999999999997</v>
      </c>
      <c r="FF40" s="17">
        <f>FE40*VLOOKUP('Données projet'!$B$16,Paramètres!$A$1:$I$89,3,0)*VLOOKUP('Données projet'!$B$16,Paramètres!$A$1:$I$89,5,0)</f>
        <v>98.155199999999979</v>
      </c>
      <c r="FG40" s="13">
        <f t="shared" si="47"/>
        <v>26.522024238465775</v>
      </c>
      <c r="FH40" s="20">
        <f t="shared" si="22"/>
        <v>217.14616554866117</v>
      </c>
      <c r="FI40" s="59">
        <f t="shared" si="23"/>
        <v>510.47949888199446</v>
      </c>
      <c r="FJ40" s="59">
        <f ca="1">AVERAGE(OFFSET($FI$3,0,0,'Données projet'!$E$16+1,1))-AVERAGE(OFFSET($H$3,0,0,'Données projet'!$E$16+1,1))</f>
        <v>272.90535195666996</v>
      </c>
      <c r="FK40" s="59">
        <f t="shared" si="48"/>
        <v>222.25422164416898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1.0593889015601039</v>
      </c>
      <c r="FS40" s="21">
        <f>EXP(-LN(2)/2)*FS39+(1-EXP(-LN(2)/2))/(LN(2)/2)*FM40*FP40*VLOOKUP('Données projet'!$B$16,Paramètres!$A$1:$I$89,3,0)*0.475*44/12</f>
        <v>1.6463412162233753</v>
      </c>
      <c r="FT40" s="22">
        <f t="shared" si="24"/>
        <v>2.7057301177834789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384.05928630855732</v>
      </c>
      <c r="T41" s="59">
        <f t="shared" si="34"/>
        <v>279.93992813630513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6.2</v>
      </c>
      <c r="AI41" s="13">
        <f>IF('Données projet'!$A$62&gt;35,AI40+AH41-AQ40,IF(A41&lt;'Données projet'!$A$62,$AF$205^A41,IF(A41='Données projet'!$A$62,'Données projet'!$B$62,AI40+AH41-AQ40)))</f>
        <v>276.59999999999985</v>
      </c>
      <c r="AJ41" s="13">
        <f>AI41*VLOOKUP('Données projet'!$B$10,Paramètres!$A$1:$I$89,3,0)*VLOOKUP('Données projet'!$B$10,Paramètres!$A$1:$I$89,5,0)</f>
        <v>250.26767999999987</v>
      </c>
      <c r="AK41" s="13">
        <f t="shared" si="35"/>
        <v>60.643256925083385</v>
      </c>
      <c r="AL41" s="20">
        <f t="shared" si="4"/>
        <v>541.50321514451991</v>
      </c>
      <c r="AM41" s="59">
        <f t="shared" si="5"/>
        <v>834.83654847785328</v>
      </c>
      <c r="AN41" s="59">
        <f ca="1">AVERAGE(OFFSET($AM$3,0,0,'Données projet'!$E$10+1,1))-AVERAGE(OFFSET($H$3,0,0,'Données projet'!$E$10+1,1))</f>
        <v>366.69125512029831</v>
      </c>
      <c r="AO41" s="59">
        <f t="shared" si="36"/>
        <v>513.80016421153414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4.0135590378414703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4.0135590378414703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146.24064000000001</v>
      </c>
      <c r="BF41" s="13">
        <f t="shared" si="37"/>
        <v>37.722999642090628</v>
      </c>
      <c r="BG41" s="20">
        <f t="shared" si="7"/>
        <v>320.40333904330788</v>
      </c>
      <c r="BH41" s="59">
        <f t="shared" si="8"/>
        <v>613.7366723766412</v>
      </c>
      <c r="BI41" s="59">
        <f ca="1">AVERAGE(OFFSET($BH$3,0,0,'Données projet'!$E$11+1,1))-AVERAGE(OFFSET($H$3,0,0,'Données projet'!$E$11+1,1))</f>
        <v>354.24684313982857</v>
      </c>
      <c r="BJ41" s="59">
        <f t="shared" si="38"/>
        <v>322.65043486962185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5.1383656079590549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5.1383656079590549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9.3141025641025621</v>
      </c>
      <c r="BY41" s="12">
        <f>IF('Données projet'!$A$114&gt;35,BY40+BX41-CG40,IF(A41&lt;'Données projet'!$A$114,$BV$205^A41,IF(A41='Données projet'!$A$114,'Données projet'!$B$114,BY40+BX41-CG40)))</f>
        <v>129.50641025641028</v>
      </c>
      <c r="BZ41" s="13">
        <f>BY41*VLOOKUP('Données projet'!$B$12,Paramètres!$A$1:$I$89,3,0)*VLOOKUP('Données projet'!$B$12,Paramètres!$A$1:$I$89,5,0)</f>
        <v>125.25860000000002</v>
      </c>
      <c r="CA41" s="13">
        <f t="shared" si="39"/>
        <v>32.898403201661836</v>
      </c>
      <c r="CB41" s="20">
        <f t="shared" si="10"/>
        <v>275.45678057622769</v>
      </c>
      <c r="CC41" s="59">
        <f t="shared" si="11"/>
        <v>568.790113909561</v>
      </c>
      <c r="CD41" s="59">
        <f ca="1">AVERAGE(OFFSET($CC$3,0,0,'Données projet'!$E$12+1,1))-AVERAGE(OFFSET($H$3,0,0,'Données projet'!$E$12+1,1))</f>
        <v>407.73540492005355</v>
      </c>
      <c r="CE41" s="59">
        <f t="shared" si="40"/>
        <v>296.29416764204774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137.47968000000003</v>
      </c>
      <c r="CV41" s="13">
        <f t="shared" si="41"/>
        <v>35.719026553355249</v>
      </c>
      <c r="CW41" s="20">
        <f t="shared" si="13"/>
        <v>301.65441391376049</v>
      </c>
      <c r="CX41" s="59">
        <f t="shared" si="14"/>
        <v>594.98774724709381</v>
      </c>
      <c r="CY41" s="59">
        <f ca="1">AVERAGE(OFFSET($CX$3,0,0,'Données projet'!$E$13+1,1))-AVERAGE(OFFSET($H$3,0,0,'Données projet'!$E$13+1,1))</f>
        <v>299.10536994156814</v>
      </c>
      <c r="CZ41" s="59">
        <f t="shared" si="42"/>
        <v>292.57799203101769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2.6594207147823656</v>
      </c>
      <c r="DG41" s="21">
        <f>EXP(-LN(2)/25)*DG40+(1-EXP(-LN(2)/25))/(LN(2)/25)*Calculateur!DB41*Calculateur!DD41*VLOOKUP('Données projet'!$B$13,Paramètres!$A$1:$I$89,3,0)*0.475*44/12</f>
        <v>8.7988772346082893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11.458297949390655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137.47968000000003</v>
      </c>
      <c r="DQ41" s="13">
        <f t="shared" si="43"/>
        <v>35.719026553355249</v>
      </c>
      <c r="DR41" s="20">
        <f t="shared" si="16"/>
        <v>301.65441391376049</v>
      </c>
      <c r="DS41" s="59">
        <f t="shared" si="17"/>
        <v>594.98774724709381</v>
      </c>
      <c r="DT41" s="59">
        <f ca="1">AVERAGE(OFFSET($DS$3,0,0,'Données projet'!$E$14+1,1))-AVERAGE(OFFSET($H$3,0,0,'Données projet'!$E$14+1,1))</f>
        <v>299.10536994156814</v>
      </c>
      <c r="DU41" s="59">
        <f t="shared" si="44"/>
        <v>292.57799203101769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2.6594207147823656</v>
      </c>
      <c r="EB41" s="21">
        <f>EXP(-LN(2)/25)*EB40+(1-EXP(-LN(2)/25))/(LN(2)/25)*Calculateur!DW41*Calculateur!DY41*VLOOKUP('Données projet'!$B$14,Paramètres!$A$1:$I$89,3,0)*0.475*44/12</f>
        <v>8.7988772346082893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11.458297949390655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7</v>
      </c>
      <c r="EJ41" s="12">
        <f>IF('Données projet'!$A$192&gt;35,EJ40+EI41-ER40,IF(A41&lt;'Données projet'!$A$192,$EG$205^A41,IF(A41='Données projet'!$A$192,'Données projet'!$B$192,EJ40+EI41-ER40)))</f>
        <v>152.99999999999997</v>
      </c>
      <c r="EK41" s="17">
        <f>EJ41*VLOOKUP('Données projet'!$B$15,Paramètres!$A$1:$I$89,3,0)*VLOOKUP('Données projet'!$B$15,Paramètres!$A$1:$I$89,5,0)</f>
        <v>100.2456</v>
      </c>
      <c r="EL41" s="13">
        <f t="shared" si="45"/>
        <v>27.020500005754936</v>
      </c>
      <c r="EM41" s="20">
        <f t="shared" si="19"/>
        <v>221.65512417668984</v>
      </c>
      <c r="EN41" s="59">
        <f t="shared" si="20"/>
        <v>514.98845751002318</v>
      </c>
      <c r="EO41" s="59">
        <f ca="1">AVERAGE(OFFSET($EN$3,0,0,'Données projet'!$E$15+1,1))-AVERAGE(OFFSET($H$3,0,0,'Données projet'!$E$15+1,1))</f>
        <v>230.58262378842818</v>
      </c>
      <c r="EP41" s="59">
        <f t="shared" si="46"/>
        <v>235.68746142880792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1.718877313550937</v>
      </c>
      <c r="EX41" s="21">
        <f>EXP(-LN(2)/2)*EX40+(1-EXP(-LN(2)/2))/(LN(2)/2)*ER41*EU41*VLOOKUP('Données projet'!$B$15,Paramètres!$A$1:$I$89,3,0)*0.475*44/12</f>
        <v>1.6491387288609385</v>
      </c>
      <c r="EY41" s="22">
        <f t="shared" si="21"/>
        <v>3.3680160424118757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6</v>
      </c>
      <c r="FE41" s="12">
        <f>IF('Données projet'!$A$218&gt;35,FE40+FD41-FM40,IF(A41&lt;'Données projet'!$A$218,$FB$205^A41,IF(A41='Données projet'!$A$218,'Données projet'!$B$218,FE40+FD41-FM40)))</f>
        <v>126.99999999999997</v>
      </c>
      <c r="FF41" s="17">
        <f>FE41*VLOOKUP('Données projet'!$B$16,Paramètres!$A$1:$I$89,3,0)*VLOOKUP('Données projet'!$B$16,Paramètres!$A$1:$I$89,5,0)</f>
        <v>103.02239999999999</v>
      </c>
      <c r="FG41" s="13">
        <f t="shared" si="47"/>
        <v>27.680790106744631</v>
      </c>
      <c r="FH41" s="20">
        <f t="shared" si="22"/>
        <v>227.64138943591354</v>
      </c>
      <c r="FI41" s="59">
        <f t="shared" si="23"/>
        <v>520.97472276924691</v>
      </c>
      <c r="FJ41" s="59">
        <f ca="1">AVERAGE(OFFSET($FI$3,0,0,'Données projet'!$E$16+1,1))-AVERAGE(OFFSET($H$3,0,0,'Données projet'!$E$16+1,1))</f>
        <v>272.90535195666996</v>
      </c>
      <c r="FK41" s="59">
        <f t="shared" si="48"/>
        <v>222.25422164416898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1.0304198563361018</v>
      </c>
      <c r="FS41" s="21">
        <f>EXP(-LN(2)/2)*FS40+(1-EXP(-LN(2)/2))/(LN(2)/2)*FM41*FP41*VLOOKUP('Données projet'!$B$16,Paramètres!$A$1:$I$89,3,0)*0.475*44/12</f>
        <v>1.1641390381384569</v>
      </c>
      <c r="FT41" s="22">
        <f t="shared" si="24"/>
        <v>2.1945588944745587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384.05928630855732</v>
      </c>
      <c r="T42" s="59">
        <f t="shared" si="34"/>
        <v>279.93992813630513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6.2</v>
      </c>
      <c r="AI42" s="13">
        <f>IF('Données projet'!$A$62&gt;35,AI41+AH42-AQ41,IF(A42&lt;'Données projet'!$A$62,$AF$205^A42,IF(A42='Données projet'!$A$62,'Données projet'!$B$62,AI41+AH42-AQ41)))</f>
        <v>282.79999999999984</v>
      </c>
      <c r="AJ42" s="13">
        <f>AI42*VLOOKUP('Données projet'!$B$10,Paramètres!$A$1:$I$89,3,0)*VLOOKUP('Données projet'!$B$10,Paramètres!$A$1:$I$89,5,0)</f>
        <v>255.87743999999984</v>
      </c>
      <c r="AK42" s="13">
        <f t="shared" si="35"/>
        <v>61.842798995505277</v>
      </c>
      <c r="AL42" s="20">
        <f t="shared" si="4"/>
        <v>553.36274958383808</v>
      </c>
      <c r="AM42" s="59">
        <f t="shared" si="5"/>
        <v>846.69608291717145</v>
      </c>
      <c r="AN42" s="59">
        <f ca="1">AVERAGE(OFFSET($AM$3,0,0,'Données projet'!$E$10+1,1))-AVERAGE(OFFSET($H$3,0,0,'Données projet'!$E$10+1,1))</f>
        <v>366.69125512029831</v>
      </c>
      <c r="AO42" s="59">
        <f t="shared" si="36"/>
        <v>513.80016421153414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3.9038080548877985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3.9038080548877985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153.92832000000004</v>
      </c>
      <c r="BF42" s="13">
        <f t="shared" si="37"/>
        <v>39.469962836517794</v>
      </c>
      <c r="BG42" s="20">
        <f t="shared" si="7"/>
        <v>336.83534260693523</v>
      </c>
      <c r="BH42" s="59">
        <f t="shared" si="8"/>
        <v>630.16867594026849</v>
      </c>
      <c r="BI42" s="59">
        <f ca="1">AVERAGE(OFFSET($BH$3,0,0,'Données projet'!$E$11+1,1))-AVERAGE(OFFSET($H$3,0,0,'Données projet'!$E$11+1,1))</f>
        <v>354.24684313982857</v>
      </c>
      <c r="BJ42" s="59">
        <f t="shared" si="38"/>
        <v>322.65043486962185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4.9978567301945116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4.9978567301945116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9.3141025641025621</v>
      </c>
      <c r="BY42" s="12">
        <f>IF('Données projet'!$A$114&gt;35,BY41+BX42-CG41,IF(A42&lt;'Données projet'!$A$114,$BV$205^A42,IF(A42='Données projet'!$A$114,'Données projet'!$B$114,BY41+BX42-CG41)))</f>
        <v>138.82051282051285</v>
      </c>
      <c r="BZ42" s="13">
        <f>BY42*VLOOKUP('Données projet'!$B$12,Paramètres!$A$1:$I$89,3,0)*VLOOKUP('Données projet'!$B$12,Paramètres!$A$1:$I$89,5,0)</f>
        <v>134.26720000000003</v>
      </c>
      <c r="CA42" s="13">
        <f t="shared" si="39"/>
        <v>34.980522888051922</v>
      </c>
      <c r="CB42" s="20">
        <f t="shared" si="10"/>
        <v>294.77311736335713</v>
      </c>
      <c r="CC42" s="59">
        <f t="shared" si="11"/>
        <v>588.10645069669044</v>
      </c>
      <c r="CD42" s="59">
        <f ca="1">AVERAGE(OFFSET($CC$3,0,0,'Données projet'!$E$12+1,1))-AVERAGE(OFFSET($H$3,0,0,'Données projet'!$E$12+1,1))</f>
        <v>407.73540492005355</v>
      </c>
      <c r="CE42" s="59">
        <f t="shared" si="40"/>
        <v>296.29416764204774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145.11744000000002</v>
      </c>
      <c r="CV42" s="13">
        <f t="shared" si="41"/>
        <v>37.466878406916173</v>
      </c>
      <c r="CW42" s="20">
        <f t="shared" si="13"/>
        <v>318.00102122537902</v>
      </c>
      <c r="CX42" s="59">
        <f t="shared" si="14"/>
        <v>611.33435455871233</v>
      </c>
      <c r="CY42" s="59">
        <f ca="1">AVERAGE(OFFSET($CX$3,0,0,'Données projet'!$E$13+1,1))-AVERAGE(OFFSET($H$3,0,0,'Données projet'!$E$13+1,1))</f>
        <v>299.10536994156814</v>
      </c>
      <c r="CZ42" s="59">
        <f t="shared" si="42"/>
        <v>292.57799203101769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2.6072710966519517</v>
      </c>
      <c r="DG42" s="21">
        <f>EXP(-LN(2)/25)*DG41+(1-EXP(-LN(2)/25))/(LN(2)/25)*Calculateur!DB42*Calculateur!DD42*VLOOKUP('Données projet'!$B$13,Paramètres!$A$1:$I$89,3,0)*0.475*44/12</f>
        <v>8.5582714739150827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11.165542570567034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145.11744000000002</v>
      </c>
      <c r="DQ42" s="13">
        <f t="shared" si="43"/>
        <v>37.466878406916173</v>
      </c>
      <c r="DR42" s="20">
        <f t="shared" si="16"/>
        <v>318.00102122537902</v>
      </c>
      <c r="DS42" s="59">
        <f t="shared" si="17"/>
        <v>611.33435455871233</v>
      </c>
      <c r="DT42" s="59">
        <f ca="1">AVERAGE(OFFSET($DS$3,0,0,'Données projet'!$E$14+1,1))-AVERAGE(OFFSET($H$3,0,0,'Données projet'!$E$14+1,1))</f>
        <v>299.10536994156814</v>
      </c>
      <c r="DU42" s="59">
        <f t="shared" si="44"/>
        <v>292.57799203101769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2.6072710966519517</v>
      </c>
      <c r="EB42" s="21">
        <f>EXP(-LN(2)/25)*EB41+(1-EXP(-LN(2)/25))/(LN(2)/25)*Calculateur!DW42*Calculateur!DY42*VLOOKUP('Données projet'!$B$14,Paramètres!$A$1:$I$89,3,0)*0.475*44/12</f>
        <v>8.5582714739150827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11.165542570567034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7</v>
      </c>
      <c r="EJ42" s="12">
        <f>IF('Données projet'!$A$192&gt;35,EJ41+EI42-ER41,IF(A42&lt;'Données projet'!$A$192,$EG$205^A42,IF(A42='Données projet'!$A$192,'Données projet'!$B$192,EJ41+EI42-ER41)))</f>
        <v>159.99999999999997</v>
      </c>
      <c r="EK42" s="17">
        <f>EJ42*VLOOKUP('Données projet'!$B$15,Paramètres!$A$1:$I$89,3,0)*VLOOKUP('Données projet'!$B$15,Paramètres!$A$1:$I$89,5,0)</f>
        <v>104.83199999999998</v>
      </c>
      <c r="EL42" s="13">
        <f t="shared" si="45"/>
        <v>28.109974371137692</v>
      </c>
      <c r="EM42" s="20">
        <f t="shared" si="19"/>
        <v>231.54060536306474</v>
      </c>
      <c r="EN42" s="59">
        <f t="shared" si="20"/>
        <v>524.873938696398</v>
      </c>
      <c r="EO42" s="59">
        <f ca="1">AVERAGE(OFFSET($EN$3,0,0,'Données projet'!$E$15+1,1))-AVERAGE(OFFSET($H$3,0,0,'Données projet'!$E$15+1,1))</f>
        <v>230.58262378842818</v>
      </c>
      <c r="EP42" s="59">
        <f t="shared" si="46"/>
        <v>235.68746142880792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1.6718745230200573</v>
      </c>
      <c r="EX42" s="21">
        <f>EXP(-LN(2)/2)*EX41+(1-EXP(-LN(2)/2))/(LN(2)/2)*ER42*EU42*VLOOKUP('Données projet'!$B$15,Paramètres!$A$1:$I$89,3,0)*0.475*44/12</f>
        <v>1.1661171782949329</v>
      </c>
      <c r="EY42" s="22">
        <f t="shared" si="21"/>
        <v>2.8379917013149902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6</v>
      </c>
      <c r="FE42" s="12">
        <f>IF('Données projet'!$A$218&gt;35,FE41+FD42-FM41,IF(A42&lt;'Données projet'!$A$218,$FB$205^A42,IF(A42='Données projet'!$A$218,'Données projet'!$B$218,FE41+FD42-FM41)))</f>
        <v>132.99999999999997</v>
      </c>
      <c r="FF42" s="17">
        <f>FE42*VLOOKUP('Données projet'!$B$16,Paramètres!$A$1:$I$89,3,0)*VLOOKUP('Données projet'!$B$16,Paramètres!$A$1:$I$89,5,0)</f>
        <v>107.88959999999997</v>
      </c>
      <c r="FG42" s="13">
        <f t="shared" si="47"/>
        <v>28.833198667365593</v>
      </c>
      <c r="FH42" s="20">
        <f t="shared" si="22"/>
        <v>238.12554101232834</v>
      </c>
      <c r="FI42" s="59">
        <f t="shared" si="23"/>
        <v>531.45887434566168</v>
      </c>
      <c r="FJ42" s="59">
        <f ca="1">AVERAGE(OFFSET($FI$3,0,0,'Données projet'!$E$16+1,1))-AVERAGE(OFFSET($H$3,0,0,'Données projet'!$E$16+1,1))</f>
        <v>272.90535195666996</v>
      </c>
      <c r="FK42" s="59">
        <f t="shared" si="48"/>
        <v>222.25422164416898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1.0022429711771659</v>
      </c>
      <c r="FS42" s="21">
        <f>EXP(-LN(2)/2)*FS41+(1-EXP(-LN(2)/2))/(LN(2)/2)*FM42*FP42*VLOOKUP('Données projet'!$B$16,Paramètres!$A$1:$I$89,3,0)*0.475*44/12</f>
        <v>0.82317060811168774</v>
      </c>
      <c r="FT42" s="22">
        <f t="shared" si="24"/>
        <v>1.8254135792888535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384.05928630855732</v>
      </c>
      <c r="T43" s="59">
        <f t="shared" si="34"/>
        <v>279.93992813630513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289</v>
      </c>
      <c r="AG43" s="12">
        <f>VLOOKUP(A43,'Données projet'!$A$61:$I$81,9,0)</f>
        <v>6.2</v>
      </c>
      <c r="AH43" s="12">
        <f t="array" ref="AH43">INDEX(AG:AG,MIN(IF(ISNUMBER(AG43:AG239),ROW(AG43:AG239),"")))</f>
        <v>6.2</v>
      </c>
      <c r="AI43" s="13">
        <f>IF('Données projet'!$A$62&gt;35,AI42+AH43-AQ42,IF(A43&lt;'Données projet'!$A$62,$AF$205^A43,IF(A43='Données projet'!$A$62,'Données projet'!$B$62,AI42+AH43-AQ42)))</f>
        <v>288.99999999999983</v>
      </c>
      <c r="AJ43" s="13">
        <f>AI43*VLOOKUP('Données projet'!$B$10,Paramètres!$A$1:$I$89,3,0)*VLOOKUP('Données projet'!$B$10,Paramètres!$A$1:$I$89,5,0)</f>
        <v>261.48719999999986</v>
      </c>
      <c r="AK43" s="13">
        <f t="shared" si="35"/>
        <v>63.039283586802334</v>
      </c>
      <c r="AL43" s="20">
        <f t="shared" si="4"/>
        <v>565.21695891368051</v>
      </c>
      <c r="AM43" s="59">
        <f t="shared" si="5"/>
        <v>858.55029224701389</v>
      </c>
      <c r="AN43" s="59">
        <f ca="1">AVERAGE(OFFSET($AM$3,0,0,'Données projet'!$E$10+1,1))-AVERAGE(OFFSET($H$3,0,0,'Données projet'!$E$10+1,1))</f>
        <v>366.69125512029831</v>
      </c>
      <c r="AO43" s="59">
        <f t="shared" si="36"/>
        <v>513.80016421153414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7</v>
      </c>
      <c r="AR43" s="16">
        <f>IF(ISNA(VLOOKUP(A43,'Données projet'!$A$61:$I$81,5,0)),0%,VLOOKUP(A43,'Données projet'!$A$61:$I$81,5,0)*VLOOKUP('Données projet'!$B$10,Paramètres!$A$1:$I$89,7,0))</f>
        <v>0.09</v>
      </c>
      <c r="AS43" s="16">
        <f>IF(ISNA(VLOOKUP(A43,'Données projet'!$A$61:$I$81,6,0)),0%,VLOOKUP(A43,'Données projet'!$A$61:$I$81,6,0)*VLOOKUP('Données projet'!$B$10,Paramètres!$A$1:$I$89,7,0))</f>
        <v>0.12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0.63014464762289035</v>
      </c>
      <c r="AV43" s="21">
        <f>EXP(-LN(2)/25)*AV42+(1-EXP(-LN(2)/25))/(LN(2)/25)*Calculateur!AQ43*Calculateur!AS43*VLOOKUP('Données projet'!$B$10,Paramètres!$A$1:$I$89,3,0)*0.475*44/12</f>
        <v>4.6339429223895676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5.2640875700124576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161.61600000000004</v>
      </c>
      <c r="BF43" s="13">
        <f t="shared" si="37"/>
        <v>41.20679526204917</v>
      </c>
      <c r="BG43" s="20">
        <f t="shared" si="7"/>
        <v>353.24970174806907</v>
      </c>
      <c r="BH43" s="59">
        <f t="shared" si="8"/>
        <v>646.58303508140239</v>
      </c>
      <c r="BI43" s="59">
        <f ca="1">AVERAGE(OFFSET($BH$3,0,0,'Données projet'!$E$11+1,1))-AVERAGE(OFFSET($H$3,0,0,'Données projet'!$E$11+1,1))</f>
        <v>354.24684313982857</v>
      </c>
      <c r="BJ43" s="59">
        <f t="shared" si="38"/>
        <v>322.65043486962185</v>
      </c>
      <c r="BK43" s="15">
        <f>IF(ISNA(VLOOKUP(A43,'Données projet'!$A$87:$I$107,3,0)),0,VLOOKUP(A43,'Données projet'!$A$87:$I$107,3,0))</f>
        <v>5</v>
      </c>
      <c r="BL43" s="15" t="str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10.445231117655489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10.445231117655489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9.3141025641025621</v>
      </c>
      <c r="BY43" s="12">
        <f>IF('Données projet'!$A$114&gt;35,BY42+BX43-CG42,IF(A43&lt;'Données projet'!$A$114,$BV$205^A43,IF(A43='Données projet'!$A$114,'Données projet'!$B$114,BY42+BX43-CG42)))</f>
        <v>148.13461538461542</v>
      </c>
      <c r="BZ43" s="13">
        <f>BY43*VLOOKUP('Données projet'!$B$12,Paramètres!$A$1:$I$89,3,0)*VLOOKUP('Données projet'!$B$12,Paramètres!$A$1:$I$89,5,0)</f>
        <v>143.27580000000003</v>
      </c>
      <c r="CA43" s="13">
        <f t="shared" si="39"/>
        <v>37.046432118080858</v>
      </c>
      <c r="CB43" s="20">
        <f t="shared" si="10"/>
        <v>314.06122093899086</v>
      </c>
      <c r="CC43" s="59">
        <f t="shared" si="11"/>
        <v>607.39455427232417</v>
      </c>
      <c r="CD43" s="59">
        <f ca="1">AVERAGE(OFFSET($CC$3,0,0,'Données projet'!$E$12+1,1))-AVERAGE(OFFSET($H$3,0,0,'Données projet'!$E$12+1,1))</f>
        <v>407.73540492005355</v>
      </c>
      <c r="CE43" s="59">
        <f t="shared" si="40"/>
        <v>296.29416764204774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152.7552</v>
      </c>
      <c r="CV43" s="13">
        <f t="shared" si="41"/>
        <v>39.204049895729561</v>
      </c>
      <c r="CW43" s="20">
        <f t="shared" si="13"/>
        <v>334.32902690172892</v>
      </c>
      <c r="CX43" s="59">
        <f t="shared" si="14"/>
        <v>627.66236023506224</v>
      </c>
      <c r="CY43" s="59">
        <f ca="1">AVERAGE(OFFSET($CX$3,0,0,'Données projet'!$E$13+1,1))-AVERAGE(OFFSET($H$3,0,0,'Données projet'!$E$13+1,1))</f>
        <v>299.10536994156814</v>
      </c>
      <c r="CZ43" s="59">
        <f t="shared" si="42"/>
        <v>292.57799203101769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0.20670000000000002</v>
      </c>
      <c r="DD43" s="16">
        <f>IF(ISNA(VLOOKUP(A43,'Données projet'!$A$139:$I$159,6,0)),0%,VLOOKUP(A43,'Données projet'!$A$139:$I$159,6,0)*VLOOKUP('Données projet'!$B$13,Paramètres!$A$1:$I$89,7,0))</f>
        <v>0.20670000000000002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7.6464091059710979</v>
      </c>
      <c r="DG43" s="21">
        <f>EXP(-LN(2)/25)*DG42+(1-EXP(-LN(2)/25))/(LN(2)/25)*Calculateur!DB43*Calculateur!DD43*VLOOKUP('Données projet'!$B$13,Paramètres!$A$1:$I$89,3,0)*0.475*44/12</f>
        <v>13.39446778277841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21.040876888749509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152.7552</v>
      </c>
      <c r="DQ43" s="13">
        <f t="shared" si="43"/>
        <v>39.204049895729561</v>
      </c>
      <c r="DR43" s="20">
        <f t="shared" si="16"/>
        <v>334.32902690172892</v>
      </c>
      <c r="DS43" s="59">
        <f t="shared" si="17"/>
        <v>627.66236023506224</v>
      </c>
      <c r="DT43" s="59">
        <f ca="1">AVERAGE(OFFSET($DS$3,0,0,'Données projet'!$E$14+1,1))-AVERAGE(OFFSET($H$3,0,0,'Données projet'!$E$14+1,1))</f>
        <v>299.10536994156814</v>
      </c>
      <c r="DU43" s="59">
        <f t="shared" si="44"/>
        <v>292.57799203101769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0.20670000000000002</v>
      </c>
      <c r="DY43" s="16">
        <f>IF(ISNA(VLOOKUP(A43,'Données projet'!$A$165:$I$185,6,0)),0%,VLOOKUP(A43,'Données projet'!$A$165:$I$185,6,0)*VLOOKUP('Données projet'!$B$14,Paramètres!$A$1:$I$89,7,0))</f>
        <v>0.20670000000000002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7.6464091059710979</v>
      </c>
      <c r="EB43" s="21">
        <f>EXP(-LN(2)/25)*EB42+(1-EXP(-LN(2)/25))/(LN(2)/25)*Calculateur!DW43*Calculateur!DY43*VLOOKUP('Données projet'!$B$14,Paramètres!$A$1:$I$89,3,0)*0.475*44/12</f>
        <v>13.39446778277841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21.040876888749509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167</v>
      </c>
      <c r="EH43" s="12">
        <f>VLOOKUP(A43,'Données projet'!$A$191:$I$211,9,0)</f>
        <v>7</v>
      </c>
      <c r="EI43" s="12">
        <f t="array" ref="EI43">INDEX(EH:EH,MIN(IF(ISNUMBER(EH43:EH239),ROW(EH43:EH239),"")))</f>
        <v>7</v>
      </c>
      <c r="EJ43" s="12">
        <f>IF('Données projet'!$A$192&gt;35,EJ42+EI43-ER42,IF(A43&lt;'Données projet'!$A$192,$EG$205^A43,IF(A43='Données projet'!$A$192,'Données projet'!$B$192,EJ42+EI43-ER42)))</f>
        <v>166.99999999999997</v>
      </c>
      <c r="EK43" s="17">
        <f>EJ43*VLOOKUP('Données projet'!$B$15,Paramètres!$A$1:$I$89,3,0)*VLOOKUP('Données projet'!$B$15,Paramètres!$A$1:$I$89,5,0)</f>
        <v>109.41839999999998</v>
      </c>
      <c r="EL43" s="13">
        <f t="shared" si="45"/>
        <v>29.193912826430967</v>
      </c>
      <c r="EM43" s="20">
        <f t="shared" si="19"/>
        <v>241.41644483936719</v>
      </c>
      <c r="EN43" s="59">
        <f t="shared" si="20"/>
        <v>534.74977817270053</v>
      </c>
      <c r="EO43" s="59">
        <f ca="1">AVERAGE(OFFSET($EN$3,0,0,'Données projet'!$E$15+1,1))-AVERAGE(OFFSET($H$3,0,0,'Données projet'!$E$15+1,1))</f>
        <v>230.58262378842818</v>
      </c>
      <c r="EP43" s="59">
        <f t="shared" si="46"/>
        <v>235.68746142880792</v>
      </c>
      <c r="EQ43" s="15">
        <f>IF(ISNA(VLOOKUP(A43,'Données projet'!$A$191:$I$211,3,0)),0,VLOOKUP(A43,'Données projet'!$A$191:$I$211,3,0))</f>
        <v>7</v>
      </c>
      <c r="ER43" s="15">
        <f>IF(ISNA(VLOOKUP(A43,'Données projet'!$A$191:$I$211,4,0)),0,VLOOKUP(A43,'Données projet'!$A$191:$I$211,4,0))</f>
        <v>22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4.3000000000000003E-2</v>
      </c>
      <c r="EU43" s="16">
        <f>IF(ISNA(VLOOKUP(A43,'Données projet'!$A$191:$I$211,7,0)),0%,VLOOKUP(A43,'Données projet'!$A$191:$I$211,7,0))</f>
        <v>0.3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2.3086509314715036</v>
      </c>
      <c r="EX43" s="21">
        <f>EXP(-LN(2)/2)*EX42+(1-EXP(-LN(2)/2))/(LN(2)/2)*ER43*EU43*VLOOKUP('Données projet'!$B$15,Paramètres!$A$1:$I$89,3,0)*0.475*44/12</f>
        <v>4.9046816717968413</v>
      </c>
      <c r="EY43" s="22">
        <f t="shared" si="21"/>
        <v>7.2133326032683449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139</v>
      </c>
      <c r="FC43" s="12">
        <f>VLOOKUP(A43,'Données projet'!$A$217:$I$237,9,0)</f>
        <v>6</v>
      </c>
      <c r="FD43" s="12">
        <f t="array" ref="FD43">INDEX(FC:FC,MIN(IF(ISNUMBER(FC43:FC239),ROW(FC43:FC239),"")))</f>
        <v>6</v>
      </c>
      <c r="FE43" s="12">
        <f>IF('Données projet'!$A$218&gt;35,FE42+FD43-FM42,IF(A43&lt;'Données projet'!$A$218,$FB$205^A43,IF(A43='Données projet'!$A$218,'Données projet'!$B$218,FE42+FD43-FM42)))</f>
        <v>138.99999999999997</v>
      </c>
      <c r="FF43" s="17">
        <f>FE43*VLOOKUP('Données projet'!$B$16,Paramètres!$A$1:$I$89,3,0)*VLOOKUP('Données projet'!$B$16,Paramètres!$A$1:$I$89,5,0)</f>
        <v>112.75679999999998</v>
      </c>
      <c r="FG43" s="13">
        <f t="shared" si="47"/>
        <v>29.979569481474449</v>
      </c>
      <c r="FH43" s="20">
        <f t="shared" si="22"/>
        <v>248.59917684690132</v>
      </c>
      <c r="FI43" s="59">
        <f t="shared" si="23"/>
        <v>541.93251018023466</v>
      </c>
      <c r="FJ43" s="59">
        <f ca="1">AVERAGE(OFFSET($FI$3,0,0,'Données projet'!$E$16+1,1))-AVERAGE(OFFSET($H$3,0,0,'Données projet'!$E$16+1,1))</f>
        <v>272.90535195666996</v>
      </c>
      <c r="FK43" s="59">
        <f t="shared" si="48"/>
        <v>222.25422164416898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13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4.3000000000000003E-2</v>
      </c>
      <c r="FP43" s="16">
        <f>IF(ISNA(VLOOKUP(A43,'Données projet'!$A$217:$I$237,7,0)),0%,VLOOKUP(A43,'Données projet'!$A$217:$I$237,7,0))</f>
        <v>0.3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1.4741503072791604</v>
      </c>
      <c r="FS43" s="21">
        <f>EXP(-LN(2)/2)*FS42+(1-EXP(-LN(2)/2))/(LN(2)/2)*FM43*FP43*VLOOKUP('Données projet'!$B$16,Paramètres!$A$1:$I$89,3,0)*0.475*44/12</f>
        <v>3.5670867482680029</v>
      </c>
      <c r="FT43" s="22">
        <f t="shared" si="24"/>
        <v>5.0412370555471631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384.05928630855732</v>
      </c>
      <c r="T44" s="59">
        <f t="shared" si="34"/>
        <v>279.93992813630513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</v>
      </c>
      <c r="AI44" s="13">
        <f>IF('Données projet'!$A$62&gt;35,AI43+AH44-AQ43,IF(A44&lt;'Données projet'!$A$62,$AF$205^A44,IF(A44='Données projet'!$A$62,'Données projet'!$B$62,AI43+AH44-AQ43)))</f>
        <v>287.99999999999983</v>
      </c>
      <c r="AJ44" s="13">
        <f>AI44*VLOOKUP('Données projet'!$B$10,Paramètres!$A$1:$I$89,3,0)*VLOOKUP('Données projet'!$B$10,Paramètres!$A$1:$I$89,5,0)</f>
        <v>260.58239999999984</v>
      </c>
      <c r="AK44" s="13">
        <f t="shared" si="35"/>
        <v>62.84650592989685</v>
      </c>
      <c r="AL44" s="20">
        <f t="shared" si="4"/>
        <v>563.30534449457014</v>
      </c>
      <c r="AM44" s="59">
        <f t="shared" si="5"/>
        <v>856.63867782790339</v>
      </c>
      <c r="AN44" s="59">
        <f ca="1">AVERAGE(OFFSET($AM$3,0,0,'Données projet'!$E$10+1,1))-AVERAGE(OFFSET($H$3,0,0,'Données projet'!$E$10+1,1))</f>
        <v>366.69125512029831</v>
      </c>
      <c r="AO44" s="59">
        <f t="shared" si="36"/>
        <v>513.80016421153414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0.61778789543328905</v>
      </c>
      <c r="AV44" s="21">
        <f>EXP(-LN(2)/25)*AV43+(1-EXP(-LN(2)/25))/(LN(2)/25)*Calculateur!AQ44*Calculateur!AS44*VLOOKUP('Données projet'!$B$10,Paramètres!$A$1:$I$89,3,0)*0.475*44/12</f>
        <v>4.5072275094883576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5.1250154049216468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145.01760000000004</v>
      </c>
      <c r="BF44" s="13">
        <f t="shared" si="37"/>
        <v>37.444100932065233</v>
      </c>
      <c r="BG44" s="20">
        <f t="shared" si="7"/>
        <v>317.78746245668032</v>
      </c>
      <c r="BH44" s="59">
        <f t="shared" si="8"/>
        <v>611.12079579001363</v>
      </c>
      <c r="BI44" s="59">
        <f ca="1">AVERAGE(OFFSET($BH$3,0,0,'Données projet'!$E$11+1,1))-AVERAGE(OFFSET($H$3,0,0,'Données projet'!$E$11+1,1))</f>
        <v>354.24684313982857</v>
      </c>
      <c r="BJ44" s="59">
        <f t="shared" si="38"/>
        <v>322.65043486962185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10.159605723452367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10.159605723452367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157.44871794871796</v>
      </c>
      <c r="BW44" s="12">
        <f>VLOOKUP(A44,'Données projet'!$A$113:$I$133,9,0)</f>
        <v>9.3141025641025621</v>
      </c>
      <c r="BX44" s="12">
        <f t="array" ref="BX44">INDEX(BW:BW,MIN(IF(ISNUMBER(BW44:BW240),ROW(BW44:BW240),"")))</f>
        <v>9.3141025641025621</v>
      </c>
      <c r="BY44" s="12">
        <f>IF('Données projet'!$A$114&gt;35,BY43+BX44-CG43,IF(A44&lt;'Données projet'!$A$114,$BV$205^A44,IF(A44='Données projet'!$A$114,'Données projet'!$B$114,BY43+BX44-CG43)))</f>
        <v>157.44871794871798</v>
      </c>
      <c r="BZ44" s="13">
        <f>BY44*VLOOKUP('Données projet'!$B$12,Paramètres!$A$1:$I$89,3,0)*VLOOKUP('Données projet'!$B$12,Paramètres!$A$1:$I$89,5,0)</f>
        <v>152.28440000000003</v>
      </c>
      <c r="CA44" s="13">
        <f t="shared" si="39"/>
        <v>39.097266168449572</v>
      </c>
      <c r="CB44" s="20">
        <f t="shared" si="10"/>
        <v>333.32306857671642</v>
      </c>
      <c r="CC44" s="59">
        <f t="shared" si="11"/>
        <v>626.65640191004968</v>
      </c>
      <c r="CD44" s="59">
        <f ca="1">AVERAGE(OFFSET($CC$3,0,0,'Données projet'!$E$12+1,1))-AVERAGE(OFFSET($H$3,0,0,'Données projet'!$E$12+1,1))</f>
        <v>407.73540492005355</v>
      </c>
      <c r="CE44" s="59">
        <f t="shared" si="40"/>
        <v>296.29416764204774</v>
      </c>
      <c r="CF44" s="15">
        <f>IF(ISNA(VLOOKUP(A44,'Données projet'!$A$113:$I$133,3,0)),0,VLOOKUP(A44,'Données projet'!$A$113:$I$133,3,0))</f>
        <v>2</v>
      </c>
      <c r="CG44" s="15">
        <f>IF(ISNA(VLOOKUP(A44,'Données projet'!$A$113:$I$133,4,0)),0,VLOOKUP(A44,'Données projet'!$A$113:$I$133,4,0))</f>
        <v>38.512820512820511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137.00232</v>
      </c>
      <c r="CV44" s="13">
        <f t="shared" si="41"/>
        <v>35.609416420931346</v>
      </c>
      <c r="CW44" s="20">
        <f t="shared" si="13"/>
        <v>300.63210759978875</v>
      </c>
      <c r="CX44" s="59">
        <f t="shared" si="14"/>
        <v>593.96544093312207</v>
      </c>
      <c r="CY44" s="59">
        <f ca="1">AVERAGE(OFFSET($CX$3,0,0,'Données projet'!$E$13+1,1))-AVERAGE(OFFSET($H$3,0,0,'Données projet'!$E$13+1,1))</f>
        <v>299.10536994156814</v>
      </c>
      <c r="CZ44" s="59">
        <f t="shared" si="42"/>
        <v>292.57799203101769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7.4964676872520428</v>
      </c>
      <c r="DG44" s="21">
        <f>EXP(-LN(2)/25)*DG43+(1-EXP(-LN(2)/25))/(LN(2)/25)*Calculateur!DB44*Calculateur!DD44*VLOOKUP('Données projet'!$B$13,Paramètres!$A$1:$I$89,3,0)*0.475*44/12</f>
        <v>13.028195356873887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20.52466304412593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137.00232</v>
      </c>
      <c r="DQ44" s="13">
        <f t="shared" si="43"/>
        <v>35.609416420931346</v>
      </c>
      <c r="DR44" s="20">
        <f t="shared" si="16"/>
        <v>300.63210759978875</v>
      </c>
      <c r="DS44" s="59">
        <f t="shared" si="17"/>
        <v>593.96544093312207</v>
      </c>
      <c r="DT44" s="59">
        <f ca="1">AVERAGE(OFFSET($DS$3,0,0,'Données projet'!$E$14+1,1))-AVERAGE(OFFSET($H$3,0,0,'Données projet'!$E$14+1,1))</f>
        <v>299.10536994156814</v>
      </c>
      <c r="DU44" s="59">
        <f t="shared" si="44"/>
        <v>292.57799203101769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7.4964676872520428</v>
      </c>
      <c r="EB44" s="21">
        <f>EXP(-LN(2)/25)*EB43+(1-EXP(-LN(2)/25))/(LN(2)/25)*Calculateur!DW44*Calculateur!DY44*VLOOKUP('Données projet'!$B$14,Paramètres!$A$1:$I$89,3,0)*0.475*44/12</f>
        <v>13.028195356873887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20.52466304412593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6.4</v>
      </c>
      <c r="EJ44" s="12">
        <f>IF('Données projet'!$A$192&gt;35,EJ43+EI44-ER43,IF(A44&lt;'Données projet'!$A$192,$EG$205^A44,IF(A44='Données projet'!$A$192,'Données projet'!$B$192,EJ43+EI44-ER43)))</f>
        <v>151.39999999999998</v>
      </c>
      <c r="EK44" s="17">
        <f>EJ44*VLOOKUP('Données projet'!$B$15,Paramètres!$A$1:$I$89,3,0)*VLOOKUP('Données projet'!$B$15,Paramètres!$A$1:$I$89,5,0)</f>
        <v>99.197279999999978</v>
      </c>
      <c r="EL44" s="13">
        <f t="shared" si="45"/>
        <v>26.770670966897111</v>
      </c>
      <c r="EM44" s="20">
        <f t="shared" si="19"/>
        <v>219.39418126734574</v>
      </c>
      <c r="EN44" s="59">
        <f t="shared" si="20"/>
        <v>512.72751460067911</v>
      </c>
      <c r="EO44" s="59">
        <f ca="1">AVERAGE(OFFSET($EN$3,0,0,'Données projet'!$E$15+1,1))-AVERAGE(OFFSET($H$3,0,0,'Données projet'!$E$15+1,1))</f>
        <v>230.58262378842818</v>
      </c>
      <c r="EP44" s="59">
        <f t="shared" si="46"/>
        <v>235.68746142880792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2.2455207503437391</v>
      </c>
      <c r="EX44" s="21">
        <f>EXP(-LN(2)/2)*EX43+(1-EXP(-LN(2)/2))/(LN(2)/2)*ER44*EU44*VLOOKUP('Données projet'!$B$15,Paramètres!$A$1:$I$89,3,0)*0.475*44/12</f>
        <v>3.4681336696889193</v>
      </c>
      <c r="EY44" s="22">
        <f t="shared" si="21"/>
        <v>5.7136544200326584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6</v>
      </c>
      <c r="FE44" s="12">
        <f>IF('Données projet'!$A$218&gt;35,FE43+FD44-FM43,IF(A44&lt;'Données projet'!$A$218,$FB$205^A44,IF(A44='Données projet'!$A$218,'Données projet'!$B$218,FE43+FD44-FM43)))</f>
        <v>131.99999999999997</v>
      </c>
      <c r="FF44" s="17">
        <f>FE44*VLOOKUP('Données projet'!$B$16,Paramètres!$A$1:$I$89,3,0)*VLOOKUP('Données projet'!$B$16,Paramètres!$A$1:$I$89,5,0)</f>
        <v>107.07839999999999</v>
      </c>
      <c r="FG44" s="13">
        <f t="shared" si="47"/>
        <v>28.64155810910178</v>
      </c>
      <c r="FH44" s="20">
        <f t="shared" si="22"/>
        <v>236.37892704001885</v>
      </c>
      <c r="FI44" s="59">
        <f t="shared" si="23"/>
        <v>529.71226037335214</v>
      </c>
      <c r="FJ44" s="59">
        <f ca="1">AVERAGE(OFFSET($FI$3,0,0,'Données projet'!$E$16+1,1))-AVERAGE(OFFSET($H$3,0,0,'Données projet'!$E$16+1,1))</f>
        <v>272.90535195666996</v>
      </c>
      <c r="FK44" s="59">
        <f t="shared" si="48"/>
        <v>222.25422164416898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1.4338395896044163</v>
      </c>
      <c r="FS44" s="21">
        <f>EXP(-LN(2)/2)*FS43+(1-EXP(-LN(2)/2))/(LN(2)/2)*FM44*FP44*VLOOKUP('Données projet'!$B$16,Paramètres!$A$1:$I$89,3,0)*0.475*44/12</f>
        <v>2.5223112287809761</v>
      </c>
      <c r="FT44" s="22">
        <f t="shared" si="24"/>
        <v>3.9561508183853924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549.05372686458304</v>
      </c>
      <c r="S45" s="59">
        <f ca="1">AVERAGE(OFFSET($R$3,0,0,'Données projet'!$E$9+1,1))-AVERAGE(OFFSET($H$3,0,0,'Données projet'!$E$9+1,1))</f>
        <v>384.05928630855732</v>
      </c>
      <c r="T45" s="59">
        <f t="shared" si="34"/>
        <v>279.93992813630513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</v>
      </c>
      <c r="AI45" s="13">
        <f>IF('Données projet'!$A$62&gt;35,AI44+AH45-AQ44,IF(A45&lt;'Données projet'!$A$62,$AF$205^A45,IF(A45='Données projet'!$A$62,'Données projet'!$B$62,AI44+AH45-AQ44)))</f>
        <v>293.99999999999983</v>
      </c>
      <c r="AJ45" s="13">
        <f>AI45*VLOOKUP('Données projet'!$B$10,Paramètres!$A$1:$I$89,3,0)*VLOOKUP('Données projet'!$B$10,Paramètres!$A$1:$I$89,5,0)</f>
        <v>266.01119999999986</v>
      </c>
      <c r="AK45" s="13">
        <f t="shared" si="35"/>
        <v>64.00201337612566</v>
      </c>
      <c r="AL45" s="20">
        <f t="shared" si="4"/>
        <v>574.77301329675186</v>
      </c>
      <c r="AM45" s="59">
        <f t="shared" si="5"/>
        <v>868.10634663008523</v>
      </c>
      <c r="AN45" s="59">
        <f ca="1">AVERAGE(OFFSET($AM$3,0,0,'Données projet'!$E$10+1,1))-AVERAGE(OFFSET($H$3,0,0,'Données projet'!$E$10+1,1))</f>
        <v>366.69125512029831</v>
      </c>
      <c r="AO45" s="59">
        <f t="shared" si="36"/>
        <v>513.80016421153414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0.60567345161725128</v>
      </c>
      <c r="AV45" s="21">
        <f>EXP(-LN(2)/25)*AV44+(1-EXP(-LN(2)/25))/(LN(2)/25)*Calculateur!AQ45*Calculateur!AS45*VLOOKUP('Données projet'!$B$10,Paramètres!$A$1:$I$89,3,0)*0.475*44/12</f>
        <v>4.3839771362166049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4.9896505878338564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152.00640000000004</v>
      </c>
      <c r="BF45" s="13">
        <f t="shared" si="37"/>
        <v>39.034194016561486</v>
      </c>
      <c r="BG45" s="20">
        <f t="shared" si="7"/>
        <v>332.72903457884462</v>
      </c>
      <c r="BH45" s="59">
        <f t="shared" si="8"/>
        <v>626.06236791217793</v>
      </c>
      <c r="BI45" s="59">
        <f ca="1">AVERAGE(OFFSET($BH$3,0,0,'Données projet'!$E$11+1,1))-AVERAGE(OFFSET($H$3,0,0,'Données projet'!$E$11+1,1))</f>
        <v>354.24684313982857</v>
      </c>
      <c r="BJ45" s="59">
        <f t="shared" si="38"/>
        <v>322.65043486962185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9.881790770674117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9.881790770674117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9.3452380952380913</v>
      </c>
      <c r="BY45" s="12">
        <f>IF('Données projet'!$A$114&gt;35,BY44+BX45-CG44,IF(A45&lt;'Données projet'!$A$114,$BV$205^A45,IF(A45='Données projet'!$A$114,'Données projet'!$B$114,BY44+BX45-CG44)))</f>
        <v>128.28113553113559</v>
      </c>
      <c r="BZ45" s="13">
        <f>BY45*VLOOKUP('Données projet'!$B$12,Paramètres!$A$1:$I$89,3,0)*VLOOKUP('Données projet'!$B$12,Paramètres!$A$1:$I$89,5,0)</f>
        <v>124.07351428571435</v>
      </c>
      <c r="CA45" s="13">
        <f t="shared" si="39"/>
        <v>32.623225870556688</v>
      </c>
      <c r="CB45" s="20">
        <f t="shared" si="10"/>
        <v>272.91348910550539</v>
      </c>
      <c r="CC45" s="59">
        <f t="shared" si="11"/>
        <v>566.24682243883876</v>
      </c>
      <c r="CD45" s="59">
        <f ca="1">AVERAGE(OFFSET($CC$3,0,0,'Données projet'!$E$12+1,1))-AVERAGE(OFFSET($H$3,0,0,'Données projet'!$E$12+1,1))</f>
        <v>407.73540492005355</v>
      </c>
      <c r="CE45" s="59">
        <f t="shared" si="40"/>
        <v>296.29416764204774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143.52624</v>
      </c>
      <c r="CV45" s="13">
        <f t="shared" si="41"/>
        <v>37.103644337236275</v>
      </c>
      <c r="CW45" s="20">
        <f t="shared" si="13"/>
        <v>314.59704855401981</v>
      </c>
      <c r="CX45" s="59">
        <f t="shared" si="14"/>
        <v>607.93038188735318</v>
      </c>
      <c r="CY45" s="59">
        <f ca="1">AVERAGE(OFFSET($CX$3,0,0,'Données projet'!$E$13+1,1))-AVERAGE(OFFSET($H$3,0,0,'Données projet'!$E$13+1,1))</f>
        <v>299.10536994156814</v>
      </c>
      <c r="CZ45" s="59">
        <f t="shared" si="42"/>
        <v>292.57799203101769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7.3494665282988327</v>
      </c>
      <c r="DG45" s="21">
        <f>EXP(-LN(2)/25)*DG44+(1-EXP(-LN(2)/25))/(LN(2)/25)*Calculateur!DB45*Calculateur!DD45*VLOOKUP('Données projet'!$B$13,Paramètres!$A$1:$I$89,3,0)*0.475*44/12</f>
        <v>12.671938669717154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20.021405198015987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143.52624</v>
      </c>
      <c r="DQ45" s="13">
        <f t="shared" si="43"/>
        <v>37.103644337236275</v>
      </c>
      <c r="DR45" s="20">
        <f t="shared" si="16"/>
        <v>314.59704855401981</v>
      </c>
      <c r="DS45" s="59">
        <f t="shared" si="17"/>
        <v>607.93038188735318</v>
      </c>
      <c r="DT45" s="59">
        <f ca="1">AVERAGE(OFFSET($DS$3,0,0,'Données projet'!$E$14+1,1))-AVERAGE(OFFSET($H$3,0,0,'Données projet'!$E$14+1,1))</f>
        <v>299.10536994156814</v>
      </c>
      <c r="DU45" s="59">
        <f t="shared" si="44"/>
        <v>292.57799203101769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7.3494665282988327</v>
      </c>
      <c r="EB45" s="21">
        <f>EXP(-LN(2)/25)*EB44+(1-EXP(-LN(2)/25))/(LN(2)/25)*Calculateur!DW45*Calculateur!DY45*VLOOKUP('Données projet'!$B$14,Paramètres!$A$1:$I$89,3,0)*0.475*44/12</f>
        <v>12.671938669717154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20.021405198015987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6.4</v>
      </c>
      <c r="EJ45" s="12">
        <f>IF('Données projet'!$A$192&gt;35,EJ44+EI45-ER44,IF(A45&lt;'Données projet'!$A$192,$EG$205^A45,IF(A45='Données projet'!$A$192,'Données projet'!$B$192,EJ44+EI45-ER44)))</f>
        <v>157.79999999999998</v>
      </c>
      <c r="EK45" s="17">
        <f>EJ45*VLOOKUP('Données projet'!$B$15,Paramètres!$A$1:$I$89,3,0)*VLOOKUP('Données projet'!$B$15,Paramètres!$A$1:$I$89,5,0)</f>
        <v>103.39055999999999</v>
      </c>
      <c r="EL45" s="13">
        <f t="shared" si="45"/>
        <v>27.768177525719913</v>
      </c>
      <c r="EM45" s="20">
        <f t="shared" si="19"/>
        <v>228.43480119062883</v>
      </c>
      <c r="EN45" s="59">
        <f t="shared" si="20"/>
        <v>521.76813452396209</v>
      </c>
      <c r="EO45" s="59">
        <f ca="1">AVERAGE(OFFSET($EN$3,0,0,'Données projet'!$E$15+1,1))-AVERAGE(OFFSET($H$3,0,0,'Données projet'!$E$15+1,1))</f>
        <v>230.58262378842818</v>
      </c>
      <c r="EP45" s="59">
        <f t="shared" si="46"/>
        <v>235.68746142880792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2.1841168673387856</v>
      </c>
      <c r="EX45" s="21">
        <f>EXP(-LN(2)/2)*EX44+(1-EXP(-LN(2)/2))/(LN(2)/2)*ER45*EU45*VLOOKUP('Données projet'!$B$15,Paramètres!$A$1:$I$89,3,0)*0.475*44/12</f>
        <v>2.4523408358984211</v>
      </c>
      <c r="EY45" s="22">
        <f t="shared" si="21"/>
        <v>4.6364577032372072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6</v>
      </c>
      <c r="FE45" s="12">
        <f>IF('Données projet'!$A$218&gt;35,FE44+FD45-FM44,IF(A45&lt;'Données projet'!$A$218,$FB$205^A45,IF(A45='Données projet'!$A$218,'Données projet'!$B$218,FE44+FD45-FM44)))</f>
        <v>137.99999999999997</v>
      </c>
      <c r="FF45" s="17">
        <f>FE45*VLOOKUP('Données projet'!$B$16,Paramètres!$A$1:$I$89,3,0)*VLOOKUP('Données projet'!$B$16,Paramètres!$A$1:$I$89,5,0)</f>
        <v>111.94559999999998</v>
      </c>
      <c r="FG45" s="13">
        <f t="shared" si="47"/>
        <v>29.788914309703763</v>
      </c>
      <c r="FH45" s="20">
        <f t="shared" si="22"/>
        <v>246.85427908940071</v>
      </c>
      <c r="FI45" s="59">
        <f t="shared" si="23"/>
        <v>540.18761242273399</v>
      </c>
      <c r="FJ45" s="59">
        <f ca="1">AVERAGE(OFFSET($FI$3,0,0,'Données projet'!$E$16+1,1))-AVERAGE(OFFSET($H$3,0,0,'Données projet'!$E$16+1,1))</f>
        <v>272.90535195666996</v>
      </c>
      <c r="FK45" s="59">
        <f t="shared" si="48"/>
        <v>222.25422164416898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1.3946311706243366</v>
      </c>
      <c r="FS45" s="21">
        <f>EXP(-LN(2)/2)*FS44+(1-EXP(-LN(2)/2))/(LN(2)/2)*FM45*FP45*VLOOKUP('Données projet'!$B$16,Paramètres!$A$1:$I$89,3,0)*0.475*44/12</f>
        <v>1.7835433741340017</v>
      </c>
      <c r="FT45" s="22">
        <f t="shared" si="24"/>
        <v>3.1781745447583383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384.05928630855732</v>
      </c>
      <c r="T46" s="59">
        <f t="shared" si="34"/>
        <v>279.93992813630513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</v>
      </c>
      <c r="AI46" s="13">
        <f>IF('Données projet'!$A$62&gt;35,AI45+AH46-AQ45,IF(A46&lt;'Données projet'!$A$62,$AF$205^A46,IF(A46='Données projet'!$A$62,'Données projet'!$B$62,AI45+AH46-AQ45)))</f>
        <v>299.99999999999983</v>
      </c>
      <c r="AJ46" s="13">
        <f>AI46*VLOOKUP('Données projet'!$B$10,Paramètres!$A$1:$I$89,3,0)*VLOOKUP('Données projet'!$B$10,Paramètres!$A$1:$I$89,5,0)</f>
        <v>271.43999999999983</v>
      </c>
      <c r="AK46" s="13">
        <f t="shared" si="35"/>
        <v>65.154778959151173</v>
      </c>
      <c r="AL46" s="20">
        <f t="shared" si="4"/>
        <v>586.23590668718793</v>
      </c>
      <c r="AM46" s="59">
        <f t="shared" si="5"/>
        <v>879.56924002052119</v>
      </c>
      <c r="AN46" s="59">
        <f ca="1">AVERAGE(OFFSET($AM$3,0,0,'Données projet'!$E$10+1,1))-AVERAGE(OFFSET($H$3,0,0,'Données projet'!$E$10+1,1))</f>
        <v>366.69125512029831</v>
      </c>
      <c r="AO46" s="59">
        <f t="shared" si="36"/>
        <v>513.80016421153414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0.5937965646553649</v>
      </c>
      <c r="AV46" s="21">
        <f>EXP(-LN(2)/25)*AV45+(1-EXP(-LN(2)/25))/(LN(2)/25)*Calculateur!AQ46*Calculateur!AS46*VLOOKUP('Données projet'!$B$10,Paramètres!$A$1:$I$89,3,0)*0.475*44/12</f>
        <v>4.2640970508834242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4.8578936155387886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158.99520000000004</v>
      </c>
      <c r="BF46" s="13">
        <f t="shared" si="37"/>
        <v>40.615796933386044</v>
      </c>
      <c r="BG46" s="20">
        <f t="shared" si="7"/>
        <v>347.65581965898076</v>
      </c>
      <c r="BH46" s="59">
        <f t="shared" si="8"/>
        <v>640.98915299231408</v>
      </c>
      <c r="BI46" s="59">
        <f ca="1">AVERAGE(OFFSET($BH$3,0,0,'Données projet'!$E$11+1,1))-AVERAGE(OFFSET($H$3,0,0,'Données projet'!$E$11+1,1))</f>
        <v>354.24684313982857</v>
      </c>
      <c r="BJ46" s="59">
        <f t="shared" si="38"/>
        <v>322.65043486962185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9.6115726823892427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9.6115726823892427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9.3452380952380913</v>
      </c>
      <c r="BY46" s="12">
        <f>IF('Données projet'!$A$114&gt;35,BY45+BX46-CG45,IF(A46&lt;'Données projet'!$A$114,$BV$205^A46,IF(A46='Données projet'!$A$114,'Données projet'!$B$114,BY45+BX46-CG45)))</f>
        <v>137.62637362637369</v>
      </c>
      <c r="BZ46" s="13">
        <f>BY46*VLOOKUP('Données projet'!$B$12,Paramètres!$A$1:$I$89,3,0)*VLOOKUP('Données projet'!$B$12,Paramètres!$A$1:$I$89,5,0)</f>
        <v>133.11222857142863</v>
      </c>
      <c r="CA46" s="13">
        <f t="shared" si="39"/>
        <v>34.714510794091808</v>
      </c>
      <c r="CB46" s="20">
        <f t="shared" si="10"/>
        <v>292.29823772828144</v>
      </c>
      <c r="CC46" s="59">
        <f t="shared" si="11"/>
        <v>585.63157106161475</v>
      </c>
      <c r="CD46" s="59">
        <f ca="1">AVERAGE(OFFSET($CC$3,0,0,'Données projet'!$E$12+1,1))-AVERAGE(OFFSET($H$3,0,0,'Données projet'!$E$12+1,1))</f>
        <v>407.73540492005355</v>
      </c>
      <c r="CE46" s="59">
        <f t="shared" si="40"/>
        <v>296.29416764204774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150.05015999999998</v>
      </c>
      <c r="CV46" s="13">
        <f t="shared" si="41"/>
        <v>38.589984439024569</v>
      </c>
      <c r="CW46" s="20">
        <f t="shared" si="13"/>
        <v>328.54825156463437</v>
      </c>
      <c r="CX46" s="59">
        <f t="shared" si="14"/>
        <v>621.88158489796774</v>
      </c>
      <c r="CY46" s="59">
        <f ca="1">AVERAGE(OFFSET($CX$3,0,0,'Données projet'!$E$13+1,1))-AVERAGE(OFFSET($H$3,0,0,'Données projet'!$E$13+1,1))</f>
        <v>299.10536994156814</v>
      </c>
      <c r="CZ46" s="59">
        <f t="shared" si="42"/>
        <v>292.57799203101769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7.2053479724108422</v>
      </c>
      <c r="DG46" s="21">
        <f>EXP(-LN(2)/25)*DG45+(1-EXP(-LN(2)/25))/(LN(2)/25)*Calculateur!DB46*Calculateur!DD46*VLOOKUP('Données projet'!$B$13,Paramètres!$A$1:$I$89,3,0)*0.475*44/12</f>
        <v>12.325423840405445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19.530771812816287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150.05015999999998</v>
      </c>
      <c r="DQ46" s="13">
        <f t="shared" si="43"/>
        <v>38.589984439024569</v>
      </c>
      <c r="DR46" s="20">
        <f t="shared" si="16"/>
        <v>328.54825156463437</v>
      </c>
      <c r="DS46" s="59">
        <f t="shared" si="17"/>
        <v>621.88158489796774</v>
      </c>
      <c r="DT46" s="59">
        <f ca="1">AVERAGE(OFFSET($DS$3,0,0,'Données projet'!$E$14+1,1))-AVERAGE(OFFSET($H$3,0,0,'Données projet'!$E$14+1,1))</f>
        <v>299.10536994156814</v>
      </c>
      <c r="DU46" s="59">
        <f t="shared" si="44"/>
        <v>292.57799203101769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7.2053479724108422</v>
      </c>
      <c r="EB46" s="21">
        <f>EXP(-LN(2)/25)*EB45+(1-EXP(-LN(2)/25))/(LN(2)/25)*Calculateur!DW46*Calculateur!DY46*VLOOKUP('Données projet'!$B$14,Paramètres!$A$1:$I$89,3,0)*0.475*44/12</f>
        <v>12.325423840405445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19.530771812816287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6.4</v>
      </c>
      <c r="EJ46" s="12">
        <f>IF('Données projet'!$A$192&gt;35,EJ45+EI46-ER45,IF(A46&lt;'Données projet'!$A$192,$EG$205^A46,IF(A46='Données projet'!$A$192,'Données projet'!$B$192,EJ45+EI46-ER45)))</f>
        <v>164.2</v>
      </c>
      <c r="EK46" s="17">
        <f>EJ46*VLOOKUP('Données projet'!$B$15,Paramètres!$A$1:$I$89,3,0)*VLOOKUP('Données projet'!$B$15,Paramètres!$A$1:$I$89,5,0)</f>
        <v>107.58384</v>
      </c>
      <c r="EL46" s="13">
        <f t="shared" si="45"/>
        <v>28.760984680893039</v>
      </c>
      <c r="EM46" s="20">
        <f t="shared" si="19"/>
        <v>237.46723631922202</v>
      </c>
      <c r="EN46" s="59">
        <f t="shared" si="20"/>
        <v>530.8005696525554</v>
      </c>
      <c r="EO46" s="59">
        <f ca="1">AVERAGE(OFFSET($EN$3,0,0,'Données projet'!$E$15+1,1))-AVERAGE(OFFSET($H$3,0,0,'Données projet'!$E$15+1,1))</f>
        <v>230.58262378842818</v>
      </c>
      <c r="EP46" s="59">
        <f t="shared" si="46"/>
        <v>235.68746142880792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2.1243920767436926</v>
      </c>
      <c r="EX46" s="21">
        <f>EXP(-LN(2)/2)*EX45+(1-EXP(-LN(2)/2))/(LN(2)/2)*ER46*EU46*VLOOKUP('Données projet'!$B$15,Paramètres!$A$1:$I$89,3,0)*0.475*44/12</f>
        <v>1.7340668348444601</v>
      </c>
      <c r="EY46" s="22">
        <f t="shared" si="21"/>
        <v>3.8584589115881527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6</v>
      </c>
      <c r="FE46" s="12">
        <f>IF('Données projet'!$A$218&gt;35,FE45+FD46-FM45,IF(A46&lt;'Données projet'!$A$218,$FB$205^A46,IF(A46='Données projet'!$A$218,'Données projet'!$B$218,FE45+FD46-FM45)))</f>
        <v>143.99999999999997</v>
      </c>
      <c r="FF46" s="17">
        <f>FE46*VLOOKUP('Données projet'!$B$16,Paramètres!$A$1:$I$89,3,0)*VLOOKUP('Données projet'!$B$16,Paramètres!$A$1:$I$89,5,0)</f>
        <v>116.81279999999998</v>
      </c>
      <c r="FG46" s="13">
        <f t="shared" si="47"/>
        <v>30.930476631089483</v>
      </c>
      <c r="FH46" s="20">
        <f t="shared" si="22"/>
        <v>257.31954013248077</v>
      </c>
      <c r="FI46" s="59">
        <f t="shared" si="23"/>
        <v>550.65287346581408</v>
      </c>
      <c r="FJ46" s="59">
        <f ca="1">AVERAGE(OFFSET($FI$3,0,0,'Données projet'!$E$16+1,1))-AVERAGE(OFFSET($H$3,0,0,'Données projet'!$E$16+1,1))</f>
        <v>272.90535195666996</v>
      </c>
      <c r="FK46" s="59">
        <f t="shared" si="48"/>
        <v>222.25422164416898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1.3564949079231483</v>
      </c>
      <c r="FS46" s="21">
        <f>EXP(-LN(2)/2)*FS45+(1-EXP(-LN(2)/2))/(LN(2)/2)*FM46*FP46*VLOOKUP('Données projet'!$B$16,Paramètres!$A$1:$I$89,3,0)*0.475*44/12</f>
        <v>1.2611556143904883</v>
      </c>
      <c r="FT46" s="22">
        <f t="shared" si="24"/>
        <v>2.6176505223136366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585.34801742133584</v>
      </c>
      <c r="S47" s="59">
        <f ca="1">AVERAGE(OFFSET($R$3,0,0,'Données projet'!$E$9+1,1))-AVERAGE(OFFSET($H$3,0,0,'Données projet'!$E$9+1,1))</f>
        <v>384.05928630855732</v>
      </c>
      <c r="T47" s="59">
        <f t="shared" si="34"/>
        <v>279.93992813630513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</v>
      </c>
      <c r="AI47" s="13">
        <f>IF('Données projet'!$A$62&gt;35,AI46+AH47-AQ46,IF(A47&lt;'Données projet'!$A$62,$AF$205^A47,IF(A47='Données projet'!$A$62,'Données projet'!$B$62,AI46+AH47-AQ46)))</f>
        <v>305.99999999999983</v>
      </c>
      <c r="AJ47" s="13">
        <f>AI47*VLOOKUP('Données projet'!$B$10,Paramètres!$A$1:$I$89,3,0)*VLOOKUP('Données projet'!$B$10,Paramètres!$A$1:$I$89,5,0)</f>
        <v>276.86879999999979</v>
      </c>
      <c r="AK47" s="13">
        <f t="shared" si="35"/>
        <v>66.304863836318603</v>
      </c>
      <c r="AL47" s="20">
        <f t="shared" si="4"/>
        <v>597.69413118158775</v>
      </c>
      <c r="AM47" s="59">
        <f t="shared" si="5"/>
        <v>891.02746451492112</v>
      </c>
      <c r="AN47" s="59">
        <f ca="1">AVERAGE(OFFSET($AM$3,0,0,'Données projet'!$E$10+1,1))-AVERAGE(OFFSET($H$3,0,0,'Données projet'!$E$10+1,1))</f>
        <v>366.69125512029831</v>
      </c>
      <c r="AO47" s="59">
        <f t="shared" si="36"/>
        <v>513.80016421153414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0.58215257620261529</v>
      </c>
      <c r="AV47" s="21">
        <f>EXP(-LN(2)/25)*AV46+(1-EXP(-LN(2)/25))/(LN(2)/25)*Calculateur!AQ47*Calculateur!AS47*VLOOKUP('Données projet'!$B$10,Paramètres!$A$1:$I$89,3,0)*0.475*44/12</f>
        <v>4.1474950927878984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4.7296476689905136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165.98400000000004</v>
      </c>
      <c r="BF47" s="13">
        <f t="shared" si="37"/>
        <v>42.189325525922285</v>
      </c>
      <c r="BG47" s="20">
        <f t="shared" si="7"/>
        <v>362.56854195764805</v>
      </c>
      <c r="BH47" s="59">
        <f t="shared" si="8"/>
        <v>655.90187529098137</v>
      </c>
      <c r="BI47" s="59">
        <f ca="1">AVERAGE(OFFSET($BH$3,0,0,'Données projet'!$E$11+1,1))-AVERAGE(OFFSET($H$3,0,0,'Données projet'!$E$11+1,1))</f>
        <v>354.24684313982857</v>
      </c>
      <c r="BJ47" s="59">
        <f t="shared" si="38"/>
        <v>322.65043486962185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9.3487437219386695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9.3487437219386695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9.3452380952380913</v>
      </c>
      <c r="BY47" s="12">
        <f>IF('Données projet'!$A$114&gt;35,BY46+BX47-CG46,IF(A47&lt;'Données projet'!$A$114,$BV$205^A47,IF(A47='Données projet'!$A$114,'Données projet'!$B$114,BY46+BX47-CG46)))</f>
        <v>146.97161172161179</v>
      </c>
      <c r="BZ47" s="13">
        <f>BY47*VLOOKUP('Données projet'!$B$12,Paramètres!$A$1:$I$89,3,0)*VLOOKUP('Données projet'!$B$12,Paramètres!$A$1:$I$89,5,0)</f>
        <v>142.15094285714295</v>
      </c>
      <c r="CA47" s="13">
        <f t="shared" si="39"/>
        <v>36.78931819112556</v>
      </c>
      <c r="CB47" s="20">
        <f t="shared" si="10"/>
        <v>311.65428799240095</v>
      </c>
      <c r="CC47" s="59">
        <f t="shared" si="11"/>
        <v>604.98762132573427</v>
      </c>
      <c r="CD47" s="59">
        <f ca="1">AVERAGE(OFFSET($CC$3,0,0,'Données projet'!$E$12+1,1))-AVERAGE(OFFSET($H$3,0,0,'Données projet'!$E$12+1,1))</f>
        <v>407.73540492005355</v>
      </c>
      <c r="CE47" s="59">
        <f t="shared" si="40"/>
        <v>296.29416764204774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156.57407999999998</v>
      </c>
      <c r="CV47" s="13">
        <f t="shared" si="41"/>
        <v>40.068818872547467</v>
      </c>
      <c r="CW47" s="20">
        <f t="shared" si="13"/>
        <v>342.48638220302013</v>
      </c>
      <c r="CX47" s="59">
        <f t="shared" si="14"/>
        <v>635.81971553635344</v>
      </c>
      <c r="CY47" s="59">
        <f ca="1">AVERAGE(OFFSET($CX$3,0,0,'Données projet'!$E$13+1,1))-AVERAGE(OFFSET($H$3,0,0,'Données projet'!$E$13+1,1))</f>
        <v>299.10536994156814</v>
      </c>
      <c r="CZ47" s="59">
        <f t="shared" si="42"/>
        <v>292.57799203101769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7.0640554935001756</v>
      </c>
      <c r="DG47" s="21">
        <f>EXP(-LN(2)/25)*DG46+(1-EXP(-LN(2)/25))/(LN(2)/25)*Calculateur!DB47*Calculateur!DD47*VLOOKUP('Données projet'!$B$13,Paramètres!$A$1:$I$89,3,0)*0.475*44/12</f>
        <v>11.988384477323688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19.052439970823862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156.57407999999998</v>
      </c>
      <c r="DQ47" s="13">
        <f t="shared" si="43"/>
        <v>40.068818872547467</v>
      </c>
      <c r="DR47" s="20">
        <f t="shared" si="16"/>
        <v>342.48638220302013</v>
      </c>
      <c r="DS47" s="59">
        <f t="shared" si="17"/>
        <v>635.81971553635344</v>
      </c>
      <c r="DT47" s="59">
        <f ca="1">AVERAGE(OFFSET($DS$3,0,0,'Données projet'!$E$14+1,1))-AVERAGE(OFFSET($H$3,0,0,'Données projet'!$E$14+1,1))</f>
        <v>299.10536994156814</v>
      </c>
      <c r="DU47" s="59">
        <f t="shared" si="44"/>
        <v>292.57799203101769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7.0640554935001756</v>
      </c>
      <c r="EB47" s="21">
        <f>EXP(-LN(2)/25)*EB46+(1-EXP(-LN(2)/25))/(LN(2)/25)*Calculateur!DW47*Calculateur!DY47*VLOOKUP('Données projet'!$B$14,Paramètres!$A$1:$I$89,3,0)*0.475*44/12</f>
        <v>11.988384477323688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19.052439970823862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6.4</v>
      </c>
      <c r="EJ47" s="12">
        <f>IF('Données projet'!$A$192&gt;35,EJ46+EI47-ER46,IF(A47&lt;'Données projet'!$A$192,$EG$205^A47,IF(A47='Données projet'!$A$192,'Données projet'!$B$192,EJ46+EI47-ER46)))</f>
        <v>170.6</v>
      </c>
      <c r="EK47" s="17">
        <f>EJ47*VLOOKUP('Données projet'!$B$15,Paramètres!$A$1:$I$89,3,0)*VLOOKUP('Données projet'!$B$15,Paramètres!$A$1:$I$89,5,0)</f>
        <v>111.77712000000001</v>
      </c>
      <c r="EL47" s="13">
        <f t="shared" si="45"/>
        <v>29.749296563258223</v>
      </c>
      <c r="EM47" s="20">
        <f t="shared" si="19"/>
        <v>246.49184218100808</v>
      </c>
      <c r="EN47" s="59">
        <f t="shared" si="20"/>
        <v>539.82517551434137</v>
      </c>
      <c r="EO47" s="59">
        <f ca="1">AVERAGE(OFFSET($EN$3,0,0,'Données projet'!$E$15+1,1))-AVERAGE(OFFSET($H$3,0,0,'Données projet'!$E$15+1,1))</f>
        <v>230.58262378842818</v>
      </c>
      <c r="EP47" s="59">
        <f t="shared" si="46"/>
        <v>235.68746142880792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2.0663004636882123</v>
      </c>
      <c r="EX47" s="21">
        <f>EXP(-LN(2)/2)*EX46+(1-EXP(-LN(2)/2))/(LN(2)/2)*ER47*EU47*VLOOKUP('Données projet'!$B$15,Paramètres!$A$1:$I$89,3,0)*0.475*44/12</f>
        <v>1.2261704179492108</v>
      </c>
      <c r="EY47" s="22">
        <f t="shared" si="21"/>
        <v>3.2924708816374233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6</v>
      </c>
      <c r="FE47" s="12">
        <f>IF('Données projet'!$A$218&gt;35,FE46+FD47-FM46,IF(A47&lt;'Données projet'!$A$218,$FB$205^A47,IF(A47='Données projet'!$A$218,'Données projet'!$B$218,FE46+FD47-FM46)))</f>
        <v>149.99999999999997</v>
      </c>
      <c r="FF47" s="17">
        <f>FE47*VLOOKUP('Données projet'!$B$16,Paramètres!$A$1:$I$89,3,0)*VLOOKUP('Données projet'!$B$16,Paramètres!$A$1:$I$89,5,0)</f>
        <v>121.67999999999998</v>
      </c>
      <c r="FG47" s="13">
        <f t="shared" si="47"/>
        <v>32.066514091456256</v>
      </c>
      <c r="FH47" s="20">
        <f t="shared" si="22"/>
        <v>267.77517870928619</v>
      </c>
      <c r="FI47" s="59">
        <f t="shared" si="23"/>
        <v>561.10851204261951</v>
      </c>
      <c r="FJ47" s="59">
        <f ca="1">AVERAGE(OFFSET($FI$3,0,0,'Données projet'!$E$16+1,1))-AVERAGE(OFFSET($H$3,0,0,'Données projet'!$E$16+1,1))</f>
        <v>272.90535195666996</v>
      </c>
      <c r="FK47" s="59">
        <f t="shared" si="48"/>
        <v>222.25422164416898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1.319401483331023</v>
      </c>
      <c r="FS47" s="21">
        <f>EXP(-LN(2)/2)*FS46+(1-EXP(-LN(2)/2))/(LN(2)/2)*FM47*FP47*VLOOKUP('Données projet'!$B$16,Paramètres!$A$1:$I$89,3,0)*0.475*44/12</f>
        <v>0.89177168706700094</v>
      </c>
      <c r="FT47" s="22">
        <f t="shared" si="24"/>
        <v>2.2111731703980242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384.05928630855732</v>
      </c>
      <c r="T48" s="59">
        <f t="shared" si="34"/>
        <v>279.93992813630513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312</v>
      </c>
      <c r="AG48" s="12">
        <f>VLOOKUP(A48,'Données projet'!$A$61:$I$81,9,0)</f>
        <v>6</v>
      </c>
      <c r="AH48" s="12">
        <f t="array" ref="AH48">INDEX(AG:AG,MIN(IF(ISNUMBER(AG48:AG244),ROW(AG48:AG244),"")))</f>
        <v>6</v>
      </c>
      <c r="AI48" s="13">
        <f>IF('Données projet'!$A$62&gt;35,AI47+AH48-AQ47,IF(A48&lt;'Données projet'!$A$62,$AF$205^A48,IF(A48='Données projet'!$A$62,'Données projet'!$B$62,AI47+AH48-AQ47)))</f>
        <v>311.99999999999983</v>
      </c>
      <c r="AJ48" s="13">
        <f>AI48*VLOOKUP('Données projet'!$B$10,Paramètres!$A$1:$I$89,3,0)*VLOOKUP('Données projet'!$B$10,Paramètres!$A$1:$I$89,5,0)</f>
        <v>282.29759999999982</v>
      </c>
      <c r="AK48" s="13">
        <f t="shared" si="35"/>
        <v>67.452326629470107</v>
      </c>
      <c r="AL48" s="20">
        <f t="shared" si="4"/>
        <v>609.1477888796602</v>
      </c>
      <c r="AM48" s="59">
        <f t="shared" si="5"/>
        <v>902.48112221299357</v>
      </c>
      <c r="AN48" s="59">
        <f ca="1">AVERAGE(OFFSET($AM$3,0,0,'Données projet'!$E$10+1,1))-AVERAGE(OFFSET($H$3,0,0,'Données projet'!$E$10+1,1))</f>
        <v>366.69125512029831</v>
      </c>
      <c r="AO48" s="59">
        <f t="shared" si="36"/>
        <v>513.80016421153414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7</v>
      </c>
      <c r="AR48" s="16">
        <f>IF(ISNA(VLOOKUP(A48,'Données projet'!$A$61:$I$81,5,0)),0%,VLOOKUP(A48,'Données projet'!$A$61:$I$81,5,0)*VLOOKUP('Données projet'!$B$10,Paramètres!$A$1:$I$89,7,0))</f>
        <v>0.09</v>
      </c>
      <c r="AS48" s="16">
        <f>IF(ISNA(VLOOKUP(A48,'Données projet'!$A$61:$I$81,6,0)),0%,VLOOKUP(A48,'Données projet'!$A$61:$I$81,6,0)*VLOOKUP('Données projet'!$B$10,Paramètres!$A$1:$I$89,7,0))</f>
        <v>0.12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1.2008815668841828</v>
      </c>
      <c r="AV48" s="21">
        <f>EXP(-LN(2)/25)*AV47+(1-EXP(-LN(2)/25))/(LN(2)/25)*Calculateur!AQ48*Calculateur!AS48*VLOOKUP('Données projet'!$B$10,Paramètres!$A$1:$I$89,3,0)*0.475*44/12</f>
        <v>4.8709663254233444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6.0718478923075274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172.97280000000003</v>
      </c>
      <c r="BF48" s="13">
        <f t="shared" si="37"/>
        <v>43.75515863819728</v>
      </c>
      <c r="BG48" s="20">
        <f t="shared" si="7"/>
        <v>377.46786129486031</v>
      </c>
      <c r="BH48" s="59">
        <f t="shared" si="8"/>
        <v>670.80119462819357</v>
      </c>
      <c r="BI48" s="59">
        <f ca="1">AVERAGE(OFFSET($BH$3,0,0,'Données projet'!$E$11+1,1))-AVERAGE(OFFSET($H$3,0,0,'Données projet'!$E$11+1,1))</f>
        <v>354.24684313982857</v>
      </c>
      <c r="BJ48" s="59">
        <f t="shared" si="38"/>
        <v>322.65043486962185</v>
      </c>
      <c r="BK48" s="15">
        <f>IF(ISNA(VLOOKUP(A48,'Données projet'!$A$87:$I$107,3,0)),0,VLOOKUP(A48,'Données projet'!$A$87:$I$107,3,0))</f>
        <v>6</v>
      </c>
      <c r="BL48" s="15" t="str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0.17200000000000001</v>
      </c>
      <c r="BN48" s="16">
        <f>IF(ISNA(VLOOKUP(A48,'Données projet'!$A$87:$I$107,6,0)),0%,VLOOKUP(A48,'Données projet'!$A$87:$I$107,6,0)*VLOOKUP('Données projet'!$B$11,Paramètres!$A$1:$I$89,7,0))</f>
        <v>0.17200000000000001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4.3187844661602552</v>
      </c>
      <c r="BQ48" s="21">
        <f>EXP(-LN(2)/25)*BQ47+(1-EXP(-LN(2)/25))/(LN(2)/25)*Calculateur!BL48*Calculateur!BN48*VLOOKUP('Données projet'!$B$11,Paramètres!$A$1:$I$89,3,0)*0.475*44/12</f>
        <v>13.394881599364279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17.713666065524535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9.3452380952380913</v>
      </c>
      <c r="BY48" s="12">
        <f>IF('Données projet'!$A$114&gt;35,BY47+BX48-CG47,IF(A48&lt;'Données projet'!$A$114,$BV$205^A48,IF(A48='Données projet'!$A$114,'Données projet'!$B$114,BY47+BX48-CG47)))</f>
        <v>156.3168498168499</v>
      </c>
      <c r="BZ48" s="13">
        <f>BY48*VLOOKUP('Données projet'!$B$12,Paramètres!$A$1:$I$89,3,0)*VLOOKUP('Données projet'!$B$12,Paramètres!$A$1:$I$89,5,0)</f>
        <v>151.18965714285721</v>
      </c>
      <c r="CA48" s="13">
        <f t="shared" si="39"/>
        <v>38.848815050447264</v>
      </c>
      <c r="CB48" s="20">
        <f t="shared" si="10"/>
        <v>330.98367240333863</v>
      </c>
      <c r="CC48" s="59">
        <f t="shared" si="11"/>
        <v>624.31700573667194</v>
      </c>
      <c r="CD48" s="59">
        <f ca="1">AVERAGE(OFFSET($CC$3,0,0,'Données projet'!$E$12+1,1))-AVERAGE(OFFSET($H$3,0,0,'Données projet'!$E$12+1,1))</f>
        <v>407.73540492005355</v>
      </c>
      <c r="CE48" s="59">
        <f t="shared" si="40"/>
        <v>296.29416764204774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163.09799999999996</v>
      </c>
      <c r="CV48" s="13">
        <f t="shared" si="41"/>
        <v>41.540496136845142</v>
      </c>
      <c r="CW48" s="20">
        <f t="shared" si="13"/>
        <v>356.4120474383385</v>
      </c>
      <c r="CX48" s="59">
        <f t="shared" si="14"/>
        <v>649.74538077167176</v>
      </c>
      <c r="CY48" s="59">
        <f ca="1">AVERAGE(OFFSET($CX$3,0,0,'Données projet'!$E$13+1,1))-AVERAGE(OFFSET($H$3,0,0,'Données projet'!$E$13+1,1))</f>
        <v>299.10536994156814</v>
      </c>
      <c r="CZ48" s="59">
        <f t="shared" si="42"/>
        <v>292.57799203101769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0.31269999999999998</v>
      </c>
      <c r="DD48" s="16">
        <f>IF(ISNA(VLOOKUP(A48,'Données projet'!$A$139:$I$159,6,0)),0%,VLOOKUP(A48,'Données projet'!$A$139:$I$159,6,0)*VLOOKUP('Données projet'!$B$13,Paramètres!$A$1:$I$89,7,0))</f>
        <v>0.1431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12.976050136200808</v>
      </c>
      <c r="DG48" s="21">
        <f>EXP(-LN(2)/25)*DG47+(1-EXP(-LN(2)/25))/(LN(2)/25)*Calculateur!DB48*Calculateur!DD48*VLOOKUP('Données projet'!$B$13,Paramètres!$A$1:$I$89,3,0)*0.475*44/12</f>
        <v>14.418539751071341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27.394589887272147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163.09799999999996</v>
      </c>
      <c r="DQ48" s="13">
        <f t="shared" si="43"/>
        <v>41.540496136845142</v>
      </c>
      <c r="DR48" s="20">
        <f t="shared" si="16"/>
        <v>356.4120474383385</v>
      </c>
      <c r="DS48" s="59">
        <f t="shared" si="17"/>
        <v>649.74538077167176</v>
      </c>
      <c r="DT48" s="59">
        <f ca="1">AVERAGE(OFFSET($DS$3,0,0,'Données projet'!$E$14+1,1))-AVERAGE(OFFSET($H$3,0,0,'Données projet'!$E$14+1,1))</f>
        <v>299.10536994156814</v>
      </c>
      <c r="DU48" s="59">
        <f t="shared" si="44"/>
        <v>292.57799203101769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0.31269999999999998</v>
      </c>
      <c r="DY48" s="16">
        <f>IF(ISNA(VLOOKUP(A48,'Données projet'!$A$165:$I$185,6,0)),0%,VLOOKUP(A48,'Données projet'!$A$165:$I$185,6,0)*VLOOKUP('Données projet'!$B$14,Paramètres!$A$1:$I$89,7,0))</f>
        <v>0.1431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12.976050136200808</v>
      </c>
      <c r="EB48" s="21">
        <f>EXP(-LN(2)/25)*EB47+(1-EXP(-LN(2)/25))/(LN(2)/25)*Calculateur!DW48*Calculateur!DY48*VLOOKUP('Données projet'!$B$14,Paramètres!$A$1:$I$89,3,0)*0.475*44/12</f>
        <v>14.418539751071341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27.394589887272147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177</v>
      </c>
      <c r="EH48" s="12">
        <f>VLOOKUP(A48,'Données projet'!$A$191:$I$211,9,0)</f>
        <v>6.4</v>
      </c>
      <c r="EI48" s="12">
        <f t="array" ref="EI48">INDEX(EH:EH,MIN(IF(ISNUMBER(EH48:EH244),ROW(EH48:EH244),"")))</f>
        <v>6.4</v>
      </c>
      <c r="EJ48" s="12">
        <f>IF('Données projet'!$A$192&gt;35,EJ47+EI48-ER47,IF(A48&lt;'Données projet'!$A$192,$EG$205^A48,IF(A48='Données projet'!$A$192,'Données projet'!$B$192,EJ47+EI48-ER47)))</f>
        <v>177</v>
      </c>
      <c r="EK48" s="17">
        <f>EJ48*VLOOKUP('Données projet'!$B$15,Paramètres!$A$1:$I$89,3,0)*VLOOKUP('Données projet'!$B$15,Paramètres!$A$1:$I$89,5,0)</f>
        <v>115.97040000000001</v>
      </c>
      <c r="EL48" s="13">
        <f t="shared" si="45"/>
        <v>30.733301120222794</v>
      </c>
      <c r="EM48" s="20">
        <f t="shared" si="19"/>
        <v>255.50894611772139</v>
      </c>
      <c r="EN48" s="59">
        <f t="shared" si="20"/>
        <v>548.84227945105476</v>
      </c>
      <c r="EO48" s="59">
        <f ca="1">AVERAGE(OFFSET($EN$3,0,0,'Données projet'!$E$15+1,1))-AVERAGE(OFFSET($H$3,0,0,'Données projet'!$E$15+1,1))</f>
        <v>230.58262378842818</v>
      </c>
      <c r="EP48" s="59">
        <f t="shared" si="46"/>
        <v>235.68746142880792</v>
      </c>
      <c r="EQ48" s="15">
        <f>IF(ISNA(VLOOKUP(A48,'Données projet'!$A$191:$I$211,3,0)),0,VLOOKUP(A48,'Données projet'!$A$191:$I$211,3,0))</f>
        <v>8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4.3000000000000003E-2</v>
      </c>
      <c r="EU48" s="16">
        <f>IF(ISNA(VLOOKUP(A48,'Données projet'!$A$191:$I$211,7,0)),0%,VLOOKUP(A48,'Données projet'!$A$191:$I$211,7,0))</f>
        <v>0.3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2.6922912740501292</v>
      </c>
      <c r="EX48" s="21">
        <f>EXP(-LN(2)/2)*EX47+(1-EXP(-LN(2)/2))/(LN(2)/2)*ER48*EU48*VLOOKUP('Données projet'!$B$15,Paramètres!$A$1:$I$89,3,0)*0.475*44/12</f>
        <v>4.9471457247886024</v>
      </c>
      <c r="EY48" s="22">
        <f t="shared" si="21"/>
        <v>7.6394369988387316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156</v>
      </c>
      <c r="FC48" s="12">
        <f>VLOOKUP(A48,'Données projet'!$A$217:$I$237,9,0)</f>
        <v>6</v>
      </c>
      <c r="FD48" s="12">
        <f t="array" ref="FD48">INDEX(FC:FC,MIN(IF(ISNUMBER(FC48:FC244),ROW(FC48:FC244),"")))</f>
        <v>6</v>
      </c>
      <c r="FE48" s="12">
        <f>IF('Données projet'!$A$218&gt;35,FE47+FD48-FM47,IF(A48&lt;'Données projet'!$A$218,$FB$205^A48,IF(A48='Données projet'!$A$218,'Données projet'!$B$218,FE47+FD48-FM47)))</f>
        <v>155.99999999999997</v>
      </c>
      <c r="FF48" s="17">
        <f>FE48*VLOOKUP('Données projet'!$B$16,Paramètres!$A$1:$I$89,3,0)*VLOOKUP('Données projet'!$B$16,Paramètres!$A$1:$I$89,5,0)</f>
        <v>126.54719999999999</v>
      </c>
      <c r="FG48" s="13">
        <f t="shared" si="47"/>
        <v>33.19727296936243</v>
      </c>
      <c r="FH48" s="20">
        <f t="shared" si="22"/>
        <v>278.22162375497288</v>
      </c>
      <c r="FI48" s="59">
        <f t="shared" si="23"/>
        <v>571.5549570883062</v>
      </c>
      <c r="FJ48" s="59">
        <f ca="1">AVERAGE(OFFSET($FI$3,0,0,'Données projet'!$E$16+1,1))-AVERAGE(OFFSET($H$3,0,0,'Données projet'!$E$16+1,1))</f>
        <v>272.90535195666996</v>
      </c>
      <c r="FK48" s="59">
        <f t="shared" si="48"/>
        <v>222.25422164416898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14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0.129</v>
      </c>
      <c r="FP48" s="16">
        <f>IF(ISNA(VLOOKUP(A48,'Données projet'!$A$217:$I$237,7,0)),0%,VLOOKUP(A48,'Données projet'!$A$217:$I$237,7,0))</f>
        <v>0.3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2.8964897926841857</v>
      </c>
      <c r="FS48" s="21">
        <f>EXP(-LN(2)/2)*FS47+(1-EXP(-LN(2)/2))/(LN(2)/2)*FM48*FP48*VLOOKUP('Données projet'!$B$16,Paramètres!$A$1:$I$89,3,0)*0.475*44/12</f>
        <v>3.845211746332386</v>
      </c>
      <c r="FT48" s="22">
        <f t="shared" si="24"/>
        <v>6.7417015390165718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621.5415064074848</v>
      </c>
      <c r="S49" s="59">
        <f ca="1">AVERAGE(OFFSET($R$3,0,0,'Données projet'!$E$9+1,1))-AVERAGE(OFFSET($H$3,0,0,'Données projet'!$E$9+1,1))</f>
        <v>384.05928630855732</v>
      </c>
      <c r="T49" s="59">
        <f t="shared" si="34"/>
        <v>279.93992813630513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304.99999999999983</v>
      </c>
      <c r="AJ49" s="13">
        <f>AI49*VLOOKUP('Données projet'!$B$10,Paramètres!$A$1:$I$89,3,0)*VLOOKUP('Données projet'!$B$10,Paramètres!$A$1:$I$89,5,0)</f>
        <v>275.96399999999983</v>
      </c>
      <c r="AK49" s="13">
        <f t="shared" si="35"/>
        <v>66.113366665488854</v>
      </c>
      <c r="AL49" s="20">
        <f t="shared" si="4"/>
        <v>595.78474694239264</v>
      </c>
      <c r="AM49" s="59">
        <f t="shared" si="5"/>
        <v>889.11808027572602</v>
      </c>
      <c r="AN49" s="59">
        <f ca="1">AVERAGE(OFFSET($AM$3,0,0,'Données projet'!$E$10+1,1))-AVERAGE(OFFSET($H$3,0,0,'Données projet'!$E$10+1,1))</f>
        <v>366.69125512029831</v>
      </c>
      <c r="AO49" s="59">
        <f t="shared" si="36"/>
        <v>513.80016421153414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1.1773330118230148</v>
      </c>
      <c r="AV49" s="21">
        <f>EXP(-LN(2)/25)*AV48+(1-EXP(-LN(2)/25))/(LN(2)/25)*Calculateur!AQ49*Calculateur!AS49*VLOOKUP('Données projet'!$B$10,Paramètres!$A$1:$I$89,3,0)*0.475*44/12</f>
        <v>4.7377694951016567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5.9151025069246712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156.72384000000005</v>
      </c>
      <c r="BF49" s="13">
        <f t="shared" si="37"/>
        <v>40.102680984620484</v>
      </c>
      <c r="BG49" s="20">
        <f t="shared" si="7"/>
        <v>342.80619071488076</v>
      </c>
      <c r="BH49" s="59">
        <f t="shared" si="8"/>
        <v>636.13952404821407</v>
      </c>
      <c r="BI49" s="59">
        <f ca="1">AVERAGE(OFFSET($BH$3,0,0,'Données projet'!$E$11+1,1))-AVERAGE(OFFSET($H$3,0,0,'Données projet'!$E$11+1,1))</f>
        <v>354.24684313982857</v>
      </c>
      <c r="BJ49" s="59">
        <f t="shared" si="38"/>
        <v>322.65043486962185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4.2340957369772712</v>
      </c>
      <c r="BQ49" s="21">
        <f>EXP(-LN(2)/25)*BQ48+(1-EXP(-LN(2)/25))/(LN(2)/25)*Calculateur!BL49*Calculateur!BN49*VLOOKUP('Données projet'!$B$11,Paramètres!$A$1:$I$89,3,0)*0.475*44/12</f>
        <v>13.028597857623454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17.262693594600726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9.3452380952380913</v>
      </c>
      <c r="BY49" s="12">
        <f>IF('Données projet'!$A$114&gt;35,BY48+BX49-CG48,IF(A49&lt;'Données projet'!$A$114,$BV$205^A49,IF(A49='Données projet'!$A$114,'Données projet'!$B$114,BY48+BX49-CG48)))</f>
        <v>165.662087912088</v>
      </c>
      <c r="BZ49" s="13">
        <f>BY49*VLOOKUP('Données projet'!$B$12,Paramètres!$A$1:$I$89,3,0)*VLOOKUP('Données projet'!$B$12,Paramètres!$A$1:$I$89,5,0)</f>
        <v>160.22837142857151</v>
      </c>
      <c r="CA49" s="13">
        <f t="shared" si="39"/>
        <v>40.894020943216304</v>
      </c>
      <c r="CB49" s="20">
        <f t="shared" si="10"/>
        <v>350.28816671419708</v>
      </c>
      <c r="CC49" s="59">
        <f t="shared" si="11"/>
        <v>643.62150004753039</v>
      </c>
      <c r="CD49" s="59">
        <f ca="1">AVERAGE(OFFSET($CC$3,0,0,'Données projet'!$E$12+1,1))-AVERAGE(OFFSET($H$3,0,0,'Données projet'!$E$12+1,1))</f>
        <v>407.73540492005355</v>
      </c>
      <c r="CE49" s="59">
        <f t="shared" si="40"/>
        <v>296.29416764204774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151.32311999999996</v>
      </c>
      <c r="CV49" s="13">
        <f t="shared" si="41"/>
        <v>38.879115530839606</v>
      </c>
      <c r="CW49" s="20">
        <f t="shared" si="13"/>
        <v>331.26889354954557</v>
      </c>
      <c r="CX49" s="59">
        <f t="shared" si="14"/>
        <v>624.60222688287888</v>
      </c>
      <c r="CY49" s="59">
        <f ca="1">AVERAGE(OFFSET($CX$3,0,0,'Données projet'!$E$13+1,1))-AVERAGE(OFFSET($H$3,0,0,'Données projet'!$E$13+1,1))</f>
        <v>299.10536994156814</v>
      </c>
      <c r="CZ49" s="59">
        <f t="shared" si="42"/>
        <v>292.57799203101769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12.72159770763899</v>
      </c>
      <c r="DG49" s="21">
        <f>EXP(-LN(2)/25)*DG48+(1-EXP(-LN(2)/25))/(LN(2)/25)*Calculateur!DB49*Calculateur!DD49*VLOOKUP('Données projet'!$B$13,Paramètres!$A$1:$I$89,3,0)*0.475*44/12</f>
        <v>14.024264023340244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26.745861730979236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151.32311999999996</v>
      </c>
      <c r="DQ49" s="13">
        <f t="shared" si="43"/>
        <v>38.879115530839606</v>
      </c>
      <c r="DR49" s="20">
        <f t="shared" si="16"/>
        <v>331.26889354954557</v>
      </c>
      <c r="DS49" s="59">
        <f t="shared" si="17"/>
        <v>624.60222688287888</v>
      </c>
      <c r="DT49" s="59">
        <f ca="1">AVERAGE(OFFSET($DS$3,0,0,'Données projet'!$E$14+1,1))-AVERAGE(OFFSET($H$3,0,0,'Données projet'!$E$14+1,1))</f>
        <v>299.10536994156814</v>
      </c>
      <c r="DU49" s="59">
        <f t="shared" si="44"/>
        <v>292.57799203101769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12.72159770763899</v>
      </c>
      <c r="EB49" s="21">
        <f>EXP(-LN(2)/25)*EB48+(1-EXP(-LN(2)/25))/(LN(2)/25)*Calculateur!DW49*Calculateur!DY49*VLOOKUP('Données projet'!$B$14,Paramètres!$A$1:$I$89,3,0)*0.475*44/12</f>
        <v>14.024264023340244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26.745861730979236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5.8</v>
      </c>
      <c r="EJ49" s="12">
        <f>IF('Données projet'!$A$192&gt;35,EJ48+EI49-ER48,IF(A49&lt;'Données projet'!$A$192,$EG$205^A49,IF(A49='Données projet'!$A$192,'Données projet'!$B$192,EJ48+EI49-ER48)))</f>
        <v>160.80000000000001</v>
      </c>
      <c r="EK49" s="17">
        <f>EJ49*VLOOKUP('Données projet'!$B$15,Paramètres!$A$1:$I$89,3,0)*VLOOKUP('Données projet'!$B$15,Paramètres!$A$1:$I$89,5,0)</f>
        <v>105.35616</v>
      </c>
      <c r="EL49" s="13">
        <f t="shared" si="45"/>
        <v>28.234128165723941</v>
      </c>
      <c r="EM49" s="20">
        <f t="shared" si="19"/>
        <v>232.66975188863583</v>
      </c>
      <c r="EN49" s="59">
        <f t="shared" si="20"/>
        <v>526.00308522196917</v>
      </c>
      <c r="EO49" s="59">
        <f ca="1">AVERAGE(OFFSET($EN$3,0,0,'Données projet'!$E$15+1,1))-AVERAGE(OFFSET($H$3,0,0,'Données projet'!$E$15+1,1))</f>
        <v>230.58262378842818</v>
      </c>
      <c r="EP49" s="59">
        <f t="shared" si="46"/>
        <v>235.68746142880792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2.6186704275797839</v>
      </c>
      <c r="EX49" s="21">
        <f>EXP(-LN(2)/2)*EX48+(1-EXP(-LN(2)/2))/(LN(2)/2)*ER49*EU49*VLOOKUP('Données projet'!$B$15,Paramètres!$A$1:$I$89,3,0)*0.475*44/12</f>
        <v>3.4981602895160586</v>
      </c>
      <c r="EY49" s="22">
        <f t="shared" si="21"/>
        <v>6.1168307170958425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5.8</v>
      </c>
      <c r="FE49" s="12">
        <f>IF('Données projet'!$A$218&gt;35,FE48+FD49-FM48,IF(A49&lt;'Données projet'!$A$218,$FB$205^A49,IF(A49='Données projet'!$A$218,'Données projet'!$B$218,FE48+FD49-FM48)))</f>
        <v>147.79999999999998</v>
      </c>
      <c r="FF49" s="17">
        <f>FE49*VLOOKUP('Données projet'!$B$16,Paramètres!$A$1:$I$89,3,0)*VLOOKUP('Données projet'!$B$16,Paramètres!$A$1:$I$89,5,0)</f>
        <v>119.89536</v>
      </c>
      <c r="FG49" s="13">
        <f t="shared" si="47"/>
        <v>31.650592493512807</v>
      </c>
      <c r="FH49" s="20">
        <f t="shared" si="22"/>
        <v>263.94253392620141</v>
      </c>
      <c r="FI49" s="59">
        <f t="shared" si="23"/>
        <v>557.27586725953472</v>
      </c>
      <c r="FJ49" s="59">
        <f ca="1">AVERAGE(OFFSET($FI$3,0,0,'Données projet'!$E$16+1,1))-AVERAGE(OFFSET($H$3,0,0,'Données projet'!$E$16+1,1))</f>
        <v>272.90535195666996</v>
      </c>
      <c r="FK49" s="59">
        <f t="shared" si="48"/>
        <v>222.25422164416898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2.8172851269834585</v>
      </c>
      <c r="FS49" s="21">
        <f>EXP(-LN(2)/2)*FS48+(1-EXP(-LN(2)/2))/(LN(2)/2)*FM49*FP49*VLOOKUP('Données projet'!$B$16,Paramètres!$A$1:$I$89,3,0)*0.475*44/12</f>
        <v>2.718975300929797</v>
      </c>
      <c r="FT49" s="22">
        <f t="shared" si="24"/>
        <v>5.5362604279132555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639.60452687053976</v>
      </c>
      <c r="S50" s="59">
        <f ca="1">AVERAGE(OFFSET($R$3,0,0,'Données projet'!$E$9+1,1))-AVERAGE(OFFSET($H$3,0,0,'Données projet'!$E$9+1,1))</f>
        <v>384.05928630855732</v>
      </c>
      <c r="T50" s="59">
        <f t="shared" si="34"/>
        <v>279.93992813630513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304.99999999999983</v>
      </c>
      <c r="AJ50" s="13">
        <f>AI50*VLOOKUP('Données projet'!$B$10,Paramètres!$A$1:$I$89,3,0)*VLOOKUP('Données projet'!$B$10,Paramètres!$A$1:$I$89,5,0)</f>
        <v>275.96399999999983</v>
      </c>
      <c r="AK50" s="13">
        <f t="shared" si="35"/>
        <v>66.113366665488854</v>
      </c>
      <c r="AL50" s="20">
        <f t="shared" si="4"/>
        <v>595.78474694239264</v>
      </c>
      <c r="AM50" s="59">
        <f t="shared" si="5"/>
        <v>889.11808027572602</v>
      </c>
      <c r="AN50" s="59">
        <f ca="1">AVERAGE(OFFSET($AM$3,0,0,'Données projet'!$E$10+1,1))-AVERAGE(OFFSET($H$3,0,0,'Données projet'!$E$10+1,1))</f>
        <v>366.69125512029831</v>
      </c>
      <c r="AO50" s="59">
        <f t="shared" si="36"/>
        <v>513.80016421153414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1.154246229563396</v>
      </c>
      <c r="AV50" s="21">
        <f>EXP(-LN(2)/25)*AV49+(1-EXP(-LN(2)/25))/(LN(2)/25)*Calculateur!AQ50*Calculateur!AS50*VLOOKUP('Données projet'!$B$10,Paramètres!$A$1:$I$89,3,0)*0.475*44/12</f>
        <v>4.6082149391096321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5.7624611686730276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163.18848000000006</v>
      </c>
      <c r="BF50" s="13">
        <f t="shared" si="37"/>
        <v>41.560857991048017</v>
      </c>
      <c r="BG50" s="20">
        <f t="shared" si="7"/>
        <v>356.60509700107536</v>
      </c>
      <c r="BH50" s="59">
        <f t="shared" si="8"/>
        <v>649.93843033440862</v>
      </c>
      <c r="BI50" s="59">
        <f ca="1">AVERAGE(OFFSET($BH$3,0,0,'Données projet'!$E$11+1,1))-AVERAGE(OFFSET($H$3,0,0,'Données projet'!$E$11+1,1))</f>
        <v>354.24684313982857</v>
      </c>
      <c r="BJ50" s="59">
        <f t="shared" si="38"/>
        <v>322.65043486962185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4.1510677021185414</v>
      </c>
      <c r="BQ50" s="21">
        <f>EXP(-LN(2)/25)*BQ49+(1-EXP(-LN(2)/25))/(LN(2)/25)*Calculateur!BL50*Calculateur!BN50*VLOOKUP('Données projet'!$B$11,Paramètres!$A$1:$I$89,3,0)*0.475*44/12</f>
        <v>12.672330164062558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16.8233978661811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9.3452380952380913</v>
      </c>
      <c r="BY50" s="12">
        <f>IF('Données projet'!$A$114&gt;35,BY49+BX50-CG49,IF(A50&lt;'Données projet'!$A$114,$BV$205^A50,IF(A50='Données projet'!$A$114,'Données projet'!$B$114,BY49+BX50-CG49)))</f>
        <v>175.0073260073261</v>
      </c>
      <c r="BZ50" s="13">
        <f>BY50*VLOOKUP('Données projet'!$B$12,Paramètres!$A$1:$I$89,3,0)*VLOOKUP('Données projet'!$B$12,Paramètres!$A$1:$I$89,5,0)</f>
        <v>169.2670857142858</v>
      </c>
      <c r="CA50" s="13">
        <f t="shared" si="39"/>
        <v>42.925833912589638</v>
      </c>
      <c r="CB50" s="20">
        <f t="shared" si="10"/>
        <v>369.56933501680805</v>
      </c>
      <c r="CC50" s="59">
        <f t="shared" si="11"/>
        <v>662.90266835014131</v>
      </c>
      <c r="CD50" s="59">
        <f ca="1">AVERAGE(OFFSET($CC$3,0,0,'Données projet'!$E$12+1,1))-AVERAGE(OFFSET($H$3,0,0,'Données projet'!$E$12+1,1))</f>
        <v>407.73540492005355</v>
      </c>
      <c r="CE50" s="59">
        <f t="shared" si="40"/>
        <v>296.29416764204774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157.05143999999996</v>
      </c>
      <c r="CV50" s="13">
        <f t="shared" si="41"/>
        <v>40.176741230099708</v>
      </c>
      <c r="CW50" s="20">
        <f t="shared" si="13"/>
        <v>343.50574897575689</v>
      </c>
      <c r="CX50" s="59">
        <f t="shared" si="14"/>
        <v>636.83908230909014</v>
      </c>
      <c r="CY50" s="59">
        <f ca="1">AVERAGE(OFFSET($CX$3,0,0,'Données projet'!$E$13+1,1))-AVERAGE(OFFSET($H$3,0,0,'Données projet'!$E$13+1,1))</f>
        <v>299.10536994156814</v>
      </c>
      <c r="CZ50" s="59">
        <f t="shared" si="42"/>
        <v>292.57799203101769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12.472134936000613</v>
      </c>
      <c r="DG50" s="21">
        <f>EXP(-LN(2)/25)*DG49+(1-EXP(-LN(2)/25))/(LN(2)/25)*Calculateur!DB50*Calculateur!DD50*VLOOKUP('Données projet'!$B$13,Paramètres!$A$1:$I$89,3,0)*0.475*44/12</f>
        <v>13.640769786118012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26.112904722118625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157.05143999999996</v>
      </c>
      <c r="DQ50" s="13">
        <f t="shared" si="43"/>
        <v>40.176741230099708</v>
      </c>
      <c r="DR50" s="20">
        <f t="shared" si="16"/>
        <v>343.50574897575689</v>
      </c>
      <c r="DS50" s="59">
        <f t="shared" si="17"/>
        <v>636.83908230909014</v>
      </c>
      <c r="DT50" s="59">
        <f ca="1">AVERAGE(OFFSET($DS$3,0,0,'Données projet'!$E$14+1,1))-AVERAGE(OFFSET($H$3,0,0,'Données projet'!$E$14+1,1))</f>
        <v>299.10536994156814</v>
      </c>
      <c r="DU50" s="59">
        <f t="shared" si="44"/>
        <v>292.57799203101769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12.472134936000613</v>
      </c>
      <c r="EB50" s="21">
        <f>EXP(-LN(2)/25)*EB49+(1-EXP(-LN(2)/25))/(LN(2)/25)*Calculateur!DW50*Calculateur!DY50*VLOOKUP('Données projet'!$B$14,Paramètres!$A$1:$I$89,3,0)*0.475*44/12</f>
        <v>13.640769786118012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26.112904722118625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5.8</v>
      </c>
      <c r="EJ50" s="12">
        <f>IF('Données projet'!$A$192&gt;35,EJ49+EI50-ER49,IF(A50&lt;'Données projet'!$A$192,$EG$205^A50,IF(A50='Données projet'!$A$192,'Données projet'!$B$192,EJ49+EI50-ER49)))</f>
        <v>166.60000000000002</v>
      </c>
      <c r="EK50" s="17">
        <f>EJ50*VLOOKUP('Données projet'!$B$15,Paramètres!$A$1:$I$89,3,0)*VLOOKUP('Données projet'!$B$15,Paramètres!$A$1:$I$89,5,0)</f>
        <v>109.15632000000002</v>
      </c>
      <c r="EL50" s="13">
        <f t="shared" si="45"/>
        <v>29.13211799879036</v>
      </c>
      <c r="EM50" s="20">
        <f t="shared" si="19"/>
        <v>240.85236284789323</v>
      </c>
      <c r="EN50" s="59">
        <f t="shared" si="20"/>
        <v>534.1856961812266</v>
      </c>
      <c r="EO50" s="59">
        <f ca="1">AVERAGE(OFFSET($EN$3,0,0,'Données projet'!$E$15+1,1))-AVERAGE(OFFSET($H$3,0,0,'Données projet'!$E$15+1,1))</f>
        <v>230.58262378842818</v>
      </c>
      <c r="EP50" s="59">
        <f t="shared" si="46"/>
        <v>235.68746142880792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2.5470627470277218</v>
      </c>
      <c r="EX50" s="21">
        <f>EXP(-LN(2)/2)*EX49+(1-EXP(-LN(2)/2))/(LN(2)/2)*ER50*EU50*VLOOKUP('Données projet'!$B$15,Paramètres!$A$1:$I$89,3,0)*0.475*44/12</f>
        <v>2.4735728623943016</v>
      </c>
      <c r="EY50" s="22">
        <f t="shared" si="21"/>
        <v>5.0206356094220235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5.8</v>
      </c>
      <c r="FE50" s="12">
        <f>IF('Données projet'!$A$218&gt;35,FE49+FD50-FM49,IF(A50&lt;'Données projet'!$A$218,$FB$205^A50,IF(A50='Données projet'!$A$218,'Données projet'!$B$218,FE49+FD50-FM49)))</f>
        <v>153.6</v>
      </c>
      <c r="FF50" s="17">
        <f>FE50*VLOOKUP('Données projet'!$B$16,Paramètres!$A$1:$I$89,3,0)*VLOOKUP('Données projet'!$B$16,Paramètres!$A$1:$I$89,5,0)</f>
        <v>124.60032000000001</v>
      </c>
      <c r="FG50" s="13">
        <f t="shared" si="47"/>
        <v>32.745587947600931</v>
      </c>
      <c r="FH50" s="20">
        <f t="shared" si="22"/>
        <v>274.04412300873832</v>
      </c>
      <c r="FI50" s="59">
        <f t="shared" si="23"/>
        <v>567.37745634207158</v>
      </c>
      <c r="FJ50" s="59">
        <f ca="1">AVERAGE(OFFSET($FI$3,0,0,'Données projet'!$E$16+1,1))-AVERAGE(OFFSET($H$3,0,0,'Données projet'!$E$16+1,1))</f>
        <v>272.90535195666996</v>
      </c>
      <c r="FK50" s="59">
        <f t="shared" si="48"/>
        <v>222.25422164416898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2.7402463170315099</v>
      </c>
      <c r="FS50" s="21">
        <f>EXP(-LN(2)/2)*FS49+(1-EXP(-LN(2)/2))/(LN(2)/2)*FM50*FP50*VLOOKUP('Données projet'!$B$16,Paramètres!$A$1:$I$89,3,0)*0.475*44/12</f>
        <v>1.9226058731661932</v>
      </c>
      <c r="FT50" s="22">
        <f t="shared" si="24"/>
        <v>4.6628521901977029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657.64686438321587</v>
      </c>
      <c r="S51" s="59">
        <f ca="1">AVERAGE(OFFSET($R$3,0,0,'Données projet'!$E$9+1,1))-AVERAGE(OFFSET($H$3,0,0,'Données projet'!$E$9+1,1))</f>
        <v>384.05928630855732</v>
      </c>
      <c r="T51" s="59">
        <f t="shared" si="34"/>
        <v>279.93992813630513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304.99999999999983</v>
      </c>
      <c r="AJ51" s="13">
        <f>AI51*VLOOKUP('Données projet'!$B$10,Paramètres!$A$1:$I$89,3,0)*VLOOKUP('Données projet'!$B$10,Paramètres!$A$1:$I$89,5,0)</f>
        <v>275.96399999999983</v>
      </c>
      <c r="AK51" s="13">
        <f t="shared" si="35"/>
        <v>66.113366665488854</v>
      </c>
      <c r="AL51" s="20">
        <f t="shared" si="4"/>
        <v>595.78474694239264</v>
      </c>
      <c r="AM51" s="59">
        <f t="shared" si="5"/>
        <v>889.11808027572602</v>
      </c>
      <c r="AN51" s="59">
        <f ca="1">AVERAGE(OFFSET($AM$3,0,0,'Données projet'!$E$10+1,1))-AVERAGE(OFFSET($H$3,0,0,'Données projet'!$E$10+1,1))</f>
        <v>366.69125512029831</v>
      </c>
      <c r="AO51" s="59">
        <f t="shared" si="36"/>
        <v>513.80016421153414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1.1316121650223416</v>
      </c>
      <c r="AV51" s="21">
        <f>EXP(-LN(2)/25)*AV50+(1-EXP(-LN(2)/25))/(LN(2)/25)*Calculateur!AQ51*Calculateur!AS51*VLOOKUP('Données projet'!$B$10,Paramètres!$A$1:$I$89,3,0)*0.475*44/12</f>
        <v>4.4822030592641875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5.6138152242865296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169.65312000000006</v>
      </c>
      <c r="BF51" s="13">
        <f t="shared" si="37"/>
        <v>43.012324771430336</v>
      </c>
      <c r="BG51" s="20">
        <f t="shared" si="7"/>
        <v>370.39231631024131</v>
      </c>
      <c r="BH51" s="59">
        <f t="shared" si="8"/>
        <v>663.72564964357457</v>
      </c>
      <c r="BI51" s="59">
        <f ca="1">AVERAGE(OFFSET($BH$3,0,0,'Données projet'!$E$11+1,1))-AVERAGE(OFFSET($H$3,0,0,'Données projet'!$E$11+1,1))</f>
        <v>354.24684313982857</v>
      </c>
      <c r="BJ51" s="59">
        <f t="shared" si="38"/>
        <v>322.65043486962185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4.0696677963812906</v>
      </c>
      <c r="BQ51" s="21">
        <f>EXP(-LN(2)/25)*BQ50+(1-EXP(-LN(2)/25))/(LN(2)/25)*Calculateur!BL51*Calculateur!BN51*VLOOKUP('Données projet'!$B$11,Paramètres!$A$1:$I$89,3,0)*0.475*44/12</f>
        <v>12.325804629317387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16.395472425698678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>
        <f>VLOOKUP(A51,'Données projet'!$A$113:$I$133,2,0)</f>
        <v>184.35256410256409</v>
      </c>
      <c r="BW51" s="12">
        <f>VLOOKUP(A51,'Données projet'!$A$113:$I$133,9,0)</f>
        <v>9.3452380952380913</v>
      </c>
      <c r="BX51" s="12">
        <f t="array" ref="BX51">INDEX(BW:BW,MIN(IF(ISNUMBER(BW51:BW247),ROW(BW51:BW247),"")))</f>
        <v>9.3452380952380913</v>
      </c>
      <c r="BY51" s="12">
        <f>IF('Données projet'!$A$114&gt;35,BY50+BX51-CG50,IF(A51&lt;'Données projet'!$A$114,$BV$205^A51,IF(A51='Données projet'!$A$114,'Données projet'!$B$114,BY50+BX51-CG50)))</f>
        <v>184.3525641025642</v>
      </c>
      <c r="BZ51" s="13">
        <f>BY51*VLOOKUP('Données projet'!$B$12,Paramètres!$A$1:$I$89,3,0)*VLOOKUP('Données projet'!$B$12,Paramètres!$A$1:$I$89,5,0)</f>
        <v>178.30580000000009</v>
      </c>
      <c r="CA51" s="13">
        <f t="shared" si="39"/>
        <v>44.945050675465268</v>
      </c>
      <c r="CB51" s="20">
        <f t="shared" si="10"/>
        <v>388.82856492643549</v>
      </c>
      <c r="CC51" s="59">
        <f t="shared" si="11"/>
        <v>682.1618982597688</v>
      </c>
      <c r="CD51" s="59">
        <f ca="1">AVERAGE(OFFSET($CC$3,0,0,'Données projet'!$E$12+1,1))-AVERAGE(OFFSET($H$3,0,0,'Données projet'!$E$12+1,1))</f>
        <v>407.73540492005355</v>
      </c>
      <c r="CE51" s="59">
        <f t="shared" si="40"/>
        <v>296.29416764204774</v>
      </c>
      <c r="CF51" s="15">
        <f>IF(ISNA(VLOOKUP(A51,'Données projet'!$A$113:$I$133,3,0)),0,VLOOKUP(A51,'Données projet'!$A$113:$I$133,3,0))</f>
        <v>3</v>
      </c>
      <c r="CG51" s="15">
        <f>IF(ISNA(VLOOKUP(A51,'Données projet'!$A$113:$I$133,4,0)),0,VLOOKUP(A51,'Données projet'!$A$113:$I$133,4,0))</f>
        <v>48.025641025641022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162.77975999999995</v>
      </c>
      <c r="CV51" s="13">
        <f t="shared" si="41"/>
        <v>41.468868129640057</v>
      </c>
      <c r="CW51" s="20">
        <f t="shared" si="13"/>
        <v>355.73302732578964</v>
      </c>
      <c r="CX51" s="59">
        <f t="shared" si="14"/>
        <v>649.06636065912289</v>
      </c>
      <c r="CY51" s="59">
        <f ca="1">AVERAGE(OFFSET($CX$3,0,0,'Données projet'!$E$13+1,1))-AVERAGE(OFFSET($H$3,0,0,'Données projet'!$E$13+1,1))</f>
        <v>299.10536994156814</v>
      </c>
      <c r="CZ51" s="59">
        <f t="shared" si="42"/>
        <v>292.57799203101769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12.227563977156798</v>
      </c>
      <c r="DG51" s="21">
        <f>EXP(-LN(2)/25)*DG50+(1-EXP(-LN(2)/25))/(LN(2)/25)*Calculateur!DB51*Calculateur!DD51*VLOOKUP('Données projet'!$B$13,Paramètres!$A$1:$I$89,3,0)*0.475*44/12</f>
        <v>13.267762218979708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25.495326196136507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162.77975999999995</v>
      </c>
      <c r="DQ51" s="13">
        <f t="shared" si="43"/>
        <v>41.468868129640057</v>
      </c>
      <c r="DR51" s="20">
        <f t="shared" si="16"/>
        <v>355.73302732578964</v>
      </c>
      <c r="DS51" s="59">
        <f t="shared" si="17"/>
        <v>649.06636065912289</v>
      </c>
      <c r="DT51" s="59">
        <f ca="1">AVERAGE(OFFSET($DS$3,0,0,'Données projet'!$E$14+1,1))-AVERAGE(OFFSET($H$3,0,0,'Données projet'!$E$14+1,1))</f>
        <v>299.10536994156814</v>
      </c>
      <c r="DU51" s="59">
        <f t="shared" si="44"/>
        <v>292.57799203101769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12.227563977156798</v>
      </c>
      <c r="EB51" s="21">
        <f>EXP(-LN(2)/25)*EB50+(1-EXP(-LN(2)/25))/(LN(2)/25)*Calculateur!DW51*Calculateur!DY51*VLOOKUP('Données projet'!$B$14,Paramètres!$A$1:$I$89,3,0)*0.475*44/12</f>
        <v>13.267762218979708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25.495326196136507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5.8</v>
      </c>
      <c r="EJ51" s="12">
        <f>IF('Données projet'!$A$192&gt;35,EJ50+EI51-ER50,IF(A51&lt;'Données projet'!$A$192,$EG$205^A51,IF(A51='Données projet'!$A$192,'Données projet'!$B$192,EJ50+EI51-ER50)))</f>
        <v>172.40000000000003</v>
      </c>
      <c r="EK51" s="17">
        <f>EJ51*VLOOKUP('Données projet'!$B$15,Paramètres!$A$1:$I$89,3,0)*VLOOKUP('Données projet'!$B$15,Paramètres!$A$1:$I$89,5,0)</f>
        <v>112.95648000000003</v>
      </c>
      <c r="EL51" s="13">
        <f t="shared" si="45"/>
        <v>30.026475458997034</v>
      </c>
      <c r="EM51" s="20">
        <f t="shared" si="19"/>
        <v>249.02864742441989</v>
      </c>
      <c r="EN51" s="59">
        <f t="shared" si="20"/>
        <v>542.36198075775314</v>
      </c>
      <c r="EO51" s="59">
        <f ca="1">AVERAGE(OFFSET($EN$3,0,0,'Données projet'!$E$15+1,1))-AVERAGE(OFFSET($H$3,0,0,'Données projet'!$E$15+1,1))</f>
        <v>230.58262378842818</v>
      </c>
      <c r="EP51" s="59">
        <f t="shared" si="46"/>
        <v>235.68746142880792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2.4774131822660403</v>
      </c>
      <c r="EX51" s="21">
        <f>EXP(-LN(2)/2)*EX50+(1-EXP(-LN(2)/2))/(LN(2)/2)*ER51*EU51*VLOOKUP('Données projet'!$B$15,Paramètres!$A$1:$I$89,3,0)*0.475*44/12</f>
        <v>1.7490801447580295</v>
      </c>
      <c r="EY51" s="22">
        <f t="shared" si="21"/>
        <v>4.2264933270240697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5.8</v>
      </c>
      <c r="FE51" s="12">
        <f>IF('Données projet'!$A$218&gt;35,FE50+FD51-FM50,IF(A51&lt;'Données projet'!$A$218,$FB$205^A51,IF(A51='Données projet'!$A$218,'Données projet'!$B$218,FE50+FD51-FM50)))</f>
        <v>159.4</v>
      </c>
      <c r="FF51" s="17">
        <f>FE51*VLOOKUP('Données projet'!$B$16,Paramètres!$A$1:$I$89,3,0)*VLOOKUP('Données projet'!$B$16,Paramètres!$A$1:$I$89,5,0)</f>
        <v>129.30528000000001</v>
      </c>
      <c r="FG51" s="13">
        <f t="shared" si="47"/>
        <v>33.835779910277751</v>
      </c>
      <c r="FH51" s="20">
        <f t="shared" si="22"/>
        <v>284.13734601040039</v>
      </c>
      <c r="FI51" s="59">
        <f t="shared" si="23"/>
        <v>577.47067934373376</v>
      </c>
      <c r="FJ51" s="59">
        <f ca="1">AVERAGE(OFFSET($FI$3,0,0,'Données projet'!$E$16+1,1))-AVERAGE(OFFSET($H$3,0,0,'Données projet'!$E$16+1,1))</f>
        <v>272.90535195666996</v>
      </c>
      <c r="FK51" s="59">
        <f t="shared" si="48"/>
        <v>222.25422164416898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2.6653141373889921</v>
      </c>
      <c r="FS51" s="21">
        <f>EXP(-LN(2)/2)*FS50+(1-EXP(-LN(2)/2))/(LN(2)/2)*FM51*FP51*VLOOKUP('Données projet'!$B$16,Paramètres!$A$1:$I$89,3,0)*0.475*44/12</f>
        <v>1.3594876504648987</v>
      </c>
      <c r="FT51" s="22">
        <f t="shared" si="24"/>
        <v>4.0248017878538906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581.91341142385932</v>
      </c>
      <c r="S52" s="59">
        <f ca="1">AVERAGE(OFFSET($R$3,0,0,'Données projet'!$E$9+1,1))-AVERAGE(OFFSET($H$3,0,0,'Données projet'!$E$9+1,1))</f>
        <v>384.05928630855732</v>
      </c>
      <c r="T52" s="59">
        <f t="shared" si="34"/>
        <v>279.93992813630513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304.99999999999983</v>
      </c>
      <c r="AJ52" s="13">
        <f>AI52*VLOOKUP('Données projet'!$B$10,Paramètres!$A$1:$I$89,3,0)*VLOOKUP('Données projet'!$B$10,Paramètres!$A$1:$I$89,5,0)</f>
        <v>275.96399999999983</v>
      </c>
      <c r="AK52" s="13">
        <f t="shared" si="35"/>
        <v>66.113366665488854</v>
      </c>
      <c r="AL52" s="20">
        <f t="shared" si="4"/>
        <v>595.78474694239264</v>
      </c>
      <c r="AM52" s="59">
        <f t="shared" si="5"/>
        <v>889.11808027572602</v>
      </c>
      <c r="AN52" s="59">
        <f ca="1">AVERAGE(OFFSET($AM$3,0,0,'Données projet'!$E$10+1,1))-AVERAGE(OFFSET($H$3,0,0,'Données projet'!$E$10+1,1))</f>
        <v>366.69125512029831</v>
      </c>
      <c r="AO52" s="59">
        <f t="shared" si="36"/>
        <v>513.80016421153414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1.1094219406815211</v>
      </c>
      <c r="AV52" s="21">
        <f>EXP(-LN(2)/25)*AV51+(1-EXP(-LN(2)/25))/(LN(2)/25)*Calculateur!AQ52*Calculateur!AS52*VLOOKUP('Données projet'!$B$10,Paramètres!$A$1:$I$89,3,0)*0.475*44/12</f>
        <v>4.3596369808997935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5.4690589215813148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176.11776000000006</v>
      </c>
      <c r="BF52" s="13">
        <f t="shared" si="37"/>
        <v>44.457366290237246</v>
      </c>
      <c r="BG52" s="20">
        <f t="shared" si="7"/>
        <v>384.16834495549665</v>
      </c>
      <c r="BH52" s="59">
        <f t="shared" si="8"/>
        <v>677.50167828882991</v>
      </c>
      <c r="BI52" s="59">
        <f ca="1">AVERAGE(OFFSET($BH$3,0,0,'Données projet'!$E$11+1,1))-AVERAGE(OFFSET($H$3,0,0,'Données projet'!$E$11+1,1))</f>
        <v>354.24684313982857</v>
      </c>
      <c r="BJ52" s="59">
        <f t="shared" si="38"/>
        <v>322.65043486962185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3.9898640931465073</v>
      </c>
      <c r="BQ52" s="21">
        <f>EXP(-LN(2)/25)*BQ51+(1-EXP(-LN(2)/25))/(LN(2)/25)*Calculateur!BL52*Calculateur!BN52*VLOOKUP('Données projet'!$B$11,Paramètres!$A$1:$I$89,3,0)*0.475*44/12</f>
        <v>11.988754853542808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15.978618946689316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8.8736263736263741</v>
      </c>
      <c r="BY52" s="12">
        <f>IF('Données projet'!$A$114&gt;35,BY51+BX52-CG51,IF(A52&lt;'Données projet'!$A$114,$BV$205^A52,IF(A52='Données projet'!$A$114,'Données projet'!$B$114,BY51+BX52-CG51)))</f>
        <v>145.20054945054954</v>
      </c>
      <c r="BZ52" s="13">
        <f>BY52*VLOOKUP('Données projet'!$B$12,Paramètres!$A$1:$I$89,3,0)*VLOOKUP('Données projet'!$B$12,Paramètres!$A$1:$I$89,5,0)</f>
        <v>140.43797142857153</v>
      </c>
      <c r="CA52" s="13">
        <f t="shared" si="39"/>
        <v>36.397320352581886</v>
      </c>
      <c r="CB52" s="20">
        <f t="shared" si="10"/>
        <v>307.98813318550884</v>
      </c>
      <c r="CC52" s="59">
        <f t="shared" si="11"/>
        <v>601.32146651884216</v>
      </c>
      <c r="CD52" s="59">
        <f ca="1">AVERAGE(OFFSET($CC$3,0,0,'Données projet'!$E$12+1,1))-AVERAGE(OFFSET($H$3,0,0,'Données projet'!$E$12+1,1))</f>
        <v>407.73540492005355</v>
      </c>
      <c r="CE52" s="59">
        <f t="shared" si="40"/>
        <v>296.29416764204774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168.50807999999992</v>
      </c>
      <c r="CV52" s="13">
        <f t="shared" si="41"/>
        <v>42.755711908378117</v>
      </c>
      <c r="CW52" s="20">
        <f t="shared" si="13"/>
        <v>367.95110424042508</v>
      </c>
      <c r="CX52" s="59">
        <f t="shared" si="14"/>
        <v>661.2844375737584</v>
      </c>
      <c r="CY52" s="59">
        <f ca="1">AVERAGE(OFFSET($CX$3,0,0,'Données projet'!$E$13+1,1))-AVERAGE(OFFSET($H$3,0,0,'Données projet'!$E$13+1,1))</f>
        <v>299.10536994156814</v>
      </c>
      <c r="CZ52" s="59">
        <f t="shared" si="42"/>
        <v>292.57799203101769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11.987788905642356</v>
      </c>
      <c r="DG52" s="21">
        <f>EXP(-LN(2)/25)*DG51+(1-EXP(-LN(2)/25))/(LN(2)/25)*Calculateur!DB52*Calculateur!DD52*VLOOKUP('Données projet'!$B$13,Paramètres!$A$1:$I$89,3,0)*0.475*44/12</f>
        <v>12.904954563380418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24.892743469022776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168.50807999999992</v>
      </c>
      <c r="DQ52" s="13">
        <f t="shared" si="43"/>
        <v>42.755711908378117</v>
      </c>
      <c r="DR52" s="20">
        <f t="shared" si="16"/>
        <v>367.95110424042508</v>
      </c>
      <c r="DS52" s="59">
        <f t="shared" si="17"/>
        <v>661.2844375737584</v>
      </c>
      <c r="DT52" s="59">
        <f ca="1">AVERAGE(OFFSET($DS$3,0,0,'Données projet'!$E$14+1,1))-AVERAGE(OFFSET($H$3,0,0,'Données projet'!$E$14+1,1))</f>
        <v>299.10536994156814</v>
      </c>
      <c r="DU52" s="59">
        <f t="shared" si="44"/>
        <v>292.57799203101769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11.987788905642356</v>
      </c>
      <c r="EB52" s="21">
        <f>EXP(-LN(2)/25)*EB51+(1-EXP(-LN(2)/25))/(LN(2)/25)*Calculateur!DW52*Calculateur!DY52*VLOOKUP('Données projet'!$B$14,Paramètres!$A$1:$I$89,3,0)*0.475*44/12</f>
        <v>12.904954563380418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24.892743469022776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5.8</v>
      </c>
      <c r="EJ52" s="12">
        <f>IF('Données projet'!$A$192&gt;35,EJ51+EI52-ER51,IF(A52&lt;'Données projet'!$A$192,$EG$205^A52,IF(A52='Données projet'!$A$192,'Données projet'!$B$192,EJ51+EI52-ER51)))</f>
        <v>178.20000000000005</v>
      </c>
      <c r="EK52" s="17">
        <f>EJ52*VLOOKUP('Données projet'!$B$15,Paramètres!$A$1:$I$89,3,0)*VLOOKUP('Données projet'!$B$15,Paramètres!$A$1:$I$89,5,0)</f>
        <v>116.75664000000003</v>
      </c>
      <c r="EL52" s="13">
        <f t="shared" si="45"/>
        <v>30.91733675897062</v>
      </c>
      <c r="EM52" s="20">
        <f t="shared" si="19"/>
        <v>257.19884285520715</v>
      </c>
      <c r="EN52" s="59">
        <f t="shared" si="20"/>
        <v>550.53217618854046</v>
      </c>
      <c r="EO52" s="59">
        <f ca="1">AVERAGE(OFFSET($EN$3,0,0,'Données projet'!$E$15+1,1))-AVERAGE(OFFSET($H$3,0,0,'Données projet'!$E$15+1,1))</f>
        <v>230.58262378842818</v>
      </c>
      <c r="EP52" s="59">
        <f t="shared" si="46"/>
        <v>235.68746142880792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2.4096681885154783</v>
      </c>
      <c r="EX52" s="21">
        <f>EXP(-LN(2)/2)*EX51+(1-EXP(-LN(2)/2))/(LN(2)/2)*ER52*EU52*VLOOKUP('Données projet'!$B$15,Paramètres!$A$1:$I$89,3,0)*0.475*44/12</f>
        <v>1.236786431197151</v>
      </c>
      <c r="EY52" s="22">
        <f t="shared" si="21"/>
        <v>3.6464546197126291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5.8</v>
      </c>
      <c r="FE52" s="12">
        <f>IF('Données projet'!$A$218&gt;35,FE51+FD52-FM51,IF(A52&lt;'Données projet'!$A$218,$FB$205^A52,IF(A52='Données projet'!$A$218,'Données projet'!$B$218,FE51+FD52-FM51)))</f>
        <v>165.20000000000002</v>
      </c>
      <c r="FF52" s="17">
        <f>FE52*VLOOKUP('Données projet'!$B$16,Paramètres!$A$1:$I$89,3,0)*VLOOKUP('Données projet'!$B$16,Paramètres!$A$1:$I$89,5,0)</f>
        <v>134.01024000000001</v>
      </c>
      <c r="FG52" s="13">
        <f t="shared" si="47"/>
        <v>34.921363182969436</v>
      </c>
      <c r="FH52" s="20">
        <f t="shared" si="22"/>
        <v>294.22254221033842</v>
      </c>
      <c r="FI52" s="59">
        <f t="shared" si="23"/>
        <v>587.55587554367173</v>
      </c>
      <c r="FJ52" s="59">
        <f ca="1">AVERAGE(OFFSET($FI$3,0,0,'Données projet'!$E$16+1,1))-AVERAGE(OFFSET($H$3,0,0,'Données projet'!$E$16+1,1))</f>
        <v>272.90535195666996</v>
      </c>
      <c r="FK52" s="59">
        <f t="shared" si="48"/>
        <v>222.25422164416898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2.5924309821393114</v>
      </c>
      <c r="FS52" s="21">
        <f>EXP(-LN(2)/2)*FS51+(1-EXP(-LN(2)/2))/(LN(2)/2)*FM52*FP52*VLOOKUP('Données projet'!$B$16,Paramètres!$A$1:$I$89,3,0)*0.475*44/12</f>
        <v>0.96130293658309685</v>
      </c>
      <c r="FT52" s="22">
        <f t="shared" si="24"/>
        <v>3.5537339187224082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599.11301458381627</v>
      </c>
      <c r="S53" s="59">
        <f ca="1">AVERAGE(OFFSET($R$3,0,0,'Données projet'!$E$9+1,1))-AVERAGE(OFFSET($H$3,0,0,'Données projet'!$E$9+1,1))</f>
        <v>384.05928630855732</v>
      </c>
      <c r="T53" s="59">
        <f t="shared" si="34"/>
        <v>279.93992813630513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304.99999999999983</v>
      </c>
      <c r="AJ53" s="13">
        <f>AI53*VLOOKUP('Données projet'!$B$10,Paramètres!$A$1:$I$89,3,0)*VLOOKUP('Données projet'!$B$10,Paramètres!$A$1:$I$89,5,0)</f>
        <v>275.96399999999983</v>
      </c>
      <c r="AK53" s="13">
        <f t="shared" si="35"/>
        <v>66.113366665488854</v>
      </c>
      <c r="AL53" s="20">
        <f t="shared" si="4"/>
        <v>595.78474694239264</v>
      </c>
      <c r="AM53" s="59">
        <f t="shared" si="5"/>
        <v>889.11808027572602</v>
      </c>
      <c r="AN53" s="59">
        <f ca="1">AVERAGE(OFFSET($AM$3,0,0,'Données projet'!$E$10+1,1))-AVERAGE(OFFSET($H$3,0,0,'Données projet'!$E$10+1,1))</f>
        <v>366.69125512029831</v>
      </c>
      <c r="AO53" s="59">
        <f t="shared" si="36"/>
        <v>513.80016421153414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1.0876668531053237</v>
      </c>
      <c r="AV53" s="21">
        <f>EXP(-LN(2)/25)*AV52+(1-EXP(-LN(2)/25))/(LN(2)/25)*Calculateur!AQ53*Calculateur!AS53*VLOOKUP('Données projet'!$B$10,Paramètres!$A$1:$I$89,3,0)*0.475*44/12</f>
        <v>4.2404224783937439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5.3280893314990676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691.26697408291841</v>
      </c>
      <c r="BI53" s="59">
        <f ca="1">AVERAGE(OFFSET($BH$3,0,0,'Données projet'!$E$11+1,1))-AVERAGE(OFFSET($H$3,0,0,'Données projet'!$E$11+1,1))</f>
        <v>354.24684313982857</v>
      </c>
      <c r="BJ53" s="59">
        <f t="shared" si="38"/>
        <v>322.65043486962185</v>
      </c>
      <c r="BK53" s="15">
        <f>IF(ISNA(VLOOKUP(A53,'Données projet'!$A$87:$I$107,3,0)),0,VLOOKUP(A53,'Données projet'!$A$87:$I$107,3,0))</f>
        <v>7</v>
      </c>
      <c r="BL53" s="15" t="str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0.17200000000000001</v>
      </c>
      <c r="BN53" s="16">
        <f>IF(ISNA(VLOOKUP(A53,'Données projet'!$A$87:$I$107,6,0)),0%,VLOOKUP(A53,'Données projet'!$A$87:$I$107,6,0)*VLOOKUP('Données projet'!$B$11,Paramètres!$A$1:$I$89,7,0))</f>
        <v>0.17200000000000001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7.8981955683123255</v>
      </c>
      <c r="BQ53" s="21">
        <f>EXP(-LN(2)/25)*BQ52+(1-EXP(-LN(2)/25))/(LN(2)/25)*Calculateur!BL53*Calculateur!BN53*VLOOKUP('Données projet'!$B$11,Paramètres!$A$1:$I$89,3,0)*0.475*44/12</f>
        <v>15.631795351886314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23.529990920198639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8.8736263736263741</v>
      </c>
      <c r="BY53" s="12">
        <f>IF('Données projet'!$A$114&gt;35,BY52+BX53-CG52,IF(A53&lt;'Données projet'!$A$114,$BV$205^A53,IF(A53='Données projet'!$A$114,'Données projet'!$B$114,BY52+BX53-CG52)))</f>
        <v>154.07417582417591</v>
      </c>
      <c r="BZ53" s="13">
        <f>BY53*VLOOKUP('Données projet'!$B$12,Paramètres!$A$1:$I$89,3,0)*VLOOKUP('Données projet'!$B$12,Paramètres!$A$1:$I$89,5,0)</f>
        <v>149.02054285714294</v>
      </c>
      <c r="CA53" s="13">
        <f t="shared" si="39"/>
        <v>38.355915675338331</v>
      </c>
      <c r="CB53" s="20">
        <f t="shared" si="10"/>
        <v>326.34733194407158</v>
      </c>
      <c r="CC53" s="59">
        <f t="shared" si="11"/>
        <v>619.68066527740484</v>
      </c>
      <c r="CD53" s="59">
        <f ca="1">AVERAGE(OFFSET($CC$3,0,0,'Données projet'!$E$12+1,1))-AVERAGE(OFFSET($H$3,0,0,'Données projet'!$E$12+1,1))</f>
        <v>407.73540492005355</v>
      </c>
      <c r="CE53" s="59">
        <f t="shared" si="40"/>
        <v>296.29416764204774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174.23639999999992</v>
      </c>
      <c r="CV53" s="13">
        <f t="shared" si="41"/>
        <v>44.03747274965864</v>
      </c>
      <c r="CW53" s="20">
        <f t="shared" si="13"/>
        <v>380.160328372322</v>
      </c>
      <c r="CX53" s="59">
        <f t="shared" si="14"/>
        <v>673.49366170565531</v>
      </c>
      <c r="CY53" s="59">
        <f ca="1">AVERAGE(OFFSET($CX$3,0,0,'Données projet'!$E$13+1,1))-AVERAGE(OFFSET($H$3,0,0,'Données projet'!$E$13+1,1))</f>
        <v>299.10536994156814</v>
      </c>
      <c r="CZ53" s="59">
        <f t="shared" si="42"/>
        <v>292.57799203101769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0.37630000000000002</v>
      </c>
      <c r="DD53" s="16">
        <f>IF(ISNA(VLOOKUP(A53,'Données projet'!$A$139:$I$159,6,0)),0%,VLOOKUP(A53,'Données projet'!$A$139:$I$159,6,0)*VLOOKUP('Données projet'!$B$13,Paramètres!$A$1:$I$89,7,0))</f>
        <v>9.5399999999999999E-2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17.379043388874543</v>
      </c>
      <c r="DG53" s="21">
        <f>EXP(-LN(2)/25)*DG52+(1-EXP(-LN(2)/25))/(LN(2)/25)*Calculateur!DB53*Calculateur!DD53*VLOOKUP('Données projet'!$B$13,Paramètres!$A$1:$I$89,3,0)*0.475*44/12</f>
        <v>13.972844590726073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31.351887979600615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174.23639999999992</v>
      </c>
      <c r="DQ53" s="13">
        <f t="shared" si="43"/>
        <v>44.03747274965864</v>
      </c>
      <c r="DR53" s="20">
        <f t="shared" si="16"/>
        <v>380.160328372322</v>
      </c>
      <c r="DS53" s="59">
        <f t="shared" si="17"/>
        <v>673.49366170565531</v>
      </c>
      <c r="DT53" s="59">
        <f ca="1">AVERAGE(OFFSET($DS$3,0,0,'Données projet'!$E$14+1,1))-AVERAGE(OFFSET($H$3,0,0,'Données projet'!$E$14+1,1))</f>
        <v>299.10536994156814</v>
      </c>
      <c r="DU53" s="59">
        <f t="shared" si="44"/>
        <v>292.57799203101769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0.37630000000000002</v>
      </c>
      <c r="DY53" s="16">
        <f>IF(ISNA(VLOOKUP(A53,'Données projet'!$A$165:$I$185,6,0)),0%,VLOOKUP(A53,'Données projet'!$A$165:$I$185,6,0)*VLOOKUP('Données projet'!$B$14,Paramètres!$A$1:$I$89,7,0))</f>
        <v>9.5399999999999999E-2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17.379043388874543</v>
      </c>
      <c r="EB53" s="21">
        <f>EXP(-LN(2)/25)*EB52+(1-EXP(-LN(2)/25))/(LN(2)/25)*Calculateur!DW53*Calculateur!DY53*VLOOKUP('Données projet'!$B$14,Paramètres!$A$1:$I$89,3,0)*0.475*44/12</f>
        <v>13.972844590726073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31.351887979600615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184</v>
      </c>
      <c r="EH53" s="12">
        <f>VLOOKUP(A53,'Données projet'!$A$191:$I$211,9,0)</f>
        <v>5.8</v>
      </c>
      <c r="EI53" s="12">
        <f t="array" ref="EI53">INDEX(EH:EH,MIN(IF(ISNUMBER(EH53:EH249),ROW(EH53:EH249),"")))</f>
        <v>5.8</v>
      </c>
      <c r="EJ53" s="12">
        <f>IF('Données projet'!$A$192&gt;35,EJ52+EI53-ER52,IF(A53&lt;'Données projet'!$A$192,$EG$205^A53,IF(A53='Données projet'!$A$192,'Données projet'!$B$192,EJ52+EI53-ER52)))</f>
        <v>184.00000000000006</v>
      </c>
      <c r="EK53" s="17">
        <f>EJ53*VLOOKUP('Données projet'!$B$15,Paramètres!$A$1:$I$89,3,0)*VLOOKUP('Données projet'!$B$15,Paramètres!$A$1:$I$89,5,0)</f>
        <v>120.55680000000002</v>
      </c>
      <c r="EL53" s="13">
        <f t="shared" si="45"/>
        <v>31.804828741198779</v>
      </c>
      <c r="EM53" s="20">
        <f t="shared" si="19"/>
        <v>265.36317005758792</v>
      </c>
      <c r="EN53" s="59">
        <f t="shared" si="20"/>
        <v>558.69650339092118</v>
      </c>
      <c r="EO53" s="59">
        <f ca="1">AVERAGE(OFFSET($EN$3,0,0,'Données projet'!$E$15+1,1))-AVERAGE(OFFSET($H$3,0,0,'Données projet'!$E$15+1,1))</f>
        <v>230.58262378842818</v>
      </c>
      <c r="EP53" s="59">
        <f t="shared" si="46"/>
        <v>235.68746142880792</v>
      </c>
      <c r="EQ53" s="15">
        <f>IF(ISNA(VLOOKUP(A53,'Données projet'!$A$191:$I$211,3,0)),0,VLOOKUP(A53,'Données projet'!$A$191:$I$211,3,0))</f>
        <v>9</v>
      </c>
      <c r="ER53" s="15">
        <f>IF(ISNA(VLOOKUP(A53,'Données projet'!$A$191:$I$211,4,0)),0,VLOOKUP(A53,'Données projet'!$A$191:$I$211,4,0))</f>
        <v>21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0.129</v>
      </c>
      <c r="EU53" s="16">
        <f>IF(ISNA(VLOOKUP(A53,'Données projet'!$A$191:$I$211,7,0)),0%,VLOOKUP(A53,'Données projet'!$A$191:$I$211,7,0))</f>
        <v>0.3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4.2981900500824821</v>
      </c>
      <c r="EX53" s="21">
        <f>EXP(-LN(2)/2)*EX52+(1-EXP(-LN(2)/2))/(LN(2)/2)*ER53*EU53*VLOOKUP('Données projet'!$B$15,Paramètres!$A$1:$I$89,3,0)*0.475*44/12</f>
        <v>4.7691927294105518</v>
      </c>
      <c r="EY53" s="22">
        <f t="shared" si="21"/>
        <v>9.067382779493034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171</v>
      </c>
      <c r="FC53" s="12">
        <f>VLOOKUP(A53,'Données projet'!$A$217:$I$237,9,0)</f>
        <v>5.8</v>
      </c>
      <c r="FD53" s="12">
        <f t="array" ref="FD53">INDEX(FC:FC,MIN(IF(ISNUMBER(FC53:FC249),ROW(FC53:FC249),"")))</f>
        <v>5.8</v>
      </c>
      <c r="FE53" s="12">
        <f>IF('Données projet'!$A$218&gt;35,FE52+FD53-FM52,IF(A53&lt;'Données projet'!$A$218,$FB$205^A53,IF(A53='Données projet'!$A$218,'Données projet'!$B$218,FE52+FD53-FM52)))</f>
        <v>171.00000000000003</v>
      </c>
      <c r="FF53" s="17">
        <f>FE53*VLOOKUP('Données projet'!$B$16,Paramètres!$A$1:$I$89,3,0)*VLOOKUP('Données projet'!$B$16,Paramètres!$A$1:$I$89,5,0)</f>
        <v>138.71520000000004</v>
      </c>
      <c r="FG53" s="13">
        <f t="shared" si="47"/>
        <v>36.002518112949986</v>
      </c>
      <c r="FH53" s="20">
        <f t="shared" si="22"/>
        <v>304.30002571338792</v>
      </c>
      <c r="FI53" s="59">
        <f t="shared" si="23"/>
        <v>597.63335904672124</v>
      </c>
      <c r="FJ53" s="59">
        <f ca="1">AVERAGE(OFFSET($FI$3,0,0,'Données projet'!$E$16+1,1))-AVERAGE(OFFSET($H$3,0,0,'Données projet'!$E$16+1,1))</f>
        <v>272.90535195666996</v>
      </c>
      <c r="FK53" s="59">
        <f t="shared" si="48"/>
        <v>222.25422164416898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14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0.129</v>
      </c>
      <c r="FP53" s="16">
        <f>IF(ISNA(VLOOKUP(A53,'Données projet'!$A$217:$I$237,7,0)),0%,VLOOKUP(A53,'Données projet'!$A$217:$I$237,7,0))</f>
        <v>0.3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4.1347082329018496</v>
      </c>
      <c r="FS53" s="21">
        <f>EXP(-LN(2)/2)*FS52+(1-EXP(-LN(2)/2))/(LN(2)/2)*FM53*FP53*VLOOKUP('Données projet'!$B$16,Paramètres!$A$1:$I$89,3,0)*0.475*44/12</f>
        <v>3.8943777643695912</v>
      </c>
      <c r="FT53" s="22">
        <f t="shared" si="24"/>
        <v>8.0290859972714408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616.29111765370533</v>
      </c>
      <c r="S54" s="59">
        <f ca="1">AVERAGE(OFFSET($R$3,0,0,'Données projet'!$E$9+1,1))-AVERAGE(OFFSET($H$3,0,0,'Données projet'!$E$9+1,1))</f>
        <v>384.05928630855732</v>
      </c>
      <c r="T54" s="59">
        <f t="shared" si="34"/>
        <v>279.93992813630513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304.99999999999983</v>
      </c>
      <c r="AJ54" s="13">
        <f>AI54*VLOOKUP('Données projet'!$B$10,Paramètres!$A$1:$I$89,3,0)*VLOOKUP('Données projet'!$B$10,Paramètres!$A$1:$I$89,5,0)</f>
        <v>275.96399999999983</v>
      </c>
      <c r="AK54" s="13">
        <f t="shared" si="35"/>
        <v>66.113366665488854</v>
      </c>
      <c r="AL54" s="20">
        <f t="shared" si="4"/>
        <v>595.78474694239264</v>
      </c>
      <c r="AM54" s="59">
        <f t="shared" si="5"/>
        <v>889.11808027572602</v>
      </c>
      <c r="AN54" s="59">
        <f ca="1">AVERAGE(OFFSET($AM$3,0,0,'Données projet'!$E$10+1,1))-AVERAGE(OFFSET($H$3,0,0,'Données projet'!$E$10+1,1))</f>
        <v>366.69125512029831</v>
      </c>
      <c r="AO54" s="59">
        <f t="shared" si="36"/>
        <v>513.80016421153414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1.0663383695272024</v>
      </c>
      <c r="AV54" s="21">
        <f>EXP(-LN(2)/25)*AV53+(1-EXP(-LN(2)/25))/(LN(2)/25)*Calculateur!AQ54*Calculateur!AS54*VLOOKUP('Données projet'!$B$10,Paramètres!$A$1:$I$89,3,0)*0.475*44/12</f>
        <v>4.1244679027279405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5.1908062722551431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167.38176000000007</v>
      </c>
      <c r="BF54" s="13">
        <f t="shared" si="37"/>
        <v>42.503096259839239</v>
      </c>
      <c r="BG54" s="20">
        <f t="shared" si="7"/>
        <v>365.5494579858867</v>
      </c>
      <c r="BH54" s="59">
        <f t="shared" si="8"/>
        <v>658.88279131922002</v>
      </c>
      <c r="BI54" s="59">
        <f ca="1">AVERAGE(OFFSET($BH$3,0,0,'Données projet'!$E$11+1,1))-AVERAGE(OFFSET($H$3,0,0,'Données projet'!$E$11+1,1))</f>
        <v>354.24684313982857</v>
      </c>
      <c r="BJ54" s="59">
        <f t="shared" si="38"/>
        <v>322.65043486962185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7.7433167706413366</v>
      </c>
      <c r="BQ54" s="21">
        <f>EXP(-LN(2)/25)*BQ53+(1-EXP(-LN(2)/25))/(LN(2)/25)*Calculateur!BL54*Calculateur!BN54*VLOOKUP('Données projet'!$B$11,Paramètres!$A$1:$I$89,3,0)*0.475*44/12</f>
        <v>15.204343085948592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22.947659856589929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8.8736263736263741</v>
      </c>
      <c r="BY54" s="12">
        <f>IF('Données projet'!$A$114&gt;35,BY53+BX54-CG53,IF(A54&lt;'Données projet'!$A$114,$BV$205^A54,IF(A54='Données projet'!$A$114,'Données projet'!$B$114,BY53+BX54-CG53)))</f>
        <v>162.94780219780228</v>
      </c>
      <c r="BZ54" s="13">
        <f>BY54*VLOOKUP('Données projet'!$B$12,Paramètres!$A$1:$I$89,3,0)*VLOOKUP('Données projet'!$B$12,Paramètres!$A$1:$I$89,5,0)</f>
        <v>157.60311428571435</v>
      </c>
      <c r="CA54" s="13">
        <f t="shared" si="39"/>
        <v>40.301417142080439</v>
      </c>
      <c r="CB54" s="20">
        <f t="shared" si="10"/>
        <v>344.68372557007592</v>
      </c>
      <c r="CC54" s="59">
        <f t="shared" si="11"/>
        <v>638.01705890340918</v>
      </c>
      <c r="CD54" s="59">
        <f ca="1">AVERAGE(OFFSET($CC$3,0,0,'Données projet'!$E$12+1,1))-AVERAGE(OFFSET($H$3,0,0,'Données projet'!$E$12+1,1))</f>
        <v>407.73540492005355</v>
      </c>
      <c r="CE54" s="59">
        <f t="shared" si="40"/>
        <v>296.29416764204774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165.48479999999992</v>
      </c>
      <c r="CV54" s="13">
        <f t="shared" si="41"/>
        <v>42.077190125964002</v>
      </c>
      <c r="CW54" s="20">
        <f t="shared" si="13"/>
        <v>361.5037994693871</v>
      </c>
      <c r="CX54" s="59">
        <f t="shared" si="14"/>
        <v>654.83713280272036</v>
      </c>
      <c r="CY54" s="59">
        <f ca="1">AVERAGE(OFFSET($CX$3,0,0,'Données projet'!$E$13+1,1))-AVERAGE(OFFSET($H$3,0,0,'Données projet'!$E$13+1,1))</f>
        <v>299.10536994156814</v>
      </c>
      <c r="CZ54" s="59">
        <f t="shared" si="42"/>
        <v>292.57799203101769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17.038250948188502</v>
      </c>
      <c r="DG54" s="21">
        <f>EXP(-LN(2)/25)*DG53+(1-EXP(-LN(2)/25))/(LN(2)/25)*Calculateur!DB54*Calculateur!DD54*VLOOKUP('Données projet'!$B$13,Paramètres!$A$1:$I$89,3,0)*0.475*44/12</f>
        <v>13.590756420592706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30.62900736878121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165.48479999999992</v>
      </c>
      <c r="DQ54" s="13">
        <f t="shared" si="43"/>
        <v>42.077190125964002</v>
      </c>
      <c r="DR54" s="20">
        <f t="shared" si="16"/>
        <v>361.5037994693871</v>
      </c>
      <c r="DS54" s="59">
        <f t="shared" si="17"/>
        <v>654.83713280272036</v>
      </c>
      <c r="DT54" s="59">
        <f ca="1">AVERAGE(OFFSET($DS$3,0,0,'Données projet'!$E$14+1,1))-AVERAGE(OFFSET($H$3,0,0,'Données projet'!$E$14+1,1))</f>
        <v>299.10536994156814</v>
      </c>
      <c r="DU54" s="59">
        <f t="shared" si="44"/>
        <v>292.57799203101769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17.038250948188502</v>
      </c>
      <c r="EB54" s="21">
        <f>EXP(-LN(2)/25)*EB53+(1-EXP(-LN(2)/25))/(LN(2)/25)*Calculateur!DW54*Calculateur!DY54*VLOOKUP('Données projet'!$B$14,Paramètres!$A$1:$I$89,3,0)*0.475*44/12</f>
        <v>13.590756420592706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30.62900736878121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5.6</v>
      </c>
      <c r="EJ54" s="12">
        <f>IF('Données projet'!$A$192&gt;35,EJ53+EI54-ER53,IF(A54&lt;'Données projet'!$A$192,$EG$205^A54,IF(A54='Données projet'!$A$192,'Données projet'!$B$192,EJ53+EI54-ER53)))</f>
        <v>168.60000000000005</v>
      </c>
      <c r="EK54" s="17">
        <f>EJ54*VLOOKUP('Données projet'!$B$15,Paramètres!$A$1:$I$89,3,0)*VLOOKUP('Données projet'!$B$15,Paramètres!$A$1:$I$89,5,0)</f>
        <v>110.46672000000002</v>
      </c>
      <c r="EL54" s="13">
        <f t="shared" si="45"/>
        <v>29.440920333682921</v>
      </c>
      <c r="EM54" s="20">
        <f t="shared" si="19"/>
        <v>243.67247358116444</v>
      </c>
      <c r="EN54" s="59">
        <f t="shared" si="20"/>
        <v>537.00580691449773</v>
      </c>
      <c r="EO54" s="59">
        <f ca="1">AVERAGE(OFFSET($EN$3,0,0,'Données projet'!$E$15+1,1))-AVERAGE(OFFSET($H$3,0,0,'Données projet'!$E$15+1,1))</f>
        <v>230.58262378842818</v>
      </c>
      <c r="EP54" s="59">
        <f t="shared" si="46"/>
        <v>235.68746142880792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4.1806558171309858</v>
      </c>
      <c r="EX54" s="21">
        <f>EXP(-LN(2)/2)*EX53+(1-EXP(-LN(2)/2))/(LN(2)/2)*ER54*EU54*VLOOKUP('Données projet'!$B$15,Paramètres!$A$1:$I$89,3,0)*0.475*44/12</f>
        <v>3.3723285197517807</v>
      </c>
      <c r="EY54" s="22">
        <f t="shared" si="21"/>
        <v>7.5529843368827665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5.4</v>
      </c>
      <c r="FE54" s="12">
        <f>IF('Données projet'!$A$218&gt;35,FE53+FD54-FM53,IF(A54&lt;'Données projet'!$A$218,$FB$205^A54,IF(A54='Données projet'!$A$218,'Données projet'!$B$218,FE53+FD54-FM53)))</f>
        <v>162.40000000000003</v>
      </c>
      <c r="FF54" s="17">
        <f>FE54*VLOOKUP('Données projet'!$B$16,Paramètres!$A$1:$I$89,3,0)*VLOOKUP('Données projet'!$B$16,Paramètres!$A$1:$I$89,5,0)</f>
        <v>131.73888000000005</v>
      </c>
      <c r="FG54" s="13">
        <f t="shared" si="47"/>
        <v>34.397852193895858</v>
      </c>
      <c r="FH54" s="20">
        <f t="shared" si="22"/>
        <v>289.35480857103533</v>
      </c>
      <c r="FI54" s="59">
        <f t="shared" si="23"/>
        <v>582.68814190436865</v>
      </c>
      <c r="FJ54" s="59">
        <f ca="1">AVERAGE(OFFSET($FI$3,0,0,'Données projet'!$E$16+1,1))-AVERAGE(OFFSET($H$3,0,0,'Données projet'!$E$16+1,1))</f>
        <v>272.90535195666996</v>
      </c>
      <c r="FK54" s="59">
        <f t="shared" si="48"/>
        <v>222.25422164416898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4.0216444188382923</v>
      </c>
      <c r="FS54" s="21">
        <f>EXP(-LN(2)/2)*FS53+(1-EXP(-LN(2)/2))/(LN(2)/2)*FM54*FP54*VLOOKUP('Données projet'!$B$16,Paramètres!$A$1:$I$89,3,0)*0.475*44/12</f>
        <v>2.7537409256878447</v>
      </c>
      <c r="FT54" s="22">
        <f t="shared" si="24"/>
        <v>6.7753853445261374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384.05928630855732</v>
      </c>
      <c r="T55" s="59">
        <f t="shared" si="34"/>
        <v>279.93992813630513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304.99999999999983</v>
      </c>
      <c r="AJ55" s="13">
        <f>AI55*VLOOKUP('Données projet'!$B$10,Paramètres!$A$1:$I$89,3,0)*VLOOKUP('Données projet'!$B$10,Paramètres!$A$1:$I$89,5,0)</f>
        <v>275.96399999999983</v>
      </c>
      <c r="AK55" s="13">
        <f t="shared" si="35"/>
        <v>66.113366665488854</v>
      </c>
      <c r="AL55" s="20">
        <f t="shared" si="4"/>
        <v>595.78474694239264</v>
      </c>
      <c r="AM55" s="59">
        <f t="shared" si="5"/>
        <v>889.11808027572602</v>
      </c>
      <c r="AN55" s="59">
        <f ca="1">AVERAGE(OFFSET($AM$3,0,0,'Données projet'!$E$10+1,1))-AVERAGE(OFFSET($H$3,0,0,'Données projet'!$E$10+1,1))</f>
        <v>366.69125512029831</v>
      </c>
      <c r="AO55" s="59">
        <f t="shared" si="36"/>
        <v>513.80016421153414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1.0454281245029575</v>
      </c>
      <c r="AV55" s="21">
        <f>EXP(-LN(2)/25)*AV54+(1-EXP(-LN(2)/25))/(LN(2)/25)*Calculateur!AQ55*Calculateur!AS55*VLOOKUP('Données projet'!$B$10,Paramètres!$A$1:$I$89,3,0)*0.475*44/12</f>
        <v>4.0116841110315047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5.0571122355344622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173.14752000000007</v>
      </c>
      <c r="BF55" s="13">
        <f t="shared" si="37"/>
        <v>43.794208927254068</v>
      </c>
      <c r="BG55" s="20">
        <f t="shared" si="7"/>
        <v>377.84017788163425</v>
      </c>
      <c r="BH55" s="59">
        <f t="shared" si="8"/>
        <v>671.17351121496756</v>
      </c>
      <c r="BI55" s="59">
        <f ca="1">AVERAGE(OFFSET($BH$3,0,0,'Données projet'!$E$11+1,1))-AVERAGE(OFFSET($H$3,0,0,'Données projet'!$E$11+1,1))</f>
        <v>354.24684313982857</v>
      </c>
      <c r="BJ55" s="59">
        <f t="shared" si="38"/>
        <v>322.65043486962185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7.5914750517259364</v>
      </c>
      <c r="BQ55" s="21">
        <f>EXP(-LN(2)/25)*BQ54+(1-EXP(-LN(2)/25))/(LN(2)/25)*Calculateur!BL55*Calculateur!BN55*VLOOKUP('Données projet'!$B$11,Paramètres!$A$1:$I$89,3,0)*0.475*44/12</f>
        <v>14.788579524701674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22.380054576427611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8.8736263736263741</v>
      </c>
      <c r="BY55" s="12">
        <f>IF('Données projet'!$A$114&gt;35,BY54+BX55-CG54,IF(A55&lt;'Données projet'!$A$114,$BV$205^A55,IF(A55='Données projet'!$A$114,'Données projet'!$B$114,BY54+BX55-CG54)))</f>
        <v>171.82142857142864</v>
      </c>
      <c r="BZ55" s="13">
        <f>BY55*VLOOKUP('Données projet'!$B$12,Paramètres!$A$1:$I$89,3,0)*VLOOKUP('Données projet'!$B$12,Paramètres!$A$1:$I$89,5,0)</f>
        <v>166.1856857142858</v>
      </c>
      <c r="CA55" s="13">
        <f t="shared" si="39"/>
        <v>42.234619090534999</v>
      </c>
      <c r="CB55" s="20">
        <f t="shared" si="10"/>
        <v>362.99869753506283</v>
      </c>
      <c r="CC55" s="59">
        <f t="shared" si="11"/>
        <v>656.33203086839615</v>
      </c>
      <c r="CD55" s="59">
        <f ca="1">AVERAGE(OFFSET($CC$3,0,0,'Données projet'!$E$12+1,1))-AVERAGE(OFFSET($H$3,0,0,'Données projet'!$E$12+1,1))</f>
        <v>407.73540492005355</v>
      </c>
      <c r="CE55" s="59">
        <f t="shared" si="40"/>
        <v>296.29416764204774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170.25839999999991</v>
      </c>
      <c r="CV55" s="13">
        <f t="shared" si="41"/>
        <v>43.147891472685018</v>
      </c>
      <c r="CW55" s="20">
        <f t="shared" si="13"/>
        <v>371.68262431492622</v>
      </c>
      <c r="CX55" s="59">
        <f t="shared" si="14"/>
        <v>665.01595764825947</v>
      </c>
      <c r="CY55" s="59">
        <f ca="1">AVERAGE(OFFSET($CX$3,0,0,'Données projet'!$E$13+1,1))-AVERAGE(OFFSET($H$3,0,0,'Données projet'!$E$13+1,1))</f>
        <v>299.10536994156814</v>
      </c>
      <c r="CZ55" s="59">
        <f t="shared" si="42"/>
        <v>292.57799203101769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16.704141239401448</v>
      </c>
      <c r="DG55" s="21">
        <f>EXP(-LN(2)/25)*DG54+(1-EXP(-LN(2)/25))/(LN(2)/25)*Calculateur!DB55*Calculateur!DD55*VLOOKUP('Données projet'!$B$13,Paramètres!$A$1:$I$89,3,0)*0.475*44/12</f>
        <v>13.219116471564782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29.923257710966229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170.25839999999991</v>
      </c>
      <c r="DQ55" s="13">
        <f t="shared" si="43"/>
        <v>43.147891472685018</v>
      </c>
      <c r="DR55" s="20">
        <f t="shared" si="16"/>
        <v>371.68262431492622</v>
      </c>
      <c r="DS55" s="59">
        <f t="shared" si="17"/>
        <v>665.01595764825947</v>
      </c>
      <c r="DT55" s="59">
        <f ca="1">AVERAGE(OFFSET($DS$3,0,0,'Données projet'!$E$14+1,1))-AVERAGE(OFFSET($H$3,0,0,'Données projet'!$E$14+1,1))</f>
        <v>299.10536994156814</v>
      </c>
      <c r="DU55" s="59">
        <f t="shared" si="44"/>
        <v>292.57799203101769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16.704141239401448</v>
      </c>
      <c r="EB55" s="21">
        <f>EXP(-LN(2)/25)*EB54+(1-EXP(-LN(2)/25))/(LN(2)/25)*Calculateur!DW55*Calculateur!DY55*VLOOKUP('Données projet'!$B$14,Paramètres!$A$1:$I$89,3,0)*0.475*44/12</f>
        <v>13.219116471564782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29.923257710966229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5.6</v>
      </c>
      <c r="EJ55" s="12">
        <f>IF('Données projet'!$A$192&gt;35,EJ54+EI55-ER54,IF(A55&lt;'Données projet'!$A$192,$EG$205^A55,IF(A55='Données projet'!$A$192,'Données projet'!$B$192,EJ54+EI55-ER54)))</f>
        <v>174.20000000000005</v>
      </c>
      <c r="EK55" s="17">
        <f>EJ55*VLOOKUP('Données projet'!$B$15,Paramètres!$A$1:$I$89,3,0)*VLOOKUP('Données projet'!$B$15,Paramètres!$A$1:$I$89,5,0)</f>
        <v>114.13584000000003</v>
      </c>
      <c r="EL55" s="13">
        <f t="shared" si="45"/>
        <v>30.303317693701107</v>
      </c>
      <c r="EM55" s="20">
        <f t="shared" si="19"/>
        <v>251.56486631652947</v>
      </c>
      <c r="EN55" s="59">
        <f t="shared" si="20"/>
        <v>544.89819964986282</v>
      </c>
      <c r="EO55" s="59">
        <f ca="1">AVERAGE(OFFSET($EN$3,0,0,'Données projet'!$E$15+1,1))-AVERAGE(OFFSET($H$3,0,0,'Données projet'!$E$15+1,1))</f>
        <v>230.58262378842818</v>
      </c>
      <c r="EP55" s="59">
        <f t="shared" si="46"/>
        <v>235.68746142880792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4.0663355639604042</v>
      </c>
      <c r="EX55" s="21">
        <f>EXP(-LN(2)/2)*EX54+(1-EXP(-LN(2)/2))/(LN(2)/2)*ER55*EU55*VLOOKUP('Données projet'!$B$15,Paramètres!$A$1:$I$89,3,0)*0.475*44/12</f>
        <v>2.3845963647052764</v>
      </c>
      <c r="EY55" s="22">
        <f t="shared" si="21"/>
        <v>6.4509319286656801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5.4</v>
      </c>
      <c r="FE55" s="12">
        <f>IF('Données projet'!$A$218&gt;35,FE54+FD55-FM54,IF(A55&lt;'Données projet'!$A$218,$FB$205^A55,IF(A55='Données projet'!$A$218,'Données projet'!$B$218,FE54+FD55-FM54)))</f>
        <v>167.80000000000004</v>
      </c>
      <c r="FF55" s="17">
        <f>FE55*VLOOKUP('Données projet'!$B$16,Paramètres!$A$1:$I$89,3,0)*VLOOKUP('Données projet'!$B$16,Paramètres!$A$1:$I$89,5,0)</f>
        <v>136.11936000000006</v>
      </c>
      <c r="FG55" s="13">
        <f t="shared" si="47"/>
        <v>35.406556182020879</v>
      </c>
      <c r="FH55" s="20">
        <f t="shared" si="22"/>
        <v>298.74097068368638</v>
      </c>
      <c r="FI55" s="59">
        <f t="shared" si="23"/>
        <v>592.0743040170197</v>
      </c>
      <c r="FJ55" s="59">
        <f ca="1">AVERAGE(OFFSET($FI$3,0,0,'Données projet'!$E$16+1,1))-AVERAGE(OFFSET($H$3,0,0,'Données projet'!$E$16+1,1))</f>
        <v>272.90535195666996</v>
      </c>
      <c r="FK55" s="59">
        <f t="shared" si="48"/>
        <v>222.25422164416898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3.9116723407160707</v>
      </c>
      <c r="FS55" s="21">
        <f>EXP(-LN(2)/2)*FS54+(1-EXP(-LN(2)/2))/(LN(2)/2)*FM55*FP55*VLOOKUP('Données projet'!$B$16,Paramètres!$A$1:$I$89,3,0)*0.475*44/12</f>
        <v>1.9471888821847958</v>
      </c>
      <c r="FT55" s="22">
        <f t="shared" si="24"/>
        <v>5.8588612229008667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650.58789839905899</v>
      </c>
      <c r="S56" s="59">
        <f ca="1">AVERAGE(OFFSET($R$3,0,0,'Données projet'!$E$9+1,1))-AVERAGE(OFFSET($H$3,0,0,'Données projet'!$E$9+1,1))</f>
        <v>384.05928630855732</v>
      </c>
      <c r="T56" s="59">
        <f t="shared" si="34"/>
        <v>279.93992813630513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304.99999999999983</v>
      </c>
      <c r="AJ56" s="13">
        <f>AI56*VLOOKUP('Données projet'!$B$10,Paramètres!$A$1:$I$89,3,0)*VLOOKUP('Données projet'!$B$10,Paramètres!$A$1:$I$89,5,0)</f>
        <v>275.96399999999983</v>
      </c>
      <c r="AK56" s="13">
        <f t="shared" si="35"/>
        <v>66.113366665488854</v>
      </c>
      <c r="AL56" s="20">
        <f t="shared" si="4"/>
        <v>595.78474694239264</v>
      </c>
      <c r="AM56" s="59">
        <f t="shared" si="5"/>
        <v>889.11808027572602</v>
      </c>
      <c r="AN56" s="59">
        <f ca="1">AVERAGE(OFFSET($AM$3,0,0,'Données projet'!$E$10+1,1))-AVERAGE(OFFSET($H$3,0,0,'Données projet'!$E$10+1,1))</f>
        <v>366.69125512029831</v>
      </c>
      <c r="AO56" s="59">
        <f t="shared" si="36"/>
        <v>513.80016421153414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1.0249279166296479</v>
      </c>
      <c r="AV56" s="21">
        <f>EXP(-LN(2)/25)*AV55+(1-EXP(-LN(2)/25))/(LN(2)/25)*Calculateur!AQ56*Calculateur!AS56*VLOOKUP('Données projet'!$B$10,Paramètres!$A$1:$I$89,3,0)*0.475*44/12</f>
        <v>3.9019843980500495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4.9269123146796971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178.91328000000004</v>
      </c>
      <c r="BF56" s="13">
        <f t="shared" si="37"/>
        <v>45.080325843494848</v>
      </c>
      <c r="BG56" s="20">
        <f t="shared" si="7"/>
        <v>390.12219684408689</v>
      </c>
      <c r="BH56" s="59">
        <f t="shared" si="8"/>
        <v>683.4555301774202</v>
      </c>
      <c r="BI56" s="59">
        <f ca="1">AVERAGE(OFFSET($BH$3,0,0,'Données projet'!$E$11+1,1))-AVERAGE(OFFSET($H$3,0,0,'Données projet'!$E$11+1,1))</f>
        <v>354.24684313982857</v>
      </c>
      <c r="BJ56" s="59">
        <f t="shared" si="38"/>
        <v>322.65043486962185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7.4426108563041637</v>
      </c>
      <c r="BQ56" s="21">
        <f>EXP(-LN(2)/25)*BQ55+(1-EXP(-LN(2)/25))/(LN(2)/25)*Calculateur!BL56*Calculateur!BN56*VLOOKUP('Données projet'!$B$11,Paramètres!$A$1:$I$89,3,0)*0.475*44/12</f>
        <v>14.38418503990111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21.826795896205276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8.8736263736263741</v>
      </c>
      <c r="BY56" s="12">
        <f>IF('Données projet'!$A$114&gt;35,BY55+BX56-CG55,IF(A56&lt;'Données projet'!$A$114,$BV$205^A56,IF(A56='Données projet'!$A$114,'Données projet'!$B$114,BY55+BX56-CG55)))</f>
        <v>180.69505494505501</v>
      </c>
      <c r="BZ56" s="13">
        <f>BY56*VLOOKUP('Données projet'!$B$12,Paramètres!$A$1:$I$89,3,0)*VLOOKUP('Données projet'!$B$12,Paramètres!$A$1:$I$89,5,0)</f>
        <v>174.76825714285721</v>
      </c>
      <c r="CA56" s="13">
        <f t="shared" si="39"/>
        <v>44.156229177957442</v>
      </c>
      <c r="CB56" s="20">
        <f t="shared" si="10"/>
        <v>381.2934803420855</v>
      </c>
      <c r="CC56" s="59">
        <f t="shared" si="11"/>
        <v>674.62681367541882</v>
      </c>
      <c r="CD56" s="59">
        <f ca="1">AVERAGE(OFFSET($CC$3,0,0,'Données projet'!$E$12+1,1))-AVERAGE(OFFSET($H$3,0,0,'Données projet'!$E$12+1,1))</f>
        <v>407.73540492005355</v>
      </c>
      <c r="CE56" s="59">
        <f t="shared" si="40"/>
        <v>296.29416764204774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175.03199999999993</v>
      </c>
      <c r="CV56" s="13">
        <f t="shared" si="41"/>
        <v>44.215103743191008</v>
      </c>
      <c r="CW56" s="20">
        <f t="shared" si="13"/>
        <v>381.85537235272426</v>
      </c>
      <c r="CX56" s="59">
        <f t="shared" si="14"/>
        <v>675.18870568605757</v>
      </c>
      <c r="CY56" s="59">
        <f ca="1">AVERAGE(OFFSET($CX$3,0,0,'Données projet'!$E$13+1,1))-AVERAGE(OFFSET($H$3,0,0,'Données projet'!$E$13+1,1))</f>
        <v>299.10536994156814</v>
      </c>
      <c r="CZ56" s="59">
        <f t="shared" si="42"/>
        <v>292.57799203101769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16.376583218216908</v>
      </c>
      <c r="DG56" s="21">
        <f>EXP(-LN(2)/25)*DG55+(1-EXP(-LN(2)/25))/(LN(2)/25)*Calculateur!DB56*Calculateur!DD56*VLOOKUP('Données projet'!$B$13,Paramètres!$A$1:$I$89,3,0)*0.475*44/12</f>
        <v>12.85763903648672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29.234222254703628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175.03199999999993</v>
      </c>
      <c r="DQ56" s="13">
        <f t="shared" si="43"/>
        <v>44.215103743191008</v>
      </c>
      <c r="DR56" s="20">
        <f t="shared" si="16"/>
        <v>381.85537235272426</v>
      </c>
      <c r="DS56" s="59">
        <f t="shared" si="17"/>
        <v>675.18870568605757</v>
      </c>
      <c r="DT56" s="59">
        <f ca="1">AVERAGE(OFFSET($DS$3,0,0,'Données projet'!$E$14+1,1))-AVERAGE(OFFSET($H$3,0,0,'Données projet'!$E$14+1,1))</f>
        <v>299.10536994156814</v>
      </c>
      <c r="DU56" s="59">
        <f t="shared" si="44"/>
        <v>292.57799203101769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16.376583218216908</v>
      </c>
      <c r="EB56" s="21">
        <f>EXP(-LN(2)/25)*EB55+(1-EXP(-LN(2)/25))/(LN(2)/25)*Calculateur!DW56*Calculateur!DY56*VLOOKUP('Données projet'!$B$14,Paramètres!$A$1:$I$89,3,0)*0.475*44/12</f>
        <v>12.85763903648672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29.234222254703628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5.6</v>
      </c>
      <c r="EJ56" s="12">
        <f>IF('Données projet'!$A$192&gt;35,EJ55+EI56-ER55,IF(A56&lt;'Données projet'!$A$192,$EG$205^A56,IF(A56='Données projet'!$A$192,'Données projet'!$B$192,EJ55+EI56-ER55)))</f>
        <v>179.80000000000004</v>
      </c>
      <c r="EK56" s="17">
        <f>EJ56*VLOOKUP('Données projet'!$B$15,Paramètres!$A$1:$I$89,3,0)*VLOOKUP('Données projet'!$B$15,Paramètres!$A$1:$I$89,5,0)</f>
        <v>117.80496000000004</v>
      </c>
      <c r="EL56" s="13">
        <f t="shared" si="45"/>
        <v>31.162493487829593</v>
      </c>
      <c r="EM56" s="20">
        <f t="shared" si="19"/>
        <v>259.45164815796994</v>
      </c>
      <c r="EN56" s="59">
        <f t="shared" si="20"/>
        <v>552.78498149130326</v>
      </c>
      <c r="EO56" s="59">
        <f ca="1">AVERAGE(OFFSET($EN$3,0,0,'Données projet'!$E$15+1,1))-AVERAGE(OFFSET($H$3,0,0,'Données projet'!$E$15+1,1))</f>
        <v>230.58262378842818</v>
      </c>
      <c r="EP56" s="59">
        <f t="shared" si="46"/>
        <v>235.68746142880792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3.9551414041246136</v>
      </c>
      <c r="EX56" s="21">
        <f>EXP(-LN(2)/2)*EX55+(1-EXP(-LN(2)/2))/(LN(2)/2)*ER56*EU56*VLOOKUP('Données projet'!$B$15,Paramètres!$A$1:$I$89,3,0)*0.475*44/12</f>
        <v>1.6861642598758906</v>
      </c>
      <c r="EY56" s="22">
        <f t="shared" si="21"/>
        <v>5.6413056640005044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5.4</v>
      </c>
      <c r="FE56" s="12">
        <f>IF('Données projet'!$A$218&gt;35,FE55+FD56-FM55,IF(A56&lt;'Données projet'!$A$218,$FB$205^A56,IF(A56='Données projet'!$A$218,'Données projet'!$B$218,FE55+FD56-FM55)))</f>
        <v>173.20000000000005</v>
      </c>
      <c r="FF56" s="17">
        <f>FE56*VLOOKUP('Données projet'!$B$16,Paramètres!$A$1:$I$89,3,0)*VLOOKUP('Données projet'!$B$16,Paramètres!$A$1:$I$89,5,0)</f>
        <v>140.49984000000003</v>
      </c>
      <c r="FG56" s="13">
        <f t="shared" si="47"/>
        <v>36.411488058235591</v>
      </c>
      <c r="FH56" s="20">
        <f t="shared" si="22"/>
        <v>308.12056303476032</v>
      </c>
      <c r="FI56" s="59">
        <f t="shared" si="23"/>
        <v>601.45389636809364</v>
      </c>
      <c r="FJ56" s="59">
        <f ca="1">AVERAGE(OFFSET($FI$3,0,0,'Données projet'!$E$16+1,1))-AVERAGE(OFFSET($H$3,0,0,'Données projet'!$E$16+1,1))</f>
        <v>272.90535195666996</v>
      </c>
      <c r="FK56" s="59">
        <f t="shared" si="48"/>
        <v>222.25422164416898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3.8047074548532818</v>
      </c>
      <c r="FS56" s="21">
        <f>EXP(-LN(2)/2)*FS55+(1-EXP(-LN(2)/2))/(LN(2)/2)*FM56*FP56*VLOOKUP('Données projet'!$B$16,Paramètres!$A$1:$I$89,3,0)*0.475*44/12</f>
        <v>1.3768704628439226</v>
      </c>
      <c r="FT56" s="22">
        <f t="shared" si="24"/>
        <v>5.1815779176972043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667.7087794462318</v>
      </c>
      <c r="S57" s="59">
        <f ca="1">AVERAGE(OFFSET($R$3,0,0,'Données projet'!$E$9+1,1))-AVERAGE(OFFSET($H$3,0,0,'Données projet'!$E$9+1,1))</f>
        <v>384.05928630855732</v>
      </c>
      <c r="T57" s="59">
        <f t="shared" si="34"/>
        <v>279.93992813630513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304.99999999999983</v>
      </c>
      <c r="AJ57" s="13">
        <f>AI57*VLOOKUP('Données projet'!$B$10,Paramètres!$A$1:$I$89,3,0)*VLOOKUP('Données projet'!$B$10,Paramètres!$A$1:$I$89,5,0)</f>
        <v>275.96399999999983</v>
      </c>
      <c r="AK57" s="13">
        <f t="shared" si="35"/>
        <v>66.113366665488854</v>
      </c>
      <c r="AL57" s="20">
        <f t="shared" si="4"/>
        <v>595.78474694239264</v>
      </c>
      <c r="AM57" s="59">
        <f t="shared" si="5"/>
        <v>889.11808027572602</v>
      </c>
      <c r="AN57" s="59">
        <f ca="1">AVERAGE(OFFSET($AM$3,0,0,'Données projet'!$E$10+1,1))-AVERAGE(OFFSET($H$3,0,0,'Données projet'!$E$10+1,1))</f>
        <v>366.69125512029831</v>
      </c>
      <c r="AO57" s="59">
        <f t="shared" si="36"/>
        <v>513.80016421153414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1.0048297053288417</v>
      </c>
      <c r="AV57" s="21">
        <f>EXP(-LN(2)/25)*AV56+(1-EXP(-LN(2)/25))/(LN(2)/25)*Calculateur!AQ57*Calculateur!AS57*VLOOKUP('Données projet'!$B$10,Paramètres!$A$1:$I$89,3,0)*0.475*44/12</f>
        <v>3.7952844294889294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4.8001141348177709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184.67904000000004</v>
      </c>
      <c r="BF57" s="13">
        <f t="shared" si="37"/>
        <v>46.361626470742223</v>
      </c>
      <c r="BG57" s="20">
        <f t="shared" si="7"/>
        <v>402.39582743654279</v>
      </c>
      <c r="BH57" s="59">
        <f t="shared" si="8"/>
        <v>695.7291607698761</v>
      </c>
      <c r="BI57" s="59">
        <f ca="1">AVERAGE(OFFSET($BH$3,0,0,'Données projet'!$E$11+1,1))-AVERAGE(OFFSET($H$3,0,0,'Données projet'!$E$11+1,1))</f>
        <v>354.24684313982857</v>
      </c>
      <c r="BJ57" s="59">
        <f t="shared" si="38"/>
        <v>322.65043486962185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7.296665796956419</v>
      </c>
      <c r="BQ57" s="21">
        <f>EXP(-LN(2)/25)*BQ56+(1-EXP(-LN(2)/25))/(LN(2)/25)*Calculateur!BL57*Calculateur!BN57*VLOOKUP('Données projet'!$B$11,Paramètres!$A$1:$I$89,3,0)*0.475*44/12</f>
        <v>13.990848743553599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21.287514540510017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8.8736263736263741</v>
      </c>
      <c r="BY57" s="12">
        <f>IF('Données projet'!$A$114&gt;35,BY56+BX57-CG56,IF(A57&lt;'Données projet'!$A$114,$BV$205^A57,IF(A57='Données projet'!$A$114,'Données projet'!$B$114,BY56+BX57-CG56)))</f>
        <v>189.56868131868137</v>
      </c>
      <c r="BZ57" s="13">
        <f>BY57*VLOOKUP('Données projet'!$B$12,Paramètres!$A$1:$I$89,3,0)*VLOOKUP('Données projet'!$B$12,Paramètres!$A$1:$I$89,5,0)</f>
        <v>183.35082857142862</v>
      </c>
      <c r="CA57" s="13">
        <f t="shared" si="39"/>
        <v>46.066881631326424</v>
      </c>
      <c r="CB57" s="20">
        <f t="shared" si="10"/>
        <v>399.56917860313166</v>
      </c>
      <c r="CC57" s="59">
        <f t="shared" si="11"/>
        <v>692.90251193646498</v>
      </c>
      <c r="CD57" s="59">
        <f ca="1">AVERAGE(OFFSET($CC$3,0,0,'Données projet'!$E$12+1,1))-AVERAGE(OFFSET($H$3,0,0,'Données projet'!$E$12+1,1))</f>
        <v>407.73540492005355</v>
      </c>
      <c r="CE57" s="59">
        <f t="shared" si="40"/>
        <v>296.29416764204774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179.80559999999991</v>
      </c>
      <c r="CV57" s="13">
        <f t="shared" si="41"/>
        <v>45.278933028529984</v>
      </c>
      <c r="CW57" s="20">
        <f t="shared" si="13"/>
        <v>392.02222835802286</v>
      </c>
      <c r="CX57" s="59">
        <f t="shared" si="14"/>
        <v>685.35556169135612</v>
      </c>
      <c r="CY57" s="59">
        <f ca="1">AVERAGE(OFFSET($CX$3,0,0,'Données projet'!$E$13+1,1))-AVERAGE(OFFSET($H$3,0,0,'Données projet'!$E$13+1,1))</f>
        <v>299.10536994156814</v>
      </c>
      <c r="CZ57" s="59">
        <f t="shared" si="42"/>
        <v>292.57799203101769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16.055448410037133</v>
      </c>
      <c r="DG57" s="21">
        <f>EXP(-LN(2)/25)*DG56+(1-EXP(-LN(2)/25))/(LN(2)/25)*Calculateur!DB57*Calculateur!DD57*VLOOKUP('Données projet'!$B$13,Paramètres!$A$1:$I$89,3,0)*0.475*44/12</f>
        <v>12.50604622088014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28.561494630917274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179.80559999999991</v>
      </c>
      <c r="DQ57" s="13">
        <f t="shared" si="43"/>
        <v>45.278933028529984</v>
      </c>
      <c r="DR57" s="20">
        <f t="shared" si="16"/>
        <v>392.02222835802286</v>
      </c>
      <c r="DS57" s="59">
        <f t="shared" si="17"/>
        <v>685.35556169135612</v>
      </c>
      <c r="DT57" s="59">
        <f ca="1">AVERAGE(OFFSET($DS$3,0,0,'Données projet'!$E$14+1,1))-AVERAGE(OFFSET($H$3,0,0,'Données projet'!$E$14+1,1))</f>
        <v>299.10536994156814</v>
      </c>
      <c r="DU57" s="59">
        <f t="shared" si="44"/>
        <v>292.57799203101769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16.055448410037133</v>
      </c>
      <c r="EB57" s="21">
        <f>EXP(-LN(2)/25)*EB56+(1-EXP(-LN(2)/25))/(LN(2)/25)*Calculateur!DW57*Calculateur!DY57*VLOOKUP('Données projet'!$B$14,Paramètres!$A$1:$I$89,3,0)*0.475*44/12</f>
        <v>12.50604622088014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28.561494630917274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5.6</v>
      </c>
      <c r="EJ57" s="12">
        <f>IF('Données projet'!$A$192&gt;35,EJ56+EI57-ER56,IF(A57&lt;'Données projet'!$A$192,$EG$205^A57,IF(A57='Données projet'!$A$192,'Données projet'!$B$192,EJ56+EI57-ER56)))</f>
        <v>185.40000000000003</v>
      </c>
      <c r="EK57" s="17">
        <f>EJ57*VLOOKUP('Données projet'!$B$15,Paramètres!$A$1:$I$89,3,0)*VLOOKUP('Données projet'!$B$15,Paramètres!$A$1:$I$89,5,0)</f>
        <v>121.47408000000001</v>
      </c>
      <c r="EL57" s="13">
        <f t="shared" si="45"/>
        <v>32.018559567275666</v>
      </c>
      <c r="EM57" s="20">
        <f t="shared" si="19"/>
        <v>267.33301391300517</v>
      </c>
      <c r="EN57" s="59">
        <f t="shared" si="20"/>
        <v>560.66634724633855</v>
      </c>
      <c r="EO57" s="59">
        <f ca="1">AVERAGE(OFFSET($EN$3,0,0,'Données projet'!$E$15+1,1))-AVERAGE(OFFSET($H$3,0,0,'Données projet'!$E$15+1,1))</f>
        <v>230.58262378842818</v>
      </c>
      <c r="EP57" s="59">
        <f t="shared" si="46"/>
        <v>235.68746142880792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3.8469878544369793</v>
      </c>
      <c r="EX57" s="21">
        <f>EXP(-LN(2)/2)*EX56+(1-EXP(-LN(2)/2))/(LN(2)/2)*ER57*EU57*VLOOKUP('Données projet'!$B$15,Paramètres!$A$1:$I$89,3,0)*0.475*44/12</f>
        <v>1.1922981823526384</v>
      </c>
      <c r="EY57" s="22">
        <f t="shared" si="21"/>
        <v>5.0392860367896173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5.4</v>
      </c>
      <c r="FE57" s="12">
        <f>IF('Données projet'!$A$218&gt;35,FE56+FD57-FM56,IF(A57&lt;'Données projet'!$A$218,$FB$205^A57,IF(A57='Données projet'!$A$218,'Données projet'!$B$218,FE56+FD57-FM56)))</f>
        <v>178.60000000000005</v>
      </c>
      <c r="FF57" s="17">
        <f>FE57*VLOOKUP('Données projet'!$B$16,Paramètres!$A$1:$I$89,3,0)*VLOOKUP('Données projet'!$B$16,Paramètres!$A$1:$I$89,5,0)</f>
        <v>144.88032000000004</v>
      </c>
      <c r="FG57" s="13">
        <f t="shared" si="47"/>
        <v>37.412778923310412</v>
      </c>
      <c r="FH57" s="20">
        <f t="shared" si="22"/>
        <v>317.493813958099</v>
      </c>
      <c r="FI57" s="59">
        <f t="shared" si="23"/>
        <v>610.82714729143231</v>
      </c>
      <c r="FJ57" s="59">
        <f ca="1">AVERAGE(OFFSET($FI$3,0,0,'Données projet'!$E$16+1,1))-AVERAGE(OFFSET($H$3,0,0,'Données projet'!$E$16+1,1))</f>
        <v>272.90535195666996</v>
      </c>
      <c r="FK57" s="59">
        <f t="shared" si="48"/>
        <v>222.25422164416898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3.7006675294194493</v>
      </c>
      <c r="FS57" s="21">
        <f>EXP(-LN(2)/2)*FS56+(1-EXP(-LN(2)/2))/(LN(2)/2)*FM57*FP57*VLOOKUP('Données projet'!$B$16,Paramètres!$A$1:$I$89,3,0)*0.475*44/12</f>
        <v>0.97359444109239801</v>
      </c>
      <c r="FT57" s="22">
        <f t="shared" si="24"/>
        <v>4.6742619705118473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384.05928630855732</v>
      </c>
      <c r="T58" s="59">
        <f t="shared" si="34"/>
        <v>279.93992813630513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304.99999999999983</v>
      </c>
      <c r="AJ58" s="13">
        <f>AI58*VLOOKUP('Données projet'!$B$10,Paramètres!$A$1:$I$89,3,0)*VLOOKUP('Données projet'!$B$10,Paramètres!$A$1:$I$89,5,0)</f>
        <v>275.96399999999983</v>
      </c>
      <c r="AK58" s="13">
        <f t="shared" si="35"/>
        <v>66.113366665488854</v>
      </c>
      <c r="AL58" s="20">
        <f t="shared" si="4"/>
        <v>595.78474694239264</v>
      </c>
      <c r="AM58" s="59">
        <f t="shared" si="5"/>
        <v>889.11808027572602</v>
      </c>
      <c r="AN58" s="59">
        <f ca="1">AVERAGE(OFFSET($AM$3,0,0,'Données projet'!$E$10+1,1))-AVERAGE(OFFSET($H$3,0,0,'Données projet'!$E$10+1,1))</f>
        <v>366.69125512029831</v>
      </c>
      <c r="AO58" s="59">
        <f t="shared" si="36"/>
        <v>513.80016421153414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0.98512560769294599</v>
      </c>
      <c r="AV58" s="21">
        <f>EXP(-LN(2)/25)*AV57+(1-EXP(-LN(2)/25))/(LN(2)/25)*Calculateur!AQ58*Calculateur!AS58*VLOOKUP('Données projet'!$B$10,Paramètres!$A$1:$I$89,3,0)*0.475*44/12</f>
        <v>3.6915021771792209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4.6766277848721671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190.44480000000004</v>
      </c>
      <c r="BF58" s="13">
        <f t="shared" si="37"/>
        <v>47.638278428909231</v>
      </c>
      <c r="BG58" s="20">
        <f t="shared" si="7"/>
        <v>414.66136159701699</v>
      </c>
      <c r="BH58" s="59">
        <f t="shared" si="8"/>
        <v>707.99469493035031</v>
      </c>
      <c r="BI58" s="59">
        <f ca="1">AVERAGE(OFFSET($BH$3,0,0,'Données projet'!$E$11+1,1))-AVERAGE(OFFSET($H$3,0,0,'Données projet'!$E$11+1,1))</f>
        <v>354.24684313982857</v>
      </c>
      <c r="BJ58" s="59">
        <f t="shared" si="38"/>
        <v>322.65043486962185</v>
      </c>
      <c r="BK58" s="15">
        <f>IF(ISNA(VLOOKUP(A58,'Données projet'!$A$87:$I$107,3,0)),0,VLOOKUP(A58,'Données projet'!$A$87:$I$107,3,0))</f>
        <v>8</v>
      </c>
      <c r="BL58" s="15" t="str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0.17200000000000001</v>
      </c>
      <c r="BN58" s="16">
        <f>IF(ISNA(VLOOKUP(A58,'Données projet'!$A$87:$I$107,6,0)),0%,VLOOKUP(A58,'Données projet'!$A$87:$I$107,6,0)*VLOOKUP('Données projet'!$B$11,Paramètres!$A$1:$I$89,7,0))</f>
        <v>0.17200000000000001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10.97404581280809</v>
      </c>
      <c r="BQ58" s="21">
        <f>EXP(-LN(2)/25)*BQ57+(1-EXP(-LN(2)/25))/(LN(2)/25)*Calculateur!BL58*Calculateur!BN58*VLOOKUP('Données projet'!$B$11,Paramètres!$A$1:$I$89,3,0)*0.475*44/12</f>
        <v>17.4136888112611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28.387734624069189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198.44230769230768</v>
      </c>
      <c r="BW58" s="12">
        <f>VLOOKUP(A58,'Données projet'!$A$113:$I$133,9,0)</f>
        <v>8.8736263736263741</v>
      </c>
      <c r="BX58" s="12">
        <f t="array" ref="BX58">INDEX(BW:BW,MIN(IF(ISNUMBER(BW58:BW254),ROW(BW58:BW254),"")))</f>
        <v>8.8736263736263741</v>
      </c>
      <c r="BY58" s="12">
        <f>IF('Données projet'!$A$114&gt;35,BY57+BX58-CG57,IF(A58&lt;'Données projet'!$A$114,$BV$205^A58,IF(A58='Données projet'!$A$114,'Données projet'!$B$114,BY57+BX58-CG57)))</f>
        <v>198.44230769230774</v>
      </c>
      <c r="BZ58" s="13">
        <f>BY58*VLOOKUP('Données projet'!$B$12,Paramètres!$A$1:$I$89,3,0)*VLOOKUP('Données projet'!$B$12,Paramètres!$A$1:$I$89,5,0)</f>
        <v>191.93340000000003</v>
      </c>
      <c r="CA58" s="13">
        <f t="shared" si="39"/>
        <v>47.967147946365976</v>
      </c>
      <c r="CB58" s="20">
        <f t="shared" si="10"/>
        <v>417.8267876732541</v>
      </c>
      <c r="CC58" s="59">
        <f t="shared" si="11"/>
        <v>711.16012100658736</v>
      </c>
      <c r="CD58" s="59">
        <f ca="1">AVERAGE(OFFSET($CC$3,0,0,'Données projet'!$E$12+1,1))-AVERAGE(OFFSET($H$3,0,0,'Données projet'!$E$12+1,1))</f>
        <v>407.73540492005355</v>
      </c>
      <c r="CE58" s="59">
        <f t="shared" si="40"/>
        <v>296.29416764204774</v>
      </c>
      <c r="CF58" s="15">
        <f>IF(ISNA(VLOOKUP(A58,'Données projet'!$A$113:$I$133,3,0)),0,VLOOKUP(A58,'Données projet'!$A$113:$I$133,3,0))</f>
        <v>4</v>
      </c>
      <c r="CG58" s="15">
        <f>IF(ISNA(VLOOKUP(A58,'Données projet'!$A$113:$I$133,4,0)),0,VLOOKUP(A58,'Données projet'!$A$113:$I$133,4,0))</f>
        <v>45.147435897435898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184.57919999999993</v>
      </c>
      <c r="CV58" s="13">
        <f t="shared" si="41"/>
        <v>46.339479465836618</v>
      </c>
      <c r="CW58" s="20">
        <f t="shared" si="13"/>
        <v>402.18336673633195</v>
      </c>
      <c r="CX58" s="59">
        <f t="shared" si="14"/>
        <v>695.51670006966526</v>
      </c>
      <c r="CY58" s="59">
        <f ca="1">AVERAGE(OFFSET($CX$3,0,0,'Données projet'!$E$13+1,1))-AVERAGE(OFFSET($H$3,0,0,'Données projet'!$E$13+1,1))</f>
        <v>299.10536994156814</v>
      </c>
      <c r="CZ58" s="59">
        <f t="shared" si="42"/>
        <v>292.57799203101769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0.40810000000000002</v>
      </c>
      <c r="DD58" s="16">
        <f>IF(ISNA(VLOOKUP(A58,'Données projet'!$A$139:$I$159,6,0)),0%,VLOOKUP(A58,'Données projet'!$A$139:$I$159,6,0)*VLOOKUP('Données projet'!$B$13,Paramètres!$A$1:$I$89,7,0))</f>
        <v>7.9500000000000001E-2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20.406687114381842</v>
      </c>
      <c r="DG58" s="21">
        <f>EXP(-LN(2)/25)*DG57+(1-EXP(-LN(2)/25))/(LN(2)/25)*Calculateur!DB58*Calculateur!DD58*VLOOKUP('Données projet'!$B$13,Paramètres!$A$1:$I$89,3,0)*0.475*44/12</f>
        <v>13.069464638658904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33.476151753040746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184.57919999999993</v>
      </c>
      <c r="DQ58" s="13">
        <f t="shared" si="43"/>
        <v>46.339479465836618</v>
      </c>
      <c r="DR58" s="20">
        <f t="shared" si="16"/>
        <v>402.18336673633195</v>
      </c>
      <c r="DS58" s="59">
        <f t="shared" si="17"/>
        <v>695.51670006966526</v>
      </c>
      <c r="DT58" s="59">
        <f ca="1">AVERAGE(OFFSET($DS$3,0,0,'Données projet'!$E$14+1,1))-AVERAGE(OFFSET($H$3,0,0,'Données projet'!$E$14+1,1))</f>
        <v>299.10536994156814</v>
      </c>
      <c r="DU58" s="59">
        <f t="shared" si="44"/>
        <v>292.57799203101769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0.40810000000000002</v>
      </c>
      <c r="DY58" s="16">
        <f>IF(ISNA(VLOOKUP(A58,'Données projet'!$A$165:$I$185,6,0)),0%,VLOOKUP(A58,'Données projet'!$A$165:$I$185,6,0)*VLOOKUP('Données projet'!$B$14,Paramètres!$A$1:$I$89,7,0))</f>
        <v>7.9500000000000001E-2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20.406687114381842</v>
      </c>
      <c r="EB58" s="21">
        <f>EXP(-LN(2)/25)*EB57+(1-EXP(-LN(2)/25))/(LN(2)/25)*Calculateur!DW58*Calculateur!DY58*VLOOKUP('Données projet'!$B$14,Paramètres!$A$1:$I$89,3,0)*0.475*44/12</f>
        <v>13.069464638658904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33.476151753040746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191</v>
      </c>
      <c r="EH58" s="12">
        <f>VLOOKUP(A58,'Données projet'!$A$191:$I$211,9,0)</f>
        <v>5.6</v>
      </c>
      <c r="EI58" s="12">
        <f t="array" ref="EI58">INDEX(EH:EH,MIN(IF(ISNUMBER(EH58:EH254),ROW(EH58:EH254),"")))</f>
        <v>5.6</v>
      </c>
      <c r="EJ58" s="12">
        <f>IF('Données projet'!$A$192&gt;35,EJ57+EI58-ER57,IF(A58&lt;'Données projet'!$A$192,$EG$205^A58,IF(A58='Données projet'!$A$192,'Données projet'!$B$192,EJ57+EI58-ER57)))</f>
        <v>191.00000000000003</v>
      </c>
      <c r="EK58" s="17">
        <f>EJ58*VLOOKUP('Données projet'!$B$15,Paramètres!$A$1:$I$89,3,0)*VLOOKUP('Données projet'!$B$15,Paramètres!$A$1:$I$89,5,0)</f>
        <v>125.14320000000002</v>
      </c>
      <c r="EL58" s="13">
        <f t="shared" si="45"/>
        <v>32.871620642334328</v>
      </c>
      <c r="EM58" s="20">
        <f t="shared" si="19"/>
        <v>275.20914595206563</v>
      </c>
      <c r="EN58" s="59">
        <f t="shared" si="20"/>
        <v>568.54247928539894</v>
      </c>
      <c r="EO58" s="59">
        <f ca="1">AVERAGE(OFFSET($EN$3,0,0,'Données projet'!$E$15+1,1))-AVERAGE(OFFSET($H$3,0,0,'Données projet'!$E$15+1,1))</f>
        <v>230.58262378842818</v>
      </c>
      <c r="EP58" s="59">
        <f t="shared" si="46"/>
        <v>235.68746142880792</v>
      </c>
      <c r="EQ58" s="15">
        <f>IF(ISNA(VLOOKUP(A58,'Données projet'!$A$191:$I$211,3,0)),0,VLOOKUP(A58,'Données projet'!$A$191:$I$211,3,0))</f>
        <v>10</v>
      </c>
      <c r="ER58" s="15">
        <f>IF(ISNA(VLOOKUP(A58,'Données projet'!$A$191:$I$211,4,0)),0,VLOOKUP(A58,'Données projet'!$A$191:$I$211,4,0))</f>
        <v>20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0.129</v>
      </c>
      <c r="EU58" s="16">
        <f>IF(ISNA(VLOOKUP(A58,'Données projet'!$A$191:$I$211,7,0)),0%,VLOOKUP(A58,'Données projet'!$A$191:$I$211,7,0))</f>
        <v>0.3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5.6031387834444368</v>
      </c>
      <c r="EX58" s="21">
        <f>EXP(-LN(2)/2)*EX57+(1-EXP(-LN(2)/2))/(LN(2)/2)*ER58*EU58*VLOOKUP('Données projet'!$B$15,Paramètres!$A$1:$I$89,3,0)*0.475*44/12</f>
        <v>4.5522751366346474</v>
      </c>
      <c r="EY58" s="22">
        <f t="shared" si="21"/>
        <v>10.155413920079084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184</v>
      </c>
      <c r="FC58" s="12">
        <f>VLOOKUP(A58,'Données projet'!$A$217:$I$237,9,0)</f>
        <v>5.4</v>
      </c>
      <c r="FD58" s="12">
        <f t="array" ref="FD58">INDEX(FC:FC,MIN(IF(ISNUMBER(FC58:FC254),ROW(FC58:FC254),"")))</f>
        <v>5.4</v>
      </c>
      <c r="FE58" s="12">
        <f>IF('Données projet'!$A$218&gt;35,FE57+FD58-FM57,IF(A58&lt;'Données projet'!$A$218,$FB$205^A58,IF(A58='Données projet'!$A$218,'Données projet'!$B$218,FE57+FD58-FM57)))</f>
        <v>184.00000000000006</v>
      </c>
      <c r="FF58" s="17">
        <f>FE58*VLOOKUP('Données projet'!$B$16,Paramètres!$A$1:$I$89,3,0)*VLOOKUP('Données projet'!$B$16,Paramètres!$A$1:$I$89,5,0)</f>
        <v>149.26080000000005</v>
      </c>
      <c r="FG58" s="13">
        <f t="shared" si="47"/>
        <v>38.410551499792909</v>
      </c>
      <c r="FH58" s="20">
        <f t="shared" si="22"/>
        <v>326.86093719547273</v>
      </c>
      <c r="FI58" s="59">
        <f t="shared" si="23"/>
        <v>620.1942705288061</v>
      </c>
      <c r="FJ58" s="59">
        <f ca="1">AVERAGE(OFFSET($FI$3,0,0,'Données projet'!$E$16+1,1))-AVERAGE(OFFSET($H$3,0,0,'Données projet'!$E$16+1,1))</f>
        <v>272.90535195666996</v>
      </c>
      <c r="FK58" s="59">
        <f t="shared" si="48"/>
        <v>222.25422164416898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14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0.129</v>
      </c>
      <c r="FP58" s="16">
        <f>IF(ISNA(VLOOKUP(A58,'Données projet'!$A$217:$I$237,7,0)),0%,VLOOKUP(A58,'Données projet'!$A$217:$I$237,7,0))</f>
        <v>0.3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5.2126399935169854</v>
      </c>
      <c r="FS58" s="21">
        <f>EXP(-LN(2)/2)*FS57+(1-EXP(-LN(2)/2))/(LN(2)/2)*FM58*FP58*VLOOKUP('Données projet'!$B$16,Paramètres!$A$1:$I$89,3,0)*0.475*44/12</f>
        <v>3.9030691705591032</v>
      </c>
      <c r="FT58" s="22">
        <f t="shared" si="24"/>
        <v>9.1157091640760886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613.81694592255144</v>
      </c>
      <c r="S59" s="59">
        <f ca="1">AVERAGE(OFFSET($R$3,0,0,'Données projet'!$E$9+1,1))-AVERAGE(OFFSET($H$3,0,0,'Données projet'!$E$9+1,1))</f>
        <v>384.05928630855732</v>
      </c>
      <c r="T59" s="59">
        <f t="shared" si="34"/>
        <v>279.93992813630513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304.99999999999983</v>
      </c>
      <c r="AJ59" s="13">
        <f>AI59*VLOOKUP('Données projet'!$B$10,Paramètres!$A$1:$I$89,3,0)*VLOOKUP('Données projet'!$B$10,Paramètres!$A$1:$I$89,5,0)</f>
        <v>275.96399999999983</v>
      </c>
      <c r="AK59" s="13">
        <f t="shared" si="35"/>
        <v>66.113366665488854</v>
      </c>
      <c r="AL59" s="20">
        <f t="shared" si="4"/>
        <v>595.78474694239264</v>
      </c>
      <c r="AM59" s="59">
        <f t="shared" si="5"/>
        <v>889.11808027572602</v>
      </c>
      <c r="AN59" s="59">
        <f ca="1">AVERAGE(OFFSET($AM$3,0,0,'Données projet'!$E$10+1,1))-AVERAGE(OFFSET($H$3,0,0,'Données projet'!$E$10+1,1))</f>
        <v>366.69125512029831</v>
      </c>
      <c r="AO59" s="59">
        <f t="shared" si="36"/>
        <v>513.80016421153414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0.9658078953933773</v>
      </c>
      <c r="AV59" s="21">
        <f>EXP(-LN(2)/25)*AV58+(1-EXP(-LN(2)/25))/(LN(2)/25)*Calculateur!AQ59*Calculateur!AS59*VLOOKUP('Données projet'!$B$10,Paramètres!$A$1:$I$89,3,0)*0.475*44/12</f>
        <v>3.5905578560165927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4.5563657514099702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175.59360000000007</v>
      </c>
      <c r="BF59" s="13">
        <f t="shared" si="37"/>
        <v>44.340433728638573</v>
      </c>
      <c r="BG59" s="20">
        <f t="shared" si="7"/>
        <v>383.05177541071225</v>
      </c>
      <c r="BH59" s="59">
        <f t="shared" si="8"/>
        <v>676.38510874404551</v>
      </c>
      <c r="BI59" s="59">
        <f ca="1">AVERAGE(OFFSET($BH$3,0,0,'Données projet'!$E$11+1,1))-AVERAGE(OFFSET($H$3,0,0,'Données projet'!$E$11+1,1))</f>
        <v>354.24684313982857</v>
      </c>
      <c r="BJ59" s="59">
        <f t="shared" si="38"/>
        <v>322.65043486962185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10.75885146792594</v>
      </c>
      <c r="BQ59" s="21">
        <f>EXP(-LN(2)/25)*BQ58+(1-EXP(-LN(2)/25))/(LN(2)/25)*Calculateur!BL59*Calculateur!BN59*VLOOKUP('Données projet'!$B$11,Paramètres!$A$1:$I$89,3,0)*0.475*44/12</f>
        <v>16.937510574971071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27.696362042897011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8.374198717948719</v>
      </c>
      <c r="BY59" s="12">
        <f>IF('Données projet'!$A$114&gt;35,BY58+BX59-CG58,IF(A59&lt;'Données projet'!$A$114,$BV$205^A59,IF(A59='Données projet'!$A$114,'Données projet'!$B$114,BY58+BX59-CG58)))</f>
        <v>161.66907051282055</v>
      </c>
      <c r="BZ59" s="13">
        <f>BY59*VLOOKUP('Données projet'!$B$12,Paramètres!$A$1:$I$89,3,0)*VLOOKUP('Données projet'!$B$12,Paramètres!$A$1:$I$89,5,0)</f>
        <v>156.36632500000005</v>
      </c>
      <c r="CA59" s="13">
        <f t="shared" si="39"/>
        <v>40.021837314253894</v>
      </c>
      <c r="CB59" s="20">
        <f t="shared" si="10"/>
        <v>342.04271603065894</v>
      </c>
      <c r="CC59" s="59">
        <f t="shared" si="11"/>
        <v>635.37604936399225</v>
      </c>
      <c r="CD59" s="59">
        <f ca="1">AVERAGE(OFFSET($CC$3,0,0,'Données projet'!$E$12+1,1))-AVERAGE(OFFSET($H$3,0,0,'Données projet'!$E$12+1,1))</f>
        <v>407.73540492005355</v>
      </c>
      <c r="CE59" s="59">
        <f t="shared" si="40"/>
        <v>296.29416764204774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178.37351999999993</v>
      </c>
      <c r="CV59" s="13">
        <f t="shared" si="41"/>
        <v>44.960133388294842</v>
      </c>
      <c r="CW59" s="20">
        <f t="shared" si="13"/>
        <v>388.97277965128006</v>
      </c>
      <c r="CX59" s="59">
        <f t="shared" si="14"/>
        <v>682.30611298461338</v>
      </c>
      <c r="CY59" s="59">
        <f ca="1">AVERAGE(OFFSET($CX$3,0,0,'Données projet'!$E$13+1,1))-AVERAGE(OFFSET($H$3,0,0,'Données projet'!$E$13+1,1))</f>
        <v>299.10536994156814</v>
      </c>
      <c r="CZ59" s="59">
        <f t="shared" si="42"/>
        <v>292.57799203101769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20.006524426918929</v>
      </c>
      <c r="DG59" s="21">
        <f>EXP(-LN(2)/25)*DG58+(1-EXP(-LN(2)/25))/(LN(2)/25)*Calculateur!DB59*Calculateur!DD59*VLOOKUP('Données projet'!$B$13,Paramètres!$A$1:$I$89,3,0)*0.475*44/12</f>
        <v>12.712079440821501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32.718603867740427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178.37351999999993</v>
      </c>
      <c r="DQ59" s="13">
        <f t="shared" si="43"/>
        <v>44.960133388294842</v>
      </c>
      <c r="DR59" s="20">
        <f t="shared" si="16"/>
        <v>388.97277965128006</v>
      </c>
      <c r="DS59" s="59">
        <f t="shared" si="17"/>
        <v>682.30611298461338</v>
      </c>
      <c r="DT59" s="59">
        <f ca="1">AVERAGE(OFFSET($DS$3,0,0,'Données projet'!$E$14+1,1))-AVERAGE(OFFSET($H$3,0,0,'Données projet'!$E$14+1,1))</f>
        <v>299.10536994156814</v>
      </c>
      <c r="DU59" s="59">
        <f t="shared" si="44"/>
        <v>292.57799203101769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20.006524426918929</v>
      </c>
      <c r="EB59" s="21">
        <f>EXP(-LN(2)/25)*EB58+(1-EXP(-LN(2)/25))/(LN(2)/25)*Calculateur!DW59*Calculateur!DY59*VLOOKUP('Données projet'!$B$14,Paramètres!$A$1:$I$89,3,0)*0.475*44/12</f>
        <v>12.712079440821501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32.718603867740427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</v>
      </c>
      <c r="EJ59" s="12">
        <f>IF('Données projet'!$A$192&gt;35,EJ58+EI59-ER58,IF(A59&lt;'Données projet'!$A$192,$EG$205^A59,IF(A59='Données projet'!$A$192,'Données projet'!$B$192,EJ58+EI59-ER58)))</f>
        <v>176.00000000000003</v>
      </c>
      <c r="EK59" s="17">
        <f>EJ59*VLOOKUP('Données projet'!$B$15,Paramètres!$A$1:$I$89,3,0)*VLOOKUP('Données projet'!$B$15,Paramètres!$A$1:$I$89,5,0)</f>
        <v>115.31520000000003</v>
      </c>
      <c r="EL59" s="13">
        <f t="shared" si="45"/>
        <v>30.579827148797317</v>
      </c>
      <c r="EM59" s="20">
        <f t="shared" si="19"/>
        <v>254.10050561748869</v>
      </c>
      <c r="EN59" s="59">
        <f t="shared" si="20"/>
        <v>547.43383895082206</v>
      </c>
      <c r="EO59" s="59">
        <f ca="1">AVERAGE(OFFSET($EN$3,0,0,'Données projet'!$E$15+1,1))-AVERAGE(OFFSET($H$3,0,0,'Données projet'!$E$15+1,1))</f>
        <v>230.58262378842818</v>
      </c>
      <c r="EP59" s="59">
        <f t="shared" si="46"/>
        <v>235.68746142880792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5.4499206587548858</v>
      </c>
      <c r="EX59" s="21">
        <f>EXP(-LN(2)/2)*EX58+(1-EXP(-LN(2)/2))/(LN(2)/2)*ER59*EU59*VLOOKUP('Données projet'!$B$15,Paramètres!$A$1:$I$89,3,0)*0.475*44/12</f>
        <v>3.2189446189412765</v>
      </c>
      <c r="EY59" s="22">
        <f t="shared" si="21"/>
        <v>8.6688652776961632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5.4</v>
      </c>
      <c r="FE59" s="12">
        <f>IF('Données projet'!$A$218&gt;35,FE58+FD59-FM58,IF(A59&lt;'Données projet'!$A$218,$FB$205^A59,IF(A59='Données projet'!$A$218,'Données projet'!$B$218,FE58+FD59-FM58)))</f>
        <v>175.40000000000006</v>
      </c>
      <c r="FF59" s="17">
        <f>FE59*VLOOKUP('Données projet'!$B$16,Paramètres!$A$1:$I$89,3,0)*VLOOKUP('Données projet'!$B$16,Paramètres!$A$1:$I$89,5,0)</f>
        <v>142.28448000000006</v>
      </c>
      <c r="FG59" s="13">
        <f t="shared" si="47"/>
        <v>36.819853762091817</v>
      </c>
      <c r="FH59" s="20">
        <f t="shared" si="22"/>
        <v>311.94004796897667</v>
      </c>
      <c r="FI59" s="59">
        <f t="shared" si="23"/>
        <v>605.27338130230999</v>
      </c>
      <c r="FJ59" s="59">
        <f ca="1">AVERAGE(OFFSET($FI$3,0,0,'Données projet'!$E$16+1,1))-AVERAGE(OFFSET($H$3,0,0,'Données projet'!$E$16+1,1))</f>
        <v>272.90535195666996</v>
      </c>
      <c r="FK59" s="59">
        <f t="shared" si="48"/>
        <v>222.25422164416898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5.0701000787734394</v>
      </c>
      <c r="FS59" s="21">
        <f>EXP(-LN(2)/2)*FS58+(1-EXP(-LN(2)/2))/(LN(2)/2)*FM59*FP59*VLOOKUP('Données projet'!$B$16,Paramètres!$A$1:$I$89,3,0)*0.475*44/12</f>
        <v>2.7598866779424953</v>
      </c>
      <c r="FT59" s="22">
        <f t="shared" si="24"/>
        <v>7.8299867567159342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630.01236372120707</v>
      </c>
      <c r="S60" s="59">
        <f ca="1">AVERAGE(OFFSET($R$3,0,0,'Données projet'!$E$9+1,1))-AVERAGE(OFFSET($H$3,0,0,'Données projet'!$E$9+1,1))</f>
        <v>384.05928630855732</v>
      </c>
      <c r="T60" s="59">
        <f t="shared" si="34"/>
        <v>279.93992813630513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304.99999999999983</v>
      </c>
      <c r="AJ60" s="13">
        <f>AI60*VLOOKUP('Données projet'!$B$10,Paramètres!$A$1:$I$89,3,0)*VLOOKUP('Données projet'!$B$10,Paramètres!$A$1:$I$89,5,0)</f>
        <v>275.96399999999983</v>
      </c>
      <c r="AK60" s="13">
        <f t="shared" si="35"/>
        <v>66.113366665488854</v>
      </c>
      <c r="AL60" s="20">
        <f t="shared" si="4"/>
        <v>595.78474694239264</v>
      </c>
      <c r="AM60" s="59">
        <f t="shared" si="5"/>
        <v>889.11808027572602</v>
      </c>
      <c r="AN60" s="59">
        <f ca="1">AVERAGE(OFFSET($AM$3,0,0,'Données projet'!$E$10+1,1))-AVERAGE(OFFSET($H$3,0,0,'Données projet'!$E$10+1,1))</f>
        <v>366.69125512029831</v>
      </c>
      <c r="AO60" s="59">
        <f t="shared" si="36"/>
        <v>513.80016421153414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0.94686899164936211</v>
      </c>
      <c r="AV60" s="21">
        <f>EXP(-LN(2)/25)*AV59+(1-EXP(-LN(2)/25))/(LN(2)/25)*Calculateur!AQ60*Calculateur!AS60*VLOOKUP('Données projet'!$B$10,Paramètres!$A$1:$I$89,3,0)*0.475*44/12</f>
        <v>3.4923738626245875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4.4392428542739495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180.83520000000004</v>
      </c>
      <c r="BF60" s="13">
        <f t="shared" si="37"/>
        <v>45.507952685945142</v>
      </c>
      <c r="BG60" s="20">
        <f t="shared" si="7"/>
        <v>394.21432426135453</v>
      </c>
      <c r="BH60" s="59">
        <f t="shared" si="8"/>
        <v>687.54765759468785</v>
      </c>
      <c r="BI60" s="59">
        <f ca="1">AVERAGE(OFFSET($BH$3,0,0,'Données projet'!$E$11+1,1))-AVERAGE(OFFSET($H$3,0,0,'Données projet'!$E$11+1,1))</f>
        <v>354.24684313982857</v>
      </c>
      <c r="BJ60" s="59">
        <f t="shared" si="38"/>
        <v>322.65043486962185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10.54787695289134</v>
      </c>
      <c r="BQ60" s="21">
        <f>EXP(-LN(2)/25)*BQ59+(1-EXP(-LN(2)/25))/(LN(2)/25)*Calculateur!BL60*Calculateur!BN60*VLOOKUP('Données projet'!$B$11,Paramètres!$A$1:$I$89,3,0)*0.475*44/12</f>
        <v>16.474353457593516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27.022230410484855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8.374198717948719</v>
      </c>
      <c r="BY60" s="12">
        <f>IF('Données projet'!$A$114&gt;35,BY59+BX60-CG59,IF(A60&lt;'Données projet'!$A$114,$BV$205^A60,IF(A60='Données projet'!$A$114,'Données projet'!$B$114,BY59+BX60-CG59)))</f>
        <v>170.04326923076928</v>
      </c>
      <c r="BZ60" s="13">
        <f>BY60*VLOOKUP('Données projet'!$B$12,Paramètres!$A$1:$I$89,3,0)*VLOOKUP('Données projet'!$B$12,Paramètres!$A$1:$I$89,5,0)</f>
        <v>164.46585000000007</v>
      </c>
      <c r="CA60" s="13">
        <f t="shared" si="39"/>
        <v>41.848180802016721</v>
      </c>
      <c r="CB60" s="20">
        <f t="shared" si="10"/>
        <v>359.33027031351253</v>
      </c>
      <c r="CC60" s="59">
        <f t="shared" si="11"/>
        <v>652.66360364684579</v>
      </c>
      <c r="CD60" s="59">
        <f ca="1">AVERAGE(OFFSET($CC$3,0,0,'Données projet'!$E$12+1,1))-AVERAGE(OFFSET($H$3,0,0,'Données projet'!$E$12+1,1))</f>
        <v>407.73540492005355</v>
      </c>
      <c r="CE60" s="59">
        <f t="shared" si="40"/>
        <v>296.29416764204774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182.51063999999988</v>
      </c>
      <c r="CV60" s="13">
        <f t="shared" si="41"/>
        <v>45.880306213791371</v>
      </c>
      <c r="CW60" s="20">
        <f t="shared" si="13"/>
        <v>397.78089798901971</v>
      </c>
      <c r="CX60" s="59">
        <f t="shared" si="14"/>
        <v>691.11423132235302</v>
      </c>
      <c r="CY60" s="59">
        <f ca="1">AVERAGE(OFFSET($CX$3,0,0,'Données projet'!$E$13+1,1))-AVERAGE(OFFSET($H$3,0,0,'Données projet'!$E$13+1,1))</f>
        <v>299.10536994156814</v>
      </c>
      <c r="CZ60" s="59">
        <f t="shared" si="42"/>
        <v>292.57799203101769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19.614208685682026</v>
      </c>
      <c r="DG60" s="21">
        <f>EXP(-LN(2)/25)*DG59+(1-EXP(-LN(2)/25))/(LN(2)/25)*Calculateur!DB60*Calculateur!DD60*VLOOKUP('Données projet'!$B$13,Paramètres!$A$1:$I$89,3,0)*0.475*44/12</f>
        <v>12.364466960013033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31.978675645695059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182.51063999999988</v>
      </c>
      <c r="DQ60" s="13">
        <f t="shared" si="43"/>
        <v>45.880306213791371</v>
      </c>
      <c r="DR60" s="20">
        <f t="shared" si="16"/>
        <v>397.78089798901971</v>
      </c>
      <c r="DS60" s="59">
        <f t="shared" si="17"/>
        <v>691.11423132235302</v>
      </c>
      <c r="DT60" s="59">
        <f ca="1">AVERAGE(OFFSET($DS$3,0,0,'Données projet'!$E$14+1,1))-AVERAGE(OFFSET($H$3,0,0,'Données projet'!$E$14+1,1))</f>
        <v>299.10536994156814</v>
      </c>
      <c r="DU60" s="59">
        <f t="shared" si="44"/>
        <v>292.57799203101769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19.614208685682026</v>
      </c>
      <c r="EB60" s="21">
        <f>EXP(-LN(2)/25)*EB59+(1-EXP(-LN(2)/25))/(LN(2)/25)*Calculateur!DW60*Calculateur!DY60*VLOOKUP('Données projet'!$B$14,Paramètres!$A$1:$I$89,3,0)*0.475*44/12</f>
        <v>12.364466960013033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31.978675645695059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</v>
      </c>
      <c r="EJ60" s="12">
        <f>IF('Données projet'!$A$192&gt;35,EJ59+EI60-ER59,IF(A60&lt;'Données projet'!$A$192,$EG$205^A60,IF(A60='Données projet'!$A$192,'Données projet'!$B$192,EJ59+EI60-ER59)))</f>
        <v>181.00000000000003</v>
      </c>
      <c r="EK60" s="17">
        <f>EJ60*VLOOKUP('Données projet'!$B$15,Paramètres!$A$1:$I$89,3,0)*VLOOKUP('Données projet'!$B$15,Paramètres!$A$1:$I$89,5,0)</f>
        <v>118.59120000000001</v>
      </c>
      <c r="EL60" s="13">
        <f t="shared" si="45"/>
        <v>31.346194334434067</v>
      </c>
      <c r="EM60" s="20">
        <f t="shared" si="19"/>
        <v>261.14096179913935</v>
      </c>
      <c r="EN60" s="59">
        <f t="shared" si="20"/>
        <v>554.47429513247266</v>
      </c>
      <c r="EO60" s="59">
        <f ca="1">AVERAGE(OFFSET($EN$3,0,0,'Données projet'!$E$15+1,1))-AVERAGE(OFFSET($H$3,0,0,'Données projet'!$E$15+1,1))</f>
        <v>230.58262378842818</v>
      </c>
      <c r="EP60" s="59">
        <f t="shared" si="46"/>
        <v>235.68746142880792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5.300892291742362</v>
      </c>
      <c r="EX60" s="21">
        <f>EXP(-LN(2)/2)*EX59+(1-EXP(-LN(2)/2))/(LN(2)/2)*ER60*EU60*VLOOKUP('Données projet'!$B$15,Paramètres!$A$1:$I$89,3,0)*0.475*44/12</f>
        <v>2.2761375683173242</v>
      </c>
      <c r="EY60" s="22">
        <f t="shared" si="21"/>
        <v>7.5770298600596862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5.4</v>
      </c>
      <c r="FE60" s="12">
        <f>IF('Données projet'!$A$218&gt;35,FE59+FD60-FM59,IF(A60&lt;'Données projet'!$A$218,$FB$205^A60,IF(A60='Données projet'!$A$218,'Données projet'!$B$218,FE59+FD60-FM59)))</f>
        <v>180.80000000000007</v>
      </c>
      <c r="FF60" s="17">
        <f>FE60*VLOOKUP('Données projet'!$B$16,Paramètres!$A$1:$I$89,3,0)*VLOOKUP('Données projet'!$B$16,Paramètres!$A$1:$I$89,5,0)</f>
        <v>146.66496000000006</v>
      </c>
      <c r="FG60" s="13">
        <f t="shared" si="47"/>
        <v>37.819696883427554</v>
      </c>
      <c r="FH60" s="20">
        <f t="shared" si="22"/>
        <v>321.3107774053031</v>
      </c>
      <c r="FI60" s="59">
        <f t="shared" si="23"/>
        <v>614.64411073863641</v>
      </c>
      <c r="FJ60" s="59">
        <f ca="1">AVERAGE(OFFSET($FI$3,0,0,'Données projet'!$E$16+1,1))-AVERAGE(OFFSET($H$3,0,0,'Données projet'!$E$16+1,1))</f>
        <v>272.90535195666996</v>
      </c>
      <c r="FK60" s="59">
        <f t="shared" si="48"/>
        <v>222.25422164416898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4.9314579254944046</v>
      </c>
      <c r="FS60" s="21">
        <f>EXP(-LN(2)/2)*FS59+(1-EXP(-LN(2)/2))/(LN(2)/2)*FM60*FP60*VLOOKUP('Données projet'!$B$16,Paramètres!$A$1:$I$89,3,0)*0.475*44/12</f>
        <v>1.9515345852795518</v>
      </c>
      <c r="FT60" s="22">
        <f t="shared" si="24"/>
        <v>6.8829925107739562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646.19063274187693</v>
      </c>
      <c r="S61" s="59">
        <f ca="1">AVERAGE(OFFSET($R$3,0,0,'Données projet'!$E$9+1,1))-AVERAGE(OFFSET($H$3,0,0,'Données projet'!$E$9+1,1))</f>
        <v>384.05928630855732</v>
      </c>
      <c r="T61" s="59">
        <f t="shared" si="34"/>
        <v>279.93992813630513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304.99999999999983</v>
      </c>
      <c r="AJ61" s="13">
        <f>AI61*VLOOKUP('Données projet'!$B$10,Paramètres!$A$1:$I$89,3,0)*VLOOKUP('Données projet'!$B$10,Paramètres!$A$1:$I$89,5,0)</f>
        <v>275.96399999999983</v>
      </c>
      <c r="AK61" s="13">
        <f t="shared" si="35"/>
        <v>66.113366665488854</v>
      </c>
      <c r="AL61" s="20">
        <f t="shared" si="4"/>
        <v>595.78474694239264</v>
      </c>
      <c r="AM61" s="59">
        <f t="shared" si="5"/>
        <v>889.11808027572602</v>
      </c>
      <c r="AN61" s="59">
        <f ca="1">AVERAGE(OFFSET($AM$3,0,0,'Données projet'!$E$10+1,1))-AVERAGE(OFFSET($H$3,0,0,'Données projet'!$E$10+1,1))</f>
        <v>366.69125512029831</v>
      </c>
      <c r="AO61" s="59">
        <f t="shared" si="36"/>
        <v>513.80016421153414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0.92830146825617632</v>
      </c>
      <c r="AV61" s="21">
        <f>EXP(-LN(2)/25)*AV60+(1-EXP(-LN(2)/25))/(LN(2)/25)*Calculateur!AQ61*Calculateur!AS61*VLOOKUP('Données projet'!$B$10,Paramètres!$A$1:$I$89,3,0)*0.475*44/12</f>
        <v>3.3968747156951586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4.325176183951335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186.07680000000005</v>
      </c>
      <c r="BF61" s="13">
        <f t="shared" si="37"/>
        <v>46.671538591528673</v>
      </c>
      <c r="BG61" s="20">
        <f t="shared" si="7"/>
        <v>405.37002304691242</v>
      </c>
      <c r="BH61" s="59">
        <f t="shared" si="8"/>
        <v>698.70335638024574</v>
      </c>
      <c r="BI61" s="59">
        <f ca="1">AVERAGE(OFFSET($BH$3,0,0,'Données projet'!$E$11+1,1))-AVERAGE(OFFSET($H$3,0,0,'Données projet'!$E$11+1,1))</f>
        <v>354.24684313982857</v>
      </c>
      <c r="BJ61" s="59">
        <f t="shared" si="38"/>
        <v>322.65043486962185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10.341039519414819</v>
      </c>
      <c r="BQ61" s="21">
        <f>EXP(-LN(2)/25)*BQ60+(1-EXP(-LN(2)/25))/(LN(2)/25)*Calculateur!BL61*Calculateur!BN61*VLOOKUP('Données projet'!$B$11,Paramètres!$A$1:$I$89,3,0)*0.475*44/12</f>
        <v>16.023861395947026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26.364900915361844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8.374198717948719</v>
      </c>
      <c r="BY61" s="12">
        <f>IF('Données projet'!$A$114&gt;35,BY60+BX61-CG60,IF(A61&lt;'Données projet'!$A$114,$BV$205^A61,IF(A61='Données projet'!$A$114,'Données projet'!$B$114,BY60+BX61-CG60)))</f>
        <v>178.41746794871801</v>
      </c>
      <c r="BZ61" s="13">
        <f>BY61*VLOOKUP('Données projet'!$B$12,Paramètres!$A$1:$I$89,3,0)*VLOOKUP('Données projet'!$B$12,Paramètres!$A$1:$I$89,5,0)</f>
        <v>172.56537500000005</v>
      </c>
      <c r="CA61" s="13">
        <f t="shared" si="39"/>
        <v>43.664080443774232</v>
      </c>
      <c r="CB61" s="20">
        <f t="shared" si="10"/>
        <v>376.59963489790681</v>
      </c>
      <c r="CC61" s="59">
        <f t="shared" si="11"/>
        <v>669.93296823124012</v>
      </c>
      <c r="CD61" s="59">
        <f ca="1">AVERAGE(OFFSET($CC$3,0,0,'Données projet'!$E$12+1,1))-AVERAGE(OFFSET($H$3,0,0,'Données projet'!$E$12+1,1))</f>
        <v>407.73540492005355</v>
      </c>
      <c r="CE61" s="59">
        <f t="shared" si="40"/>
        <v>296.29416764204774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186.64775999999989</v>
      </c>
      <c r="CV61" s="13">
        <f t="shared" si="41"/>
        <v>46.79805411155214</v>
      </c>
      <c r="CW61" s="20">
        <f t="shared" si="13"/>
        <v>406.58479291095313</v>
      </c>
      <c r="CX61" s="59">
        <f t="shared" si="14"/>
        <v>699.91812624428644</v>
      </c>
      <c r="CY61" s="59">
        <f ca="1">AVERAGE(OFFSET($CX$3,0,0,'Données projet'!$E$13+1,1))-AVERAGE(OFFSET($H$3,0,0,'Données projet'!$E$13+1,1))</f>
        <v>299.10536994156814</v>
      </c>
      <c r="CZ61" s="59">
        <f t="shared" si="42"/>
        <v>292.57799203101769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19.229586016841804</v>
      </c>
      <c r="DG61" s="21">
        <f>EXP(-LN(2)/25)*DG60+(1-EXP(-LN(2)/25))/(LN(2)/25)*Calculateur!DB61*Calculateur!DD61*VLOOKUP('Données projet'!$B$13,Paramètres!$A$1:$I$89,3,0)*0.475*44/12</f>
        <v>12.026359960772419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31.255945977614225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186.64775999999989</v>
      </c>
      <c r="DQ61" s="13">
        <f t="shared" si="43"/>
        <v>46.79805411155214</v>
      </c>
      <c r="DR61" s="20">
        <f t="shared" si="16"/>
        <v>406.58479291095313</v>
      </c>
      <c r="DS61" s="59">
        <f t="shared" si="17"/>
        <v>699.91812624428644</v>
      </c>
      <c r="DT61" s="59">
        <f ca="1">AVERAGE(OFFSET($DS$3,0,0,'Données projet'!$E$14+1,1))-AVERAGE(OFFSET($H$3,0,0,'Données projet'!$E$14+1,1))</f>
        <v>299.10536994156814</v>
      </c>
      <c r="DU61" s="59">
        <f t="shared" si="44"/>
        <v>292.57799203101769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19.229586016841804</v>
      </c>
      <c r="EB61" s="21">
        <f>EXP(-LN(2)/25)*EB60+(1-EXP(-LN(2)/25))/(LN(2)/25)*Calculateur!DW61*Calculateur!DY61*VLOOKUP('Données projet'!$B$14,Paramètres!$A$1:$I$89,3,0)*0.475*44/12</f>
        <v>12.026359960772419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31.255945977614225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</v>
      </c>
      <c r="EJ61" s="12">
        <f>IF('Données projet'!$A$192&gt;35,EJ60+EI61-ER60,IF(A61&lt;'Données projet'!$A$192,$EG$205^A61,IF(A61='Données projet'!$A$192,'Données projet'!$B$192,EJ60+EI61-ER60)))</f>
        <v>186.00000000000003</v>
      </c>
      <c r="EK61" s="17">
        <f>EJ61*VLOOKUP('Données projet'!$B$15,Paramètres!$A$1:$I$89,3,0)*VLOOKUP('Données projet'!$B$15,Paramètres!$A$1:$I$89,5,0)</f>
        <v>121.86720000000001</v>
      </c>
      <c r="EL61" s="13">
        <f t="shared" si="45"/>
        <v>32.110100916567376</v>
      </c>
      <c r="EM61" s="20">
        <f t="shared" si="19"/>
        <v>268.17713242968824</v>
      </c>
      <c r="EN61" s="59">
        <f t="shared" si="20"/>
        <v>561.51046576302156</v>
      </c>
      <c r="EO61" s="59">
        <f ca="1">AVERAGE(OFFSET($EN$3,0,0,'Données projet'!$E$15+1,1))-AVERAGE(OFFSET($H$3,0,0,'Données projet'!$E$15+1,1))</f>
        <v>230.58262378842818</v>
      </c>
      <c r="EP61" s="59">
        <f t="shared" si="46"/>
        <v>235.68746142880792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5.1559391132628569</v>
      </c>
      <c r="EX61" s="21">
        <f>EXP(-LN(2)/2)*EX60+(1-EXP(-LN(2)/2))/(LN(2)/2)*ER61*EU61*VLOOKUP('Données projet'!$B$15,Paramètres!$A$1:$I$89,3,0)*0.475*44/12</f>
        <v>1.6094723094706387</v>
      </c>
      <c r="EY61" s="22">
        <f t="shared" si="21"/>
        <v>6.7654114227334956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5.4</v>
      </c>
      <c r="FE61" s="12">
        <f>IF('Données projet'!$A$218&gt;35,FE60+FD61-FM60,IF(A61&lt;'Données projet'!$A$218,$FB$205^A61,IF(A61='Données projet'!$A$218,'Données projet'!$B$218,FE60+FD61-FM60)))</f>
        <v>186.20000000000007</v>
      </c>
      <c r="FF61" s="17">
        <f>FE61*VLOOKUP('Données projet'!$B$16,Paramètres!$A$1:$I$89,3,0)*VLOOKUP('Données projet'!$B$16,Paramètres!$A$1:$I$89,5,0)</f>
        <v>151.04544000000007</v>
      </c>
      <c r="FG61" s="13">
        <f t="shared" si="47"/>
        <v>38.816069491558714</v>
      </c>
      <c r="FH61" s="20">
        <f t="shared" si="22"/>
        <v>330.67546236446486</v>
      </c>
      <c r="FI61" s="59">
        <f t="shared" si="23"/>
        <v>624.00879569779818</v>
      </c>
      <c r="FJ61" s="59">
        <f ca="1">AVERAGE(OFFSET($FI$3,0,0,'Données projet'!$E$16+1,1))-AVERAGE(OFFSET($H$3,0,0,'Données projet'!$E$16+1,1))</f>
        <v>272.90535195666996</v>
      </c>
      <c r="FK61" s="59">
        <f t="shared" si="48"/>
        <v>222.25422164416898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4.7966069491876588</v>
      </c>
      <c r="FS61" s="21">
        <f>EXP(-LN(2)/2)*FS60+(1-EXP(-LN(2)/2))/(LN(2)/2)*FM61*FP61*VLOOKUP('Données projet'!$B$16,Paramètres!$A$1:$I$89,3,0)*0.475*44/12</f>
        <v>1.3799433389712479</v>
      </c>
      <c r="FT61" s="22">
        <f t="shared" si="24"/>
        <v>6.1765502881589072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662.35264979219312</v>
      </c>
      <c r="S62" s="59">
        <f ca="1">AVERAGE(OFFSET($R$3,0,0,'Données projet'!$E$9+1,1))-AVERAGE(OFFSET($H$3,0,0,'Données projet'!$E$9+1,1))</f>
        <v>384.05928630855732</v>
      </c>
      <c r="T62" s="59">
        <f t="shared" si="34"/>
        <v>279.93992813630513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304.99999999999983</v>
      </c>
      <c r="AJ62" s="13">
        <f>AI62*VLOOKUP('Données projet'!$B$10,Paramètres!$A$1:$I$89,3,0)*VLOOKUP('Données projet'!$B$10,Paramètres!$A$1:$I$89,5,0)</f>
        <v>275.96399999999983</v>
      </c>
      <c r="AK62" s="13">
        <f t="shared" si="35"/>
        <v>66.113366665488854</v>
      </c>
      <c r="AL62" s="20">
        <f t="shared" si="4"/>
        <v>595.78474694239264</v>
      </c>
      <c r="AM62" s="59">
        <f t="shared" si="5"/>
        <v>889.11808027572602</v>
      </c>
      <c r="AN62" s="59">
        <f ca="1">AVERAGE(OFFSET($AM$3,0,0,'Données projet'!$E$10+1,1))-AVERAGE(OFFSET($H$3,0,0,'Données projet'!$E$10+1,1))</f>
        <v>366.69125512029831</v>
      </c>
      <c r="AO62" s="59">
        <f t="shared" si="36"/>
        <v>513.80016421153414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0.91009804267165995</v>
      </c>
      <c r="AV62" s="21">
        <f>EXP(-LN(2)/25)*AV61+(1-EXP(-LN(2)/25))/(LN(2)/25)*Calculateur!AQ62*Calculateur!AS62*VLOOKUP('Données projet'!$B$10,Paramètres!$A$1:$I$89,3,0)*0.475*44/12</f>
        <v>3.3039869979605969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4.2140850406322565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191.31840000000005</v>
      </c>
      <c r="BF62" s="13">
        <f t="shared" si="37"/>
        <v>47.831314962098396</v>
      </c>
      <c r="BG62" s="20">
        <f t="shared" si="7"/>
        <v>416.51908689232141</v>
      </c>
      <c r="BH62" s="59">
        <f t="shared" si="8"/>
        <v>709.85242022565467</v>
      </c>
      <c r="BI62" s="59">
        <f ca="1">AVERAGE(OFFSET($BH$3,0,0,'Données projet'!$E$11+1,1))-AVERAGE(OFFSET($H$3,0,0,'Données projet'!$E$11+1,1))</f>
        <v>354.24684313982857</v>
      </c>
      <c r="BJ62" s="59">
        <f t="shared" si="38"/>
        <v>322.65043486962185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10.138258041850396</v>
      </c>
      <c r="BQ62" s="21">
        <f>EXP(-LN(2)/25)*BQ61+(1-EXP(-LN(2)/25))/(LN(2)/25)*Calculateur!BL62*Calculateur!BN62*VLOOKUP('Données projet'!$B$11,Paramètres!$A$1:$I$89,3,0)*0.475*44/12</f>
        <v>15.585688063416606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25.723946105267004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8.374198717948719</v>
      </c>
      <c r="BY62" s="12">
        <f>IF('Données projet'!$A$114&gt;35,BY61+BX62-CG61,IF(A62&lt;'Données projet'!$A$114,$BV$205^A62,IF(A62='Données projet'!$A$114,'Données projet'!$B$114,BY61+BX62-CG61)))</f>
        <v>186.79166666666674</v>
      </c>
      <c r="BZ62" s="13">
        <f>BY62*VLOOKUP('Données projet'!$B$12,Paramètres!$A$1:$I$89,3,0)*VLOOKUP('Données projet'!$B$12,Paramètres!$A$1:$I$89,5,0)</f>
        <v>180.66490000000007</v>
      </c>
      <c r="CA62" s="13">
        <f t="shared" si="39"/>
        <v>45.470082407936609</v>
      </c>
      <c r="CB62" s="20">
        <f t="shared" si="10"/>
        <v>393.85176102715633</v>
      </c>
      <c r="CC62" s="59">
        <f t="shared" si="11"/>
        <v>687.18509436048964</v>
      </c>
      <c r="CD62" s="59">
        <f ca="1">AVERAGE(OFFSET($CC$3,0,0,'Données projet'!$E$12+1,1))-AVERAGE(OFFSET($H$3,0,0,'Données projet'!$E$12+1,1))</f>
        <v>407.73540492005355</v>
      </c>
      <c r="CE62" s="59">
        <f t="shared" si="40"/>
        <v>296.29416764204774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190.78487999999987</v>
      </c>
      <c r="CV62" s="13">
        <f t="shared" si="41"/>
        <v>47.713437020051622</v>
      </c>
      <c r="CW62" s="20">
        <f t="shared" si="13"/>
        <v>415.384568809923</v>
      </c>
      <c r="CX62" s="59">
        <f t="shared" si="14"/>
        <v>708.71790214325631</v>
      </c>
      <c r="CY62" s="59">
        <f ca="1">AVERAGE(OFFSET($CX$3,0,0,'Données projet'!$E$13+1,1))-AVERAGE(OFFSET($H$3,0,0,'Données projet'!$E$13+1,1))</f>
        <v>299.10536994156814</v>
      </c>
      <c r="CZ62" s="59">
        <f t="shared" si="42"/>
        <v>292.57799203101769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18.852505563940873</v>
      </c>
      <c r="DG62" s="21">
        <f>EXP(-LN(2)/25)*DG61+(1-EXP(-LN(2)/25))/(LN(2)/25)*Calculateur!DB62*Calculateur!DD62*VLOOKUP('Données projet'!$B$13,Paramètres!$A$1:$I$89,3,0)*0.475*44/12</f>
        <v>11.697498515206314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30.550004079147186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190.78487999999987</v>
      </c>
      <c r="DQ62" s="13">
        <f t="shared" si="43"/>
        <v>47.713437020051622</v>
      </c>
      <c r="DR62" s="20">
        <f t="shared" si="16"/>
        <v>415.384568809923</v>
      </c>
      <c r="DS62" s="59">
        <f t="shared" si="17"/>
        <v>708.71790214325631</v>
      </c>
      <c r="DT62" s="59">
        <f ca="1">AVERAGE(OFFSET($DS$3,0,0,'Données projet'!$E$14+1,1))-AVERAGE(OFFSET($H$3,0,0,'Données projet'!$E$14+1,1))</f>
        <v>299.10536994156814</v>
      </c>
      <c r="DU62" s="59">
        <f t="shared" si="44"/>
        <v>292.57799203101769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18.852505563940873</v>
      </c>
      <c r="EB62" s="21">
        <f>EXP(-LN(2)/25)*EB61+(1-EXP(-LN(2)/25))/(LN(2)/25)*Calculateur!DW62*Calculateur!DY62*VLOOKUP('Données projet'!$B$14,Paramètres!$A$1:$I$89,3,0)*0.475*44/12</f>
        <v>11.697498515206314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30.550004079147186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</v>
      </c>
      <c r="EJ62" s="12">
        <f>IF('Données projet'!$A$192&gt;35,EJ61+EI62-ER61,IF(A62&lt;'Données projet'!$A$192,$EG$205^A62,IF(A62='Données projet'!$A$192,'Données projet'!$B$192,EJ61+EI62-ER61)))</f>
        <v>191.00000000000003</v>
      </c>
      <c r="EK62" s="17">
        <f>EJ62*VLOOKUP('Données projet'!$B$15,Paramètres!$A$1:$I$89,3,0)*VLOOKUP('Données projet'!$B$15,Paramètres!$A$1:$I$89,5,0)</f>
        <v>125.14320000000002</v>
      </c>
      <c r="EL62" s="13">
        <f t="shared" si="45"/>
        <v>32.871620642334328</v>
      </c>
      <c r="EM62" s="20">
        <f t="shared" si="19"/>
        <v>275.20914595206563</v>
      </c>
      <c r="EN62" s="59">
        <f t="shared" si="20"/>
        <v>568.54247928539894</v>
      </c>
      <c r="EO62" s="59">
        <f ca="1">AVERAGE(OFFSET($EN$3,0,0,'Données projet'!$E$15+1,1))-AVERAGE(OFFSET($H$3,0,0,'Données projet'!$E$15+1,1))</f>
        <v>230.58262378842818</v>
      </c>
      <c r="EP62" s="59">
        <f t="shared" si="46"/>
        <v>235.68746142880792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5.0149496870716304</v>
      </c>
      <c r="EX62" s="21">
        <f>EXP(-LN(2)/2)*EX61+(1-EXP(-LN(2)/2))/(LN(2)/2)*ER62*EU62*VLOOKUP('Données projet'!$B$15,Paramètres!$A$1:$I$89,3,0)*0.475*44/12</f>
        <v>1.1380687841586623</v>
      </c>
      <c r="EY62" s="22">
        <f t="shared" si="21"/>
        <v>6.1530184712302924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5.4</v>
      </c>
      <c r="FE62" s="12">
        <f>IF('Données projet'!$A$218&gt;35,FE61+FD62-FM61,IF(A62&lt;'Données projet'!$A$218,$FB$205^A62,IF(A62='Données projet'!$A$218,'Données projet'!$B$218,FE61+FD62-FM61)))</f>
        <v>191.60000000000008</v>
      </c>
      <c r="FF62" s="17">
        <f>FE62*VLOOKUP('Données projet'!$B$16,Paramètres!$A$1:$I$89,3,0)*VLOOKUP('Données projet'!$B$16,Paramètres!$A$1:$I$89,5,0)</f>
        <v>155.42592000000008</v>
      </c>
      <c r="FG62" s="13">
        <f t="shared" si="47"/>
        <v>39.809083793032812</v>
      </c>
      <c r="FH62" s="20">
        <f t="shared" si="22"/>
        <v>340.03429827286561</v>
      </c>
      <c r="FI62" s="59">
        <f t="shared" si="23"/>
        <v>633.36763160619898</v>
      </c>
      <c r="FJ62" s="59">
        <f ca="1">AVERAGE(OFFSET($FI$3,0,0,'Données projet'!$E$16+1,1))-AVERAGE(OFFSET($H$3,0,0,'Données projet'!$E$16+1,1))</f>
        <v>272.90535195666996</v>
      </c>
      <c r="FK62" s="59">
        <f t="shared" si="48"/>
        <v>222.25422164416898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4.6654434799195252</v>
      </c>
      <c r="FS62" s="21">
        <f>EXP(-LN(2)/2)*FS61+(1-EXP(-LN(2)/2))/(LN(2)/2)*FM62*FP62*VLOOKUP('Données projet'!$B$16,Paramètres!$A$1:$I$89,3,0)*0.475*44/12</f>
        <v>0.97576729263977602</v>
      </c>
      <c r="FT62" s="22">
        <f t="shared" si="24"/>
        <v>5.641210772559301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384.05928630855732</v>
      </c>
      <c r="T63" s="59">
        <f t="shared" si="34"/>
        <v>279.93992813630513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304.99999999999983</v>
      </c>
      <c r="AJ63" s="13">
        <f>AI63*VLOOKUP('Données projet'!$B$10,Paramètres!$A$1:$I$89,3,0)*VLOOKUP('Données projet'!$B$10,Paramètres!$A$1:$I$89,5,0)</f>
        <v>275.96399999999983</v>
      </c>
      <c r="AK63" s="13">
        <f t="shared" si="35"/>
        <v>66.113366665488854</v>
      </c>
      <c r="AL63" s="20">
        <f t="shared" si="4"/>
        <v>595.78474694239264</v>
      </c>
      <c r="AM63" s="59">
        <f t="shared" si="5"/>
        <v>889.11808027572602</v>
      </c>
      <c r="AN63" s="59">
        <f ca="1">AVERAGE(OFFSET($AM$3,0,0,'Données projet'!$E$10+1,1))-AVERAGE(OFFSET($H$3,0,0,'Données projet'!$E$10+1,1))</f>
        <v>366.69125512029831</v>
      </c>
      <c r="AO63" s="59">
        <f t="shared" si="36"/>
        <v>513.80016421153414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0.89225157515986264</v>
      </c>
      <c r="AV63" s="21">
        <f>EXP(-LN(2)/25)*AV62+(1-EXP(-LN(2)/25))/(LN(2)/25)*Calculateur!AQ63*Calculateur!AS63*VLOOKUP('Données projet'!$B$10,Paramètres!$A$1:$I$89,3,0)*0.475*44/12</f>
        <v>3.2136392997522396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4.1058908749121024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196.56000000000006</v>
      </c>
      <c r="BF63" s="13">
        <f t="shared" si="37"/>
        <v>48.987398161128134</v>
      </c>
      <c r="BG63" s="20">
        <f t="shared" si="7"/>
        <v>427.66171846396492</v>
      </c>
      <c r="BH63" s="59">
        <f t="shared" si="8"/>
        <v>720.99505179729817</v>
      </c>
      <c r="BI63" s="59">
        <f ca="1">AVERAGE(OFFSET($BH$3,0,0,'Données projet'!$E$11+1,1))-AVERAGE(OFFSET($H$3,0,0,'Données projet'!$E$11+1,1))</f>
        <v>354.24684313982857</v>
      </c>
      <c r="BJ63" s="59">
        <f t="shared" si="38"/>
        <v>322.65043486962185</v>
      </c>
      <c r="BK63" s="15">
        <f>IF(ISNA(VLOOKUP(A63,'Données projet'!$A$87:$I$107,3,0)),0,VLOOKUP(A63,'Données projet'!$A$87:$I$107,3,0))</f>
        <v>9</v>
      </c>
      <c r="BL63" s="15" t="str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0.17200000000000001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14.299764225249856</v>
      </c>
      <c r="BQ63" s="21">
        <f>EXP(-LN(2)/25)*BQ62+(1-EXP(-LN(2)/25))/(LN(2)/25)*Calculateur!BL63*Calculateur!BN63*VLOOKUP('Données projet'!$B$11,Paramètres!$A$1:$I$89,3,0)*0.475*44/12</f>
        <v>18.634011030197261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32.933775255447117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8.374198717948719</v>
      </c>
      <c r="BY63" s="12">
        <f>IF('Données projet'!$A$114&gt;35,BY62+BX63-CG62,IF(A63&lt;'Données projet'!$A$114,$BV$205^A63,IF(A63='Données projet'!$A$114,'Données projet'!$B$114,BY62+BX63-CG62)))</f>
        <v>195.16586538461547</v>
      </c>
      <c r="BZ63" s="13">
        <f>BY63*VLOOKUP('Données projet'!$B$12,Paramètres!$A$1:$I$89,3,0)*VLOOKUP('Données projet'!$B$12,Paramètres!$A$1:$I$89,5,0)</f>
        <v>188.7644250000001</v>
      </c>
      <c r="CA63" s="13">
        <f t="shared" si="39"/>
        <v>47.266681123022828</v>
      </c>
      <c r="CB63" s="20">
        <f t="shared" si="10"/>
        <v>411.08750983093159</v>
      </c>
      <c r="CC63" s="59">
        <f t="shared" si="11"/>
        <v>704.42084316426485</v>
      </c>
      <c r="CD63" s="59">
        <f ca="1">AVERAGE(OFFSET($CC$3,0,0,'Données projet'!$E$12+1,1))-AVERAGE(OFFSET($H$3,0,0,'Données projet'!$E$12+1,1))</f>
        <v>407.73540492005355</v>
      </c>
      <c r="CE63" s="59">
        <f t="shared" si="40"/>
        <v>296.29416764204774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194.92199999999988</v>
      </c>
      <c r="CV63" s="13">
        <f t="shared" si="41"/>
        <v>48.626512129794925</v>
      </c>
      <c r="CW63" s="20">
        <f t="shared" si="13"/>
        <v>424.18032529272591</v>
      </c>
      <c r="CX63" s="59">
        <f t="shared" si="14"/>
        <v>717.51365862605917</v>
      </c>
      <c r="CY63" s="59">
        <f ca="1">AVERAGE(OFFSET($CX$3,0,0,'Données projet'!$E$13+1,1))-AVERAGE(OFFSET($H$3,0,0,'Données projet'!$E$13+1,1))</f>
        <v>299.10536994156814</v>
      </c>
      <c r="CZ63" s="59">
        <f t="shared" si="42"/>
        <v>292.57799203101769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0.43990000000000001</v>
      </c>
      <c r="DD63" s="16">
        <f>IF(ISNA(VLOOKUP(A63,'Données projet'!$A$139:$I$159,6,0)),0%,VLOOKUP(A63,'Données projet'!$A$139:$I$159,6,0)*VLOOKUP('Données projet'!$B$13,Paramètres!$A$1:$I$89,7,0))</f>
        <v>4.24E-2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23.125588609334091</v>
      </c>
      <c r="DG63" s="21">
        <f>EXP(-LN(2)/25)*DG62+(1-EXP(-LN(2)/25))/(LN(2)/25)*Calculateur!DB63*Calculateur!DD63*VLOOKUP('Données projet'!$B$13,Paramètres!$A$1:$I$89,3,0)*0.475*44/12</f>
        <v>11.823363666229437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34.948952275563528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194.92199999999988</v>
      </c>
      <c r="DQ63" s="13">
        <f t="shared" si="43"/>
        <v>48.626512129794925</v>
      </c>
      <c r="DR63" s="20">
        <f t="shared" si="16"/>
        <v>424.18032529272591</v>
      </c>
      <c r="DS63" s="59">
        <f t="shared" si="17"/>
        <v>717.51365862605917</v>
      </c>
      <c r="DT63" s="59">
        <f ca="1">AVERAGE(OFFSET($DS$3,0,0,'Données projet'!$E$14+1,1))-AVERAGE(OFFSET($H$3,0,0,'Données projet'!$E$14+1,1))</f>
        <v>299.10536994156814</v>
      </c>
      <c r="DU63" s="59">
        <f t="shared" si="44"/>
        <v>292.57799203101769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0.43990000000000001</v>
      </c>
      <c r="DY63" s="16">
        <f>IF(ISNA(VLOOKUP(A63,'Données projet'!$A$165:$I$185,6,0)),0%,VLOOKUP(A63,'Données projet'!$A$165:$I$185,6,0)*VLOOKUP('Données projet'!$B$14,Paramètres!$A$1:$I$89,7,0))</f>
        <v>4.24E-2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23.125588609334091</v>
      </c>
      <c r="EB63" s="21">
        <f>EXP(-LN(2)/25)*EB62+(1-EXP(-LN(2)/25))/(LN(2)/25)*Calculateur!DW63*Calculateur!DY63*VLOOKUP('Données projet'!$B$14,Paramètres!$A$1:$I$89,3,0)*0.475*44/12</f>
        <v>11.823363666229437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34.948952275563528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196</v>
      </c>
      <c r="EH63" s="12">
        <f>VLOOKUP(A63,'Données projet'!$A$191:$I$211,9,0)</f>
        <v>5</v>
      </c>
      <c r="EI63" s="12">
        <f t="array" ref="EI63">INDEX(EH:EH,MIN(IF(ISNUMBER(EH63:EH259),ROW(EH63:EH259),"")))</f>
        <v>5</v>
      </c>
      <c r="EJ63" s="12">
        <f>IF('Données projet'!$A$192&gt;35,EJ62+EI63-ER62,IF(A63&lt;'Données projet'!$A$192,$EG$205^A63,IF(A63='Données projet'!$A$192,'Données projet'!$B$192,EJ62+EI63-ER62)))</f>
        <v>196.00000000000003</v>
      </c>
      <c r="EK63" s="17">
        <f>EJ63*VLOOKUP('Données projet'!$B$15,Paramètres!$A$1:$I$89,3,0)*VLOOKUP('Données projet'!$B$15,Paramètres!$A$1:$I$89,5,0)</f>
        <v>128.41920000000002</v>
      </c>
      <c r="EL63" s="13">
        <f t="shared" si="45"/>
        <v>33.630823177860762</v>
      </c>
      <c r="EM63" s="20">
        <f t="shared" si="19"/>
        <v>282.23712370144091</v>
      </c>
      <c r="EN63" s="59">
        <f t="shared" si="20"/>
        <v>575.57045703477422</v>
      </c>
      <c r="EO63" s="59">
        <f ca="1">AVERAGE(OFFSET($EN$3,0,0,'Données projet'!$E$15+1,1))-AVERAGE(OFFSET($H$3,0,0,'Données projet'!$E$15+1,1))</f>
        <v>230.58262378842818</v>
      </c>
      <c r="EP63" s="59">
        <f t="shared" si="46"/>
        <v>235.68746142880792</v>
      </c>
      <c r="EQ63" s="15">
        <f>IF(ISNA(VLOOKUP(A63,'Données projet'!$A$191:$I$211,3,0)),0,VLOOKUP(A63,'Données projet'!$A$191:$I$211,3,0))</f>
        <v>11</v>
      </c>
      <c r="ER63" s="15">
        <f>IF(ISNA(VLOOKUP(A63,'Données projet'!$A$191:$I$211,4,0)),0,VLOOKUP(A63,'Données projet'!$A$191:$I$211,4,0))</f>
        <v>19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0.129</v>
      </c>
      <c r="EU63" s="16">
        <f>IF(ISNA(VLOOKUP(A63,'Données projet'!$A$191:$I$211,7,0)),0%,VLOOKUP(A63,'Données projet'!$A$191:$I$211,7,0))</f>
        <v>0.3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6.6460952876356831</v>
      </c>
      <c r="EX63" s="21">
        <f>EXP(-LN(2)/2)*EX62+(1-EXP(-LN(2)/2))/(LN(2)/2)*ER63*EU63*VLOOKUP('Données projet'!$B$15,Paramètres!$A$1:$I$89,3,0)*0.475*44/12</f>
        <v>4.328469511097186</v>
      </c>
      <c r="EY63" s="22">
        <f t="shared" si="21"/>
        <v>10.974564798732869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197</v>
      </c>
      <c r="FC63" s="12">
        <f>VLOOKUP(A63,'Données projet'!$A$217:$I$237,9,0)</f>
        <v>5.4</v>
      </c>
      <c r="FD63" s="12">
        <f t="array" ref="FD63">INDEX(FC:FC,MIN(IF(ISNUMBER(FC63:FC259),ROW(FC63:FC259),"")))</f>
        <v>5.4</v>
      </c>
      <c r="FE63" s="12">
        <f>IF('Données projet'!$A$218&gt;35,FE62+FD63-FM62,IF(A63&lt;'Données projet'!$A$218,$FB$205^A63,IF(A63='Données projet'!$A$218,'Données projet'!$B$218,FE62+FD63-FM62)))</f>
        <v>197.00000000000009</v>
      </c>
      <c r="FF63" s="17">
        <f>FE63*VLOOKUP('Données projet'!$B$16,Paramètres!$A$1:$I$89,3,0)*VLOOKUP('Données projet'!$B$16,Paramètres!$A$1:$I$89,5,0)</f>
        <v>159.80640000000008</v>
      </c>
      <c r="FG63" s="13">
        <f t="shared" si="47"/>
        <v>40.798845309789208</v>
      </c>
      <c r="FH63" s="20">
        <f t="shared" si="22"/>
        <v>349.38746891454963</v>
      </c>
      <c r="FI63" s="59">
        <f t="shared" si="23"/>
        <v>642.72080224788294</v>
      </c>
      <c r="FJ63" s="59">
        <f ca="1">AVERAGE(OFFSET($FI$3,0,0,'Données projet'!$E$16+1,1))-AVERAGE(OFFSET($H$3,0,0,'Données projet'!$E$16+1,1))</f>
        <v>272.90535195666996</v>
      </c>
      <c r="FK63" s="59">
        <f t="shared" si="48"/>
        <v>222.25422164416898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0.129</v>
      </c>
      <c r="FP63" s="16">
        <f>IF(ISNA(VLOOKUP(A63,'Données projet'!$A$217:$I$237,7,0)),0%,VLOOKUP(A63,'Données projet'!$A$217:$I$237,7,0))</f>
        <v>0.3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6.151034094915274</v>
      </c>
      <c r="FS63" s="21">
        <f>EXP(-LN(2)/2)*FS62+(1-EXP(-LN(2)/2))/(LN(2)/2)*FM63*FP63*VLOOKUP('Données projet'!$B$16,Paramètres!$A$1:$I$89,3,0)*0.475*44/12</f>
        <v>3.9046056086227661</v>
      </c>
      <c r="FT63" s="22">
        <f t="shared" si="24"/>
        <v>10.05563970353804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384.05928630855732</v>
      </c>
      <c r="T64" s="59">
        <f t="shared" si="34"/>
        <v>279.93992813630513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304.99999999999983</v>
      </c>
      <c r="AJ64" s="13">
        <f>AI64*VLOOKUP('Données projet'!$B$10,Paramètres!$A$1:$I$89,3,0)*VLOOKUP('Données projet'!$B$10,Paramètres!$A$1:$I$89,5,0)</f>
        <v>275.96399999999983</v>
      </c>
      <c r="AK64" s="13">
        <f t="shared" si="35"/>
        <v>66.113366665488854</v>
      </c>
      <c r="AL64" s="20">
        <f t="shared" si="4"/>
        <v>595.78474694239264</v>
      </c>
      <c r="AM64" s="59">
        <f t="shared" si="5"/>
        <v>889.11808027572602</v>
      </c>
      <c r="AN64" s="59">
        <f ca="1">AVERAGE(OFFSET($AM$3,0,0,'Données projet'!$E$10+1,1))-AVERAGE(OFFSET($H$3,0,0,'Données projet'!$E$10+1,1))</f>
        <v>366.69125512029831</v>
      </c>
      <c r="AO64" s="59">
        <f t="shared" si="36"/>
        <v>513.80016421153414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0.8747550659907013</v>
      </c>
      <c r="AV64" s="21">
        <f>EXP(-LN(2)/25)*AV63+(1-EXP(-LN(2)/25))/(LN(2)/25)*Calculateur!AQ64*Calculateur!AS64*VLOOKUP('Données projet'!$B$10,Paramètres!$A$1:$I$89,3,0)*0.475*44/12</f>
        <v>3.1257621641025688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4.0005172300932701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183.10656000000003</v>
      </c>
      <c r="BF64" s="13">
        <f t="shared" si="37"/>
        <v>46.012648718992089</v>
      </c>
      <c r="BG64" s="20">
        <f t="shared" si="7"/>
        <v>399.04928851891128</v>
      </c>
      <c r="BH64" s="59">
        <f t="shared" si="8"/>
        <v>692.3826218522446</v>
      </c>
      <c r="BI64" s="59">
        <f ca="1">AVERAGE(OFFSET($BH$3,0,0,'Données projet'!$E$11+1,1))-AVERAGE(OFFSET($H$3,0,0,'Données projet'!$E$11+1,1))</f>
        <v>354.24684313982857</v>
      </c>
      <c r="BJ64" s="59">
        <f t="shared" si="38"/>
        <v>322.65043486962185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14.019354570787659</v>
      </c>
      <c r="BQ64" s="21">
        <f>EXP(-LN(2)/25)*BQ63+(1-EXP(-LN(2)/25))/(LN(2)/25)*Calculateur!BL64*Calculateur!BN64*VLOOKUP('Données projet'!$B$11,Paramètres!$A$1:$I$89,3,0)*0.475*44/12</f>
        <v>18.124463018656463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32.143817589444126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8.374198717948719</v>
      </c>
      <c r="BY64" s="12">
        <f>IF('Données projet'!$A$114&gt;35,BY63+BX64-CG63,IF(A64&lt;'Données projet'!$A$114,$BV$205^A64,IF(A64='Données projet'!$A$114,'Données projet'!$B$114,BY63+BX64-CG63)))</f>
        <v>203.5400641025642</v>
      </c>
      <c r="BZ64" s="13">
        <f>BY64*VLOOKUP('Données projet'!$B$12,Paramètres!$A$1:$I$89,3,0)*VLOOKUP('Données projet'!$B$12,Paramètres!$A$1:$I$89,5,0)</f>
        <v>196.8639500000001</v>
      </c>
      <c r="CA64" s="13">
        <f t="shared" si="39"/>
        <v>49.054326187818369</v>
      </c>
      <c r="CB64" s="20">
        <f t="shared" si="10"/>
        <v>428.30766436045047</v>
      </c>
      <c r="CC64" s="59">
        <f t="shared" si="11"/>
        <v>721.64099769378379</v>
      </c>
      <c r="CD64" s="59">
        <f ca="1">AVERAGE(OFFSET($CC$3,0,0,'Données projet'!$E$12+1,1))-AVERAGE(OFFSET($H$3,0,0,'Données projet'!$E$12+1,1))</f>
        <v>407.73540492005355</v>
      </c>
      <c r="CE64" s="59">
        <f t="shared" si="40"/>
        <v>296.29416764204774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188.87543999999988</v>
      </c>
      <c r="CV64" s="13">
        <f t="shared" si="41"/>
        <v>47.291242769027726</v>
      </c>
      <c r="CW64" s="20">
        <f t="shared" si="13"/>
        <v>411.32363915605634</v>
      </c>
      <c r="CX64" s="59">
        <f t="shared" si="14"/>
        <v>704.65697248938966</v>
      </c>
      <c r="CY64" s="59">
        <f ca="1">AVERAGE(OFFSET($CX$3,0,0,'Données projet'!$E$13+1,1))-AVERAGE(OFFSET($H$3,0,0,'Données projet'!$E$13+1,1))</f>
        <v>299.10536994156814</v>
      </c>
      <c r="CZ64" s="59">
        <f t="shared" si="42"/>
        <v>292.57799203101769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22.672109921921326</v>
      </c>
      <c r="DG64" s="21">
        <f>EXP(-LN(2)/25)*DG63+(1-EXP(-LN(2)/25))/(LN(2)/25)*Calculateur!DB64*Calculateur!DD64*VLOOKUP('Données projet'!$B$13,Paramètres!$A$1:$I$89,3,0)*0.475*44/12</f>
        <v>11.500053165012719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34.172163086934049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188.87543999999988</v>
      </c>
      <c r="DQ64" s="13">
        <f t="shared" si="43"/>
        <v>47.291242769027726</v>
      </c>
      <c r="DR64" s="20">
        <f t="shared" si="16"/>
        <v>411.32363915605634</v>
      </c>
      <c r="DS64" s="59">
        <f t="shared" si="17"/>
        <v>704.65697248938966</v>
      </c>
      <c r="DT64" s="59">
        <f ca="1">AVERAGE(OFFSET($DS$3,0,0,'Données projet'!$E$14+1,1))-AVERAGE(OFFSET($H$3,0,0,'Données projet'!$E$14+1,1))</f>
        <v>299.10536994156814</v>
      </c>
      <c r="DU64" s="59">
        <f t="shared" si="44"/>
        <v>292.57799203101769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22.672109921921326</v>
      </c>
      <c r="EB64" s="21">
        <f>EXP(-LN(2)/25)*EB63+(1-EXP(-LN(2)/25))/(LN(2)/25)*Calculateur!DW64*Calculateur!DY64*VLOOKUP('Données projet'!$B$14,Paramètres!$A$1:$I$89,3,0)*0.475*44/12</f>
        <v>11.500053165012719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34.172163086934049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4.8</v>
      </c>
      <c r="EJ64" s="12">
        <f>IF('Données projet'!$A$192&gt;35,EJ63+EI64-ER63,IF(A64&lt;'Données projet'!$A$192,$EG$205^A64,IF(A64='Données projet'!$A$192,'Données projet'!$B$192,EJ63+EI64-ER63)))</f>
        <v>181.80000000000004</v>
      </c>
      <c r="EK64" s="17">
        <f>EJ64*VLOOKUP('Données projet'!$B$15,Paramètres!$A$1:$I$89,3,0)*VLOOKUP('Données projet'!$B$15,Paramètres!$A$1:$I$89,5,0)</f>
        <v>119.11536000000002</v>
      </c>
      <c r="EL64" s="13">
        <f t="shared" si="45"/>
        <v>31.468582772748093</v>
      </c>
      <c r="EM64" s="20">
        <f t="shared" si="19"/>
        <v>262.26703366253628</v>
      </c>
      <c r="EN64" s="59">
        <f t="shared" si="20"/>
        <v>555.60036699586954</v>
      </c>
      <c r="EO64" s="59">
        <f ca="1">AVERAGE(OFFSET($EN$3,0,0,'Données projet'!$E$15+1,1))-AVERAGE(OFFSET($H$3,0,0,'Données projet'!$E$15+1,1))</f>
        <v>230.58262378842818</v>
      </c>
      <c r="EP64" s="59">
        <f t="shared" si="46"/>
        <v>235.68746142880792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6.4643574624923241</v>
      </c>
      <c r="EX64" s="21">
        <f>EXP(-LN(2)/2)*EX63+(1-EXP(-LN(2)/2))/(LN(2)/2)*ER64*EU64*VLOOKUP('Données projet'!$B$15,Paramètres!$A$1:$I$89,3,0)*0.475*44/12</f>
        <v>3.0606901434560405</v>
      </c>
      <c r="EY64" s="22">
        <f t="shared" si="21"/>
        <v>9.5250476059483642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</v>
      </c>
      <c r="FE64" s="12">
        <f>IF('Données projet'!$A$218&gt;35,FE63+FD64-FM63,IF(A64&lt;'Données projet'!$A$218,$FB$205^A64,IF(A64='Données projet'!$A$218,'Données projet'!$B$218,FE63+FD64-FM63)))</f>
        <v>188.00000000000009</v>
      </c>
      <c r="FF64" s="17">
        <f>FE64*VLOOKUP('Données projet'!$B$16,Paramètres!$A$1:$I$89,3,0)*VLOOKUP('Données projet'!$B$16,Paramètres!$A$1:$I$89,5,0)</f>
        <v>152.50560000000007</v>
      </c>
      <c r="FG64" s="13">
        <f t="shared" si="47"/>
        <v>39.147442061162252</v>
      </c>
      <c r="FH64" s="20">
        <f t="shared" si="22"/>
        <v>333.79571492319104</v>
      </c>
      <c r="FI64" s="59">
        <f t="shared" si="23"/>
        <v>627.12904825652436</v>
      </c>
      <c r="FJ64" s="59">
        <f ca="1">AVERAGE(OFFSET($FI$3,0,0,'Données projet'!$E$16+1,1))-AVERAGE(OFFSET($H$3,0,0,'Données projet'!$E$16+1,1))</f>
        <v>272.90535195666996</v>
      </c>
      <c r="FK64" s="59">
        <f t="shared" si="48"/>
        <v>222.25422164416898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5.9828337441209909</v>
      </c>
      <c r="FS64" s="21">
        <f>EXP(-LN(2)/2)*FS63+(1-EXP(-LN(2)/2))/(LN(2)/2)*FM64*FP64*VLOOKUP('Données projet'!$B$16,Paramètres!$A$1:$I$89,3,0)*0.475*44/12</f>
        <v>2.7609731037161849</v>
      </c>
      <c r="FT64" s="22">
        <f t="shared" si="24"/>
        <v>8.7438068478371758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710.74894900400648</v>
      </c>
      <c r="S65" s="59">
        <f ca="1">AVERAGE(OFFSET($R$3,0,0,'Données projet'!$E$9+1,1))-AVERAGE(OFFSET($H$3,0,0,'Données projet'!$E$9+1,1))</f>
        <v>384.05928630855732</v>
      </c>
      <c r="T65" s="59">
        <f t="shared" si="34"/>
        <v>279.93992813630513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304.99999999999983</v>
      </c>
      <c r="AJ65" s="13">
        <f>AI65*VLOOKUP('Données projet'!$B$10,Paramètres!$A$1:$I$89,3,0)*VLOOKUP('Données projet'!$B$10,Paramètres!$A$1:$I$89,5,0)</f>
        <v>275.96399999999983</v>
      </c>
      <c r="AK65" s="13">
        <f t="shared" si="35"/>
        <v>66.113366665488854</v>
      </c>
      <c r="AL65" s="20">
        <f t="shared" si="4"/>
        <v>595.78474694239264</v>
      </c>
      <c r="AM65" s="59">
        <f t="shared" si="5"/>
        <v>889.11808027572602</v>
      </c>
      <c r="AN65" s="59">
        <f ca="1">AVERAGE(OFFSET($AM$3,0,0,'Données projet'!$E$10+1,1))-AVERAGE(OFFSET($H$3,0,0,'Données projet'!$E$10+1,1))</f>
        <v>366.69125512029831</v>
      </c>
      <c r="AO65" s="59">
        <f t="shared" si="36"/>
        <v>513.80016421153414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0.85760165269453037</v>
      </c>
      <c r="AV65" s="21">
        <f>EXP(-LN(2)/25)*AV64+(1-EXP(-LN(2)/25))/(LN(2)/25)*Calculateur!AQ65*Calculateur!AS65*VLOOKUP('Données projet'!$B$10,Paramètres!$A$1:$I$89,3,0)*0.475*44/12</f>
        <v>3.0402880333484958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3.8978896860430261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187.99872000000002</v>
      </c>
      <c r="BF65" s="13">
        <f t="shared" si="37"/>
        <v>47.097225953569499</v>
      </c>
      <c r="BG65" s="20">
        <f t="shared" si="7"/>
        <v>409.45877253580028</v>
      </c>
      <c r="BH65" s="59">
        <f t="shared" si="8"/>
        <v>702.79210586913359</v>
      </c>
      <c r="BI65" s="59">
        <f ca="1">AVERAGE(OFFSET($BH$3,0,0,'Données projet'!$E$11+1,1))-AVERAGE(OFFSET($H$3,0,0,'Données projet'!$E$11+1,1))</f>
        <v>354.24684313982857</v>
      </c>
      <c r="BJ65" s="59">
        <f t="shared" si="38"/>
        <v>322.65043486962185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13.744443578616464</v>
      </c>
      <c r="BQ65" s="21">
        <f>EXP(-LN(2)/25)*BQ64+(1-EXP(-LN(2)/25))/(LN(2)/25)*Calculateur!BL65*Calculateur!BN65*VLOOKUP('Données projet'!$B$11,Paramètres!$A$1:$I$89,3,0)*0.475*44/12</f>
        <v>17.628848624287215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31.373292202903677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8.374198717948719</v>
      </c>
      <c r="BY65" s="12">
        <f>IF('Données projet'!$A$114&gt;35,BY64+BX65-CG64,IF(A65&lt;'Données projet'!$A$114,$BV$205^A65,IF(A65='Données projet'!$A$114,'Données projet'!$B$114,BY64+BX65-CG64)))</f>
        <v>211.91426282051293</v>
      </c>
      <c r="BZ65" s="13">
        <f>BY65*VLOOKUP('Données projet'!$B$12,Paramètres!$A$1:$I$89,3,0)*VLOOKUP('Données projet'!$B$12,Paramètres!$A$1:$I$89,5,0)</f>
        <v>204.96347500000013</v>
      </c>
      <c r="CA65" s="13">
        <f t="shared" si="39"/>
        <v>50.833428112287699</v>
      </c>
      <c r="CB65" s="20">
        <f t="shared" si="10"/>
        <v>445.51293958723454</v>
      </c>
      <c r="CC65" s="59">
        <f t="shared" si="11"/>
        <v>738.8462729205678</v>
      </c>
      <c r="CD65" s="59">
        <f ca="1">AVERAGE(OFFSET($CC$3,0,0,'Données projet'!$E$12+1,1))-AVERAGE(OFFSET($H$3,0,0,'Données projet'!$E$12+1,1))</f>
        <v>407.73540492005355</v>
      </c>
      <c r="CE65" s="59">
        <f t="shared" si="40"/>
        <v>296.29416764204774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192.37607999999989</v>
      </c>
      <c r="CV65" s="13">
        <f t="shared" si="41"/>
        <v>48.064889828485896</v>
      </c>
      <c r="CW65" s="20">
        <f t="shared" si="13"/>
        <v>418.76802245127936</v>
      </c>
      <c r="CX65" s="59">
        <f t="shared" si="14"/>
        <v>712.10135578461268</v>
      </c>
      <c r="CY65" s="59">
        <f ca="1">AVERAGE(OFFSET($CX$3,0,0,'Données projet'!$E$13+1,1))-AVERAGE(OFFSET($H$3,0,0,'Données projet'!$E$13+1,1))</f>
        <v>299.10536994156814</v>
      </c>
      <c r="CZ65" s="59">
        <f t="shared" si="42"/>
        <v>292.57799203101769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22.227523674974037</v>
      </c>
      <c r="DG65" s="21">
        <f>EXP(-LN(2)/25)*DG64+(1-EXP(-LN(2)/25))/(LN(2)/25)*Calculateur!DB65*Calculateur!DD65*VLOOKUP('Données projet'!$B$13,Paramètres!$A$1:$I$89,3,0)*0.475*44/12</f>
        <v>11.185583606453934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33.413107281427969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192.37607999999989</v>
      </c>
      <c r="DQ65" s="13">
        <f t="shared" si="43"/>
        <v>48.064889828485896</v>
      </c>
      <c r="DR65" s="20">
        <f t="shared" si="16"/>
        <v>418.76802245127936</v>
      </c>
      <c r="DS65" s="59">
        <f t="shared" si="17"/>
        <v>712.10135578461268</v>
      </c>
      <c r="DT65" s="59">
        <f ca="1">AVERAGE(OFFSET($DS$3,0,0,'Données projet'!$E$14+1,1))-AVERAGE(OFFSET($H$3,0,0,'Données projet'!$E$14+1,1))</f>
        <v>299.10536994156814</v>
      </c>
      <c r="DU65" s="59">
        <f t="shared" si="44"/>
        <v>292.57799203101769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22.227523674974037</v>
      </c>
      <c r="EB65" s="21">
        <f>EXP(-LN(2)/25)*EB64+(1-EXP(-LN(2)/25))/(LN(2)/25)*Calculateur!DW65*Calculateur!DY65*VLOOKUP('Données projet'!$B$14,Paramètres!$A$1:$I$89,3,0)*0.475*44/12</f>
        <v>11.185583606453934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33.413107281427969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4.8</v>
      </c>
      <c r="EJ65" s="12">
        <f>IF('Données projet'!$A$192&gt;35,EJ64+EI65-ER64,IF(A65&lt;'Données projet'!$A$192,$EG$205^A65,IF(A65='Données projet'!$A$192,'Données projet'!$B$192,EJ64+EI65-ER64)))</f>
        <v>186.60000000000005</v>
      </c>
      <c r="EK65" s="17">
        <f>EJ65*VLOOKUP('Données projet'!$B$15,Paramètres!$A$1:$I$89,3,0)*VLOOKUP('Données projet'!$B$15,Paramètres!$A$1:$I$89,5,0)</f>
        <v>122.26032000000002</v>
      </c>
      <c r="EL65" s="13">
        <f t="shared" si="45"/>
        <v>32.2016078999482</v>
      </c>
      <c r="EM65" s="20">
        <f t="shared" si="19"/>
        <v>269.02119109240982</v>
      </c>
      <c r="EN65" s="59">
        <f t="shared" si="20"/>
        <v>562.35452442574319</v>
      </c>
      <c r="EO65" s="59">
        <f ca="1">AVERAGE(OFFSET($EN$3,0,0,'Données projet'!$E$15+1,1))-AVERAGE(OFFSET($H$3,0,0,'Données projet'!$E$15+1,1))</f>
        <v>230.58262378842818</v>
      </c>
      <c r="EP65" s="59">
        <f t="shared" si="46"/>
        <v>235.68746142880792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6.2875892677346874</v>
      </c>
      <c r="EX65" s="21">
        <f>EXP(-LN(2)/2)*EX64+(1-EXP(-LN(2)/2))/(LN(2)/2)*ER65*EU65*VLOOKUP('Données projet'!$B$15,Paramètres!$A$1:$I$89,3,0)*0.475*44/12</f>
        <v>2.1642347555485935</v>
      </c>
      <c r="EY65" s="22">
        <f t="shared" si="21"/>
        <v>8.4518240232832813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</v>
      </c>
      <c r="FE65" s="12">
        <f>IF('Données projet'!$A$218&gt;35,FE64+FD65-FM64,IF(A65&lt;'Données projet'!$A$218,$FB$205^A65,IF(A65='Données projet'!$A$218,'Données projet'!$B$218,FE64+FD65-FM64)))</f>
        <v>193.00000000000009</v>
      </c>
      <c r="FF65" s="17">
        <f>FE65*VLOOKUP('Données projet'!$B$16,Paramètres!$A$1:$I$89,3,0)*VLOOKUP('Données projet'!$B$16,Paramètres!$A$1:$I$89,5,0)</f>
        <v>156.56160000000008</v>
      </c>
      <c r="FG65" s="13">
        <f t="shared" si="47"/>
        <v>40.065996859746512</v>
      </c>
      <c r="FH65" s="20">
        <f t="shared" si="22"/>
        <v>342.45973119739205</v>
      </c>
      <c r="FI65" s="59">
        <f t="shared" si="23"/>
        <v>635.79306453072536</v>
      </c>
      <c r="FJ65" s="59">
        <f ca="1">AVERAGE(OFFSET($FI$3,0,0,'Données projet'!$E$16+1,1))-AVERAGE(OFFSET($H$3,0,0,'Données projet'!$E$16+1,1))</f>
        <v>272.90535195666996</v>
      </c>
      <c r="FK65" s="59">
        <f t="shared" si="48"/>
        <v>222.25422164416898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5.8192328407644496</v>
      </c>
      <c r="FS65" s="21">
        <f>EXP(-LN(2)/2)*FS64+(1-EXP(-LN(2)/2))/(LN(2)/2)*FM65*FP65*VLOOKUP('Données projet'!$B$16,Paramètres!$A$1:$I$89,3,0)*0.475*44/12</f>
        <v>1.9523028043113835</v>
      </c>
      <c r="FT65" s="22">
        <f t="shared" si="24"/>
        <v>7.7715356450758328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726.85338617845832</v>
      </c>
      <c r="S66" s="59">
        <f ca="1">AVERAGE(OFFSET($R$3,0,0,'Données projet'!$E$9+1,1))-AVERAGE(OFFSET($H$3,0,0,'Données projet'!$E$9+1,1))</f>
        <v>384.05928630855732</v>
      </c>
      <c r="T66" s="59">
        <f t="shared" si="34"/>
        <v>279.93992813630513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304.99999999999983</v>
      </c>
      <c r="AJ66" s="13">
        <f>AI66*VLOOKUP('Données projet'!$B$10,Paramètres!$A$1:$I$89,3,0)*VLOOKUP('Données projet'!$B$10,Paramètres!$A$1:$I$89,5,0)</f>
        <v>275.96399999999983</v>
      </c>
      <c r="AK66" s="13">
        <f t="shared" si="35"/>
        <v>66.113366665488854</v>
      </c>
      <c r="AL66" s="20">
        <f t="shared" si="4"/>
        <v>595.78474694239264</v>
      </c>
      <c r="AM66" s="59">
        <f t="shared" si="5"/>
        <v>889.11808027572602</v>
      </c>
      <c r="AN66" s="59">
        <f ca="1">AVERAGE(OFFSET($AM$3,0,0,'Données projet'!$E$10+1,1))-AVERAGE(OFFSET($H$3,0,0,'Données projet'!$E$10+1,1))</f>
        <v>366.69125512029831</v>
      </c>
      <c r="AO66" s="59">
        <f t="shared" si="36"/>
        <v>513.80016421153414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0.84078460737054839</v>
      </c>
      <c r="AV66" s="21">
        <f>EXP(-LN(2)/25)*AV65+(1-EXP(-LN(2)/25))/(LN(2)/25)*Calculateur!AQ66*Calculateur!AS66*VLOOKUP('Données projet'!$B$10,Paramètres!$A$1:$I$89,3,0)*0.475*44/12</f>
        <v>2.9571511971947824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3.7979358045653306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192.89088000000004</v>
      </c>
      <c r="BF66" s="13">
        <f t="shared" si="37"/>
        <v>48.178522586846704</v>
      </c>
      <c r="BG66" s="20">
        <f t="shared" si="7"/>
        <v>419.86254283875809</v>
      </c>
      <c r="BH66" s="59">
        <f t="shared" si="8"/>
        <v>713.1958761720914</v>
      </c>
      <c r="BI66" s="59">
        <f ca="1">AVERAGE(OFFSET($BH$3,0,0,'Données projet'!$E$11+1,1))-AVERAGE(OFFSET($H$3,0,0,'Données projet'!$E$11+1,1))</f>
        <v>354.24684313982857</v>
      </c>
      <c r="BJ66" s="59">
        <f t="shared" si="38"/>
        <v>322.65043486962185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13.474923423322597</v>
      </c>
      <c r="BQ66" s="21">
        <f>EXP(-LN(2)/25)*BQ65+(1-EXP(-LN(2)/25))/(LN(2)/25)*Calculateur!BL66*Calculateur!BN66*VLOOKUP('Données projet'!$B$11,Paramètres!$A$1:$I$89,3,0)*0.475*44/12</f>
        <v>17.146786831595225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30.621710254917822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220.28846153846152</v>
      </c>
      <c r="BW66" s="12">
        <f>VLOOKUP(A66,'Données projet'!$A$113:$I$133,9,0)</f>
        <v>8.374198717948719</v>
      </c>
      <c r="BX66" s="12">
        <f t="array" ref="BX66">INDEX(BW:BW,MIN(IF(ISNUMBER(BW66:BW262),ROW(BW66:BW262),"")))</f>
        <v>8.374198717948719</v>
      </c>
      <c r="BY66" s="12">
        <f>IF('Données projet'!$A$114&gt;35,BY65+BX66-CG65,IF(A66&lt;'Données projet'!$A$114,$BV$205^A66,IF(A66='Données projet'!$A$114,'Données projet'!$B$114,BY65+BX66-CG65)))</f>
        <v>220.28846153846166</v>
      </c>
      <c r="BZ66" s="13">
        <f>BY66*VLOOKUP('Données projet'!$B$12,Paramètres!$A$1:$I$89,3,0)*VLOOKUP('Données projet'!$B$12,Paramètres!$A$1:$I$89,5,0)</f>
        <v>213.06300000000013</v>
      </c>
      <c r="CA66" s="13">
        <f t="shared" si="39"/>
        <v>52.604363125497073</v>
      </c>
      <c r="CB66" s="20">
        <f t="shared" si="10"/>
        <v>462.70399077690763</v>
      </c>
      <c r="CC66" s="59">
        <f t="shared" si="11"/>
        <v>756.03732411024089</v>
      </c>
      <c r="CD66" s="59">
        <f ca="1">AVERAGE(OFFSET($CC$3,0,0,'Données projet'!$E$12+1,1))-AVERAGE(OFFSET($H$3,0,0,'Données projet'!$E$12+1,1))</f>
        <v>407.73540492005355</v>
      </c>
      <c r="CE66" s="59">
        <f t="shared" si="40"/>
        <v>296.29416764204774</v>
      </c>
      <c r="CF66" s="15">
        <f>IF(ISNA(VLOOKUP(A66,'Données projet'!$A$113:$I$133,3,0)),0,VLOOKUP(A66,'Données projet'!$A$113:$I$133,3,0))</f>
        <v>5</v>
      </c>
      <c r="CG66" s="15">
        <f>IF(ISNA(VLOOKUP(A66,'Données projet'!$A$113:$I$133,4,0)),0,VLOOKUP(A66,'Données projet'!$A$113:$I$133,4,0))</f>
        <v>41.724358974358978</v>
      </c>
      <c r="CH66" s="16">
        <f>IF(ISNA(VLOOKUP(A66,'Données projet'!$A$113:$I$133,5,0)),0%,VLOOKUP(A66,'Données projet'!$A$113:$I$133,5,0)*VLOOKUP('Données projet'!$B$12,Paramètres!$A$1:$I$89,7,0))</f>
        <v>0.30099999999999999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13.428254604249105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13.428254604249105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195.87671999999989</v>
      </c>
      <c r="CV66" s="13">
        <f t="shared" si="41"/>
        <v>48.836899853879942</v>
      </c>
      <c r="CW66" s="20">
        <f t="shared" si="13"/>
        <v>426.20955457884071</v>
      </c>
      <c r="CX66" s="59">
        <f t="shared" si="14"/>
        <v>719.54288791217402</v>
      </c>
      <c r="CY66" s="59">
        <f ca="1">AVERAGE(OFFSET($CX$3,0,0,'Données projet'!$E$13+1,1))-AVERAGE(OFFSET($H$3,0,0,'Données projet'!$E$13+1,1))</f>
        <v>299.10536994156814</v>
      </c>
      <c r="CZ66" s="59">
        <f t="shared" si="42"/>
        <v>292.57799203101769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21.791655493158551</v>
      </c>
      <c r="DG66" s="21">
        <f>EXP(-LN(2)/25)*DG65+(1-EXP(-LN(2)/25))/(LN(2)/25)*Calculateur!DB66*Calculateur!DD66*VLOOKUP('Données projet'!$B$13,Paramètres!$A$1:$I$89,3,0)*0.475*44/12</f>
        <v>10.879713234511174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32.671368727669723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195.87671999999989</v>
      </c>
      <c r="DQ66" s="13">
        <f t="shared" si="43"/>
        <v>48.836899853879942</v>
      </c>
      <c r="DR66" s="20">
        <f t="shared" si="16"/>
        <v>426.20955457884071</v>
      </c>
      <c r="DS66" s="59">
        <f t="shared" si="17"/>
        <v>719.54288791217402</v>
      </c>
      <c r="DT66" s="59">
        <f ca="1">AVERAGE(OFFSET($DS$3,0,0,'Données projet'!$E$14+1,1))-AVERAGE(OFFSET($H$3,0,0,'Données projet'!$E$14+1,1))</f>
        <v>299.10536994156814</v>
      </c>
      <c r="DU66" s="59">
        <f t="shared" si="44"/>
        <v>292.57799203101769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21.791655493158551</v>
      </c>
      <c r="EB66" s="21">
        <f>EXP(-LN(2)/25)*EB65+(1-EXP(-LN(2)/25))/(LN(2)/25)*Calculateur!DW66*Calculateur!DY66*VLOOKUP('Données projet'!$B$14,Paramètres!$A$1:$I$89,3,0)*0.475*44/12</f>
        <v>10.879713234511174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32.671368727669723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4.8</v>
      </c>
      <c r="EJ66" s="12">
        <f>IF('Données projet'!$A$192&gt;35,EJ65+EI66-ER65,IF(A66&lt;'Données projet'!$A$192,$EG$205^A66,IF(A66='Données projet'!$A$192,'Données projet'!$B$192,EJ65+EI66-ER65)))</f>
        <v>191.40000000000006</v>
      </c>
      <c r="EK66" s="17">
        <f>EJ66*VLOOKUP('Données projet'!$B$15,Paramètres!$A$1:$I$89,3,0)*VLOOKUP('Données projet'!$B$15,Paramètres!$A$1:$I$89,5,0)</f>
        <v>125.40528000000003</v>
      </c>
      <c r="EL66" s="13">
        <f t="shared" si="45"/>
        <v>32.932441221531526</v>
      </c>
      <c r="EM66" s="20">
        <f t="shared" si="19"/>
        <v>275.77153112750079</v>
      </c>
      <c r="EN66" s="59">
        <f t="shared" si="20"/>
        <v>569.10486446083405</v>
      </c>
      <c r="EO66" s="59">
        <f ca="1">AVERAGE(OFFSET($EN$3,0,0,'Données projet'!$E$15+1,1))-AVERAGE(OFFSET($H$3,0,0,'Données projet'!$E$15+1,1))</f>
        <v>230.58262378842818</v>
      </c>
      <c r="EP66" s="59">
        <f t="shared" si="46"/>
        <v>235.68746142880792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6.1156548085585332</v>
      </c>
      <c r="EX66" s="21">
        <f>EXP(-LN(2)/2)*EX65+(1-EXP(-LN(2)/2))/(LN(2)/2)*ER66*EU66*VLOOKUP('Données projet'!$B$15,Paramètres!$A$1:$I$89,3,0)*0.475*44/12</f>
        <v>1.5303450717280205</v>
      </c>
      <c r="EY66" s="22">
        <f t="shared" si="21"/>
        <v>7.6459998802865536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</v>
      </c>
      <c r="FE66" s="12">
        <f>IF('Données projet'!$A$218&gt;35,FE65+FD66-FM65,IF(A66&lt;'Données projet'!$A$218,$FB$205^A66,IF(A66='Données projet'!$A$218,'Données projet'!$B$218,FE65+FD66-FM65)))</f>
        <v>198.00000000000009</v>
      </c>
      <c r="FF66" s="17">
        <f>FE66*VLOOKUP('Données projet'!$B$16,Paramètres!$A$1:$I$89,3,0)*VLOOKUP('Données projet'!$B$16,Paramètres!$A$1:$I$89,5,0)</f>
        <v>160.6176000000001</v>
      </c>
      <c r="FG66" s="13">
        <f t="shared" si="47"/>
        <v>40.981785561145109</v>
      </c>
      <c r="FH66" s="20">
        <f t="shared" si="22"/>
        <v>351.11892985232788</v>
      </c>
      <c r="FI66" s="59">
        <f t="shared" si="23"/>
        <v>644.4522631856612</v>
      </c>
      <c r="FJ66" s="59">
        <f ca="1">AVERAGE(OFFSET($FI$3,0,0,'Données projet'!$E$16+1,1))-AVERAGE(OFFSET($H$3,0,0,'Données projet'!$E$16+1,1))</f>
        <v>272.90535195666996</v>
      </c>
      <c r="FK66" s="59">
        <f t="shared" si="48"/>
        <v>222.25422164416898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5.6601056127135907</v>
      </c>
      <c r="FS66" s="21">
        <f>EXP(-LN(2)/2)*FS65+(1-EXP(-LN(2)/2))/(LN(2)/2)*FM66*FP66*VLOOKUP('Données projet'!$B$16,Paramètres!$A$1:$I$89,3,0)*0.475*44/12</f>
        <v>1.3804865518580927</v>
      </c>
      <c r="FT66" s="22">
        <f t="shared" si="24"/>
        <v>7.0405921645716836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662.10688083137347</v>
      </c>
      <c r="S67" s="59">
        <f ca="1">AVERAGE(OFFSET($R$3,0,0,'Données projet'!$E$9+1,1))-AVERAGE(OFFSET($H$3,0,0,'Données projet'!$E$9+1,1))</f>
        <v>384.05928630855732</v>
      </c>
      <c r="T67" s="59">
        <f t="shared" si="34"/>
        <v>279.93992813630513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304.99999999999983</v>
      </c>
      <c r="AJ67" s="13">
        <f>AI67*VLOOKUP('Données projet'!$B$10,Paramètres!$A$1:$I$89,3,0)*VLOOKUP('Données projet'!$B$10,Paramètres!$A$1:$I$89,5,0)</f>
        <v>275.96399999999983</v>
      </c>
      <c r="AK67" s="13">
        <f t="shared" si="35"/>
        <v>66.113366665488854</v>
      </c>
      <c r="AL67" s="20">
        <f t="shared" si="4"/>
        <v>595.78474694239264</v>
      </c>
      <c r="AM67" s="59">
        <f t="shared" si="5"/>
        <v>889.11808027572602</v>
      </c>
      <c r="AN67" s="59">
        <f ca="1">AVERAGE(OFFSET($AM$3,0,0,'Données projet'!$E$10+1,1))-AVERAGE(OFFSET($H$3,0,0,'Données projet'!$E$10+1,1))</f>
        <v>366.69125512029831</v>
      </c>
      <c r="AO67" s="59">
        <f t="shared" si="36"/>
        <v>513.80016421153414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0.82429733404798489</v>
      </c>
      <c r="AV67" s="21">
        <f>EXP(-LN(2)/25)*AV66+(1-EXP(-LN(2)/25))/(LN(2)/25)*Calculateur!AQ67*Calculateur!AS67*VLOOKUP('Données projet'!$B$10,Paramètres!$A$1:$I$89,3,0)*0.475*44/12</f>
        <v>2.8762877421976683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3.7005850762456531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197.78304000000003</v>
      </c>
      <c r="BF67" s="13">
        <f t="shared" si="37"/>
        <v>49.256631390532817</v>
      </c>
      <c r="BG67" s="20">
        <f t="shared" si="7"/>
        <v>430.26076100517804</v>
      </c>
      <c r="BH67" s="59">
        <f t="shared" si="8"/>
        <v>723.59409433851135</v>
      </c>
      <c r="BI67" s="59">
        <f ca="1">AVERAGE(OFFSET($BH$3,0,0,'Données projet'!$E$11+1,1))-AVERAGE(OFFSET($H$3,0,0,'Données projet'!$E$11+1,1))</f>
        <v>354.24684313982857</v>
      </c>
      <c r="BJ67" s="59">
        <f t="shared" si="38"/>
        <v>322.65043486962185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13.210688393882981</v>
      </c>
      <c r="BQ67" s="21">
        <f>EXP(-LN(2)/25)*BQ66+(1-EXP(-LN(2)/25))/(LN(2)/25)*Calculateur!BL67*Calculateur!BN67*VLOOKUP('Données projet'!$B$11,Paramètres!$A$1:$I$89,3,0)*0.475*44/12</f>
        <v>16.677907043974923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29.888595437857902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8.1001602564102626</v>
      </c>
      <c r="BY67" s="12">
        <f>IF('Données projet'!$A$114&gt;35,BY66+BX67-CG66,IF(A67&lt;'Données projet'!$A$114,$BV$205^A67,IF(A67='Données projet'!$A$114,'Données projet'!$B$114,BY66+BX67-CG66)))</f>
        <v>186.66426282051296</v>
      </c>
      <c r="BZ67" s="13">
        <f>BY67*VLOOKUP('Données projet'!$B$12,Paramètres!$A$1:$I$89,3,0)*VLOOKUP('Données projet'!$B$12,Paramètres!$A$1:$I$89,5,0)</f>
        <v>180.54167500000014</v>
      </c>
      <c r="CA67" s="13">
        <f t="shared" si="39"/>
        <v>45.44267779110703</v>
      </c>
      <c r="CB67" s="20">
        <f t="shared" si="10"/>
        <v>393.58941444451165</v>
      </c>
      <c r="CC67" s="59">
        <f t="shared" si="11"/>
        <v>686.92274777784496</v>
      </c>
      <c r="CD67" s="59">
        <f ca="1">AVERAGE(OFFSET($CC$3,0,0,'Données projet'!$E$12+1,1))-AVERAGE(OFFSET($H$3,0,0,'Données projet'!$E$12+1,1))</f>
        <v>407.73540492005355</v>
      </c>
      <c r="CE67" s="59">
        <f t="shared" si="40"/>
        <v>296.29416764204774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13.16493472188635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13.16493472188635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199.3773599999999</v>
      </c>
      <c r="CV67" s="13">
        <f t="shared" si="41"/>
        <v>49.607305476717762</v>
      </c>
      <c r="CW67" s="20">
        <f t="shared" si="13"/>
        <v>433.64829237194994</v>
      </c>
      <c r="CX67" s="59">
        <f t="shared" si="14"/>
        <v>726.98162570528325</v>
      </c>
      <c r="CY67" s="59">
        <f ca="1">AVERAGE(OFFSET($CX$3,0,0,'Données projet'!$E$13+1,1))-AVERAGE(OFFSET($H$3,0,0,'Données projet'!$E$13+1,1))</f>
        <v>299.10536994156814</v>
      </c>
      <c r="CZ67" s="59">
        <f t="shared" si="42"/>
        <v>292.57799203101769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21.364334420535126</v>
      </c>
      <c r="DG67" s="21">
        <f>EXP(-LN(2)/25)*DG66+(1-EXP(-LN(2)/25))/(LN(2)/25)*Calculateur!DB67*Calculateur!DD67*VLOOKUP('Données projet'!$B$13,Paramètres!$A$1:$I$89,3,0)*0.475*44/12</f>
        <v>10.582206903974212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31.94654132450934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199.3773599999999</v>
      </c>
      <c r="DQ67" s="13">
        <f t="shared" si="43"/>
        <v>49.607305476717762</v>
      </c>
      <c r="DR67" s="20">
        <f t="shared" si="16"/>
        <v>433.64829237194994</v>
      </c>
      <c r="DS67" s="59">
        <f t="shared" si="17"/>
        <v>726.98162570528325</v>
      </c>
      <c r="DT67" s="59">
        <f ca="1">AVERAGE(OFFSET($DS$3,0,0,'Données projet'!$E$14+1,1))-AVERAGE(OFFSET($H$3,0,0,'Données projet'!$E$14+1,1))</f>
        <v>299.10536994156814</v>
      </c>
      <c r="DU67" s="59">
        <f t="shared" si="44"/>
        <v>292.57799203101769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21.364334420535126</v>
      </c>
      <c r="EB67" s="21">
        <f>EXP(-LN(2)/25)*EB66+(1-EXP(-LN(2)/25))/(LN(2)/25)*Calculateur!DW67*Calculateur!DY67*VLOOKUP('Données projet'!$B$14,Paramètres!$A$1:$I$89,3,0)*0.475*44/12</f>
        <v>10.582206903974212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31.94654132450934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4.8</v>
      </c>
      <c r="EJ67" s="12">
        <f>IF('Données projet'!$A$192&gt;35,EJ66+EI67-ER66,IF(A67&lt;'Données projet'!$A$192,$EG$205^A67,IF(A67='Données projet'!$A$192,'Données projet'!$B$192,EJ66+EI67-ER66)))</f>
        <v>196.20000000000007</v>
      </c>
      <c r="EK67" s="17">
        <f>EJ67*VLOOKUP('Données projet'!$B$15,Paramètres!$A$1:$I$89,3,0)*VLOOKUP('Données projet'!$B$15,Paramètres!$A$1:$I$89,5,0)</f>
        <v>128.55024000000003</v>
      </c>
      <c r="EL67" s="13">
        <f t="shared" si="45"/>
        <v>33.661144026076663</v>
      </c>
      <c r="EM67" s="20">
        <f t="shared" si="19"/>
        <v>282.51816051208363</v>
      </c>
      <c r="EN67" s="59">
        <f t="shared" si="20"/>
        <v>575.85149384541694</v>
      </c>
      <c r="EO67" s="59">
        <f ca="1">AVERAGE(OFFSET($EN$3,0,0,'Données projet'!$E$15+1,1))-AVERAGE(OFFSET($H$3,0,0,'Données projet'!$E$15+1,1))</f>
        <v>230.58262378842818</v>
      </c>
      <c r="EP67" s="59">
        <f t="shared" si="46"/>
        <v>235.68746142880792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5.9484219062101911</v>
      </c>
      <c r="EX67" s="21">
        <f>EXP(-LN(2)/2)*EX66+(1-EXP(-LN(2)/2))/(LN(2)/2)*ER67*EU67*VLOOKUP('Données projet'!$B$15,Paramètres!$A$1:$I$89,3,0)*0.475*44/12</f>
        <v>1.0821173777742967</v>
      </c>
      <c r="EY67" s="22">
        <f t="shared" si="21"/>
        <v>7.0305392839844876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</v>
      </c>
      <c r="FE67" s="12">
        <f>IF('Données projet'!$A$218&gt;35,FE66+FD67-FM66,IF(A67&lt;'Données projet'!$A$218,$FB$205^A67,IF(A67='Données projet'!$A$218,'Données projet'!$B$218,FE66+FD67-FM66)))</f>
        <v>203.00000000000009</v>
      </c>
      <c r="FF67" s="17">
        <f>FE67*VLOOKUP('Données projet'!$B$16,Paramètres!$A$1:$I$89,3,0)*VLOOKUP('Données projet'!$B$16,Paramètres!$A$1:$I$89,5,0)</f>
        <v>164.67360000000008</v>
      </c>
      <c r="FG67" s="13">
        <f t="shared" si="47"/>
        <v>41.894886049197019</v>
      </c>
      <c r="FH67" s="20">
        <f t="shared" si="22"/>
        <v>359.77344653568497</v>
      </c>
      <c r="FI67" s="59">
        <f t="shared" si="23"/>
        <v>653.10677986901828</v>
      </c>
      <c r="FJ67" s="59">
        <f ca="1">AVERAGE(OFFSET($FI$3,0,0,'Données projet'!$E$16+1,1))-AVERAGE(OFFSET($H$3,0,0,'Données projet'!$E$16+1,1))</f>
        <v>272.90535195666996</v>
      </c>
      <c r="FK67" s="59">
        <f t="shared" si="48"/>
        <v>222.25422164416898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5.5053297270819197</v>
      </c>
      <c r="FS67" s="21">
        <f>EXP(-LN(2)/2)*FS66+(1-EXP(-LN(2)/2))/(LN(2)/2)*FM67*FP67*VLOOKUP('Données projet'!$B$16,Paramètres!$A$1:$I$89,3,0)*0.475*44/12</f>
        <v>0.97615140215569185</v>
      </c>
      <c r="FT67" s="22">
        <f t="shared" si="24"/>
        <v>6.4814811292376113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677.72553329460266</v>
      </c>
      <c r="S68" s="59">
        <f ca="1">AVERAGE(OFFSET($R$3,0,0,'Données projet'!$E$9+1,1))-AVERAGE(OFFSET($H$3,0,0,'Données projet'!$E$9+1,1))</f>
        <v>384.05928630855732</v>
      </c>
      <c r="T68" s="59">
        <f t="shared" si="34"/>
        <v>279.93992813630513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304.99999999999983</v>
      </c>
      <c r="AJ68" s="13">
        <f>AI68*VLOOKUP('Données projet'!$B$10,Paramètres!$A$1:$I$89,3,0)*VLOOKUP('Données projet'!$B$10,Paramètres!$A$1:$I$89,5,0)</f>
        <v>275.96399999999983</v>
      </c>
      <c r="AK68" s="13">
        <f t="shared" si="35"/>
        <v>66.113366665488854</v>
      </c>
      <c r="AL68" s="20">
        <f t="shared" ref="AL68:AL131" si="58">(AJ68+AK68)*0.475*44/12</f>
        <v>595.78474694239264</v>
      </c>
      <c r="AM68" s="59">
        <f t="shared" ref="AM68:AM131" si="59">AL68+(AD68+AE68)*44/12</f>
        <v>889.11808027572602</v>
      </c>
      <c r="AN68" s="59">
        <f ca="1">AVERAGE(OFFSET($AM$3,0,0,'Données projet'!$E$10+1,1))-AVERAGE(OFFSET($H$3,0,0,'Données projet'!$E$10+1,1))</f>
        <v>366.69125512029831</v>
      </c>
      <c r="AO68" s="59">
        <f t="shared" si="36"/>
        <v>513.80016421153414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0.80813336609903308</v>
      </c>
      <c r="AV68" s="21">
        <f>EXP(-LN(2)/25)*AV67+(1-EXP(-LN(2)/25))/(LN(2)/25)*Calculateur!AQ68*Calculateur!AS68*VLOOKUP('Données projet'!$B$10,Paramètres!$A$1:$I$89,3,0)*0.475*44/12</f>
        <v>2.7976355026298747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3.6057688687289078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202.67520000000002</v>
      </c>
      <c r="BF68" s="13">
        <f t="shared" si="37"/>
        <v>50.331640285313689</v>
      </c>
      <c r="BG68" s="20">
        <f t="shared" ref="BG68:BG131" si="61">(BE68+BF68)*0.475*44/12</f>
        <v>440.653580163588</v>
      </c>
      <c r="BH68" s="59">
        <f t="shared" ref="BH68:BH131" si="62">BG68+(AY68+AZ68)*44/12</f>
        <v>733.98691349692126</v>
      </c>
      <c r="BI68" s="59">
        <f ca="1">AVERAGE(OFFSET($BH$3,0,0,'Données projet'!$E$11+1,1))-AVERAGE(OFFSET($H$3,0,0,'Données projet'!$E$11+1,1))</f>
        <v>354.24684313982857</v>
      </c>
      <c r="BJ68" s="59">
        <f t="shared" si="38"/>
        <v>322.65043486962185</v>
      </c>
      <c r="BK68" s="15">
        <f>IF(ISNA(VLOOKUP(A68,'Données projet'!$A$87:$I$107,3,0)),0,VLOOKUP(A68,'Données projet'!$A$87:$I$107,3,0))</f>
        <v>10</v>
      </c>
      <c r="BL68" s="15" t="str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0.215</v>
      </c>
      <c r="BN68" s="16">
        <f>IF(ISNA(VLOOKUP(A68,'Données projet'!$A$87:$I$107,6,0)),0%,VLOOKUP(A68,'Données projet'!$A$87:$I$107,6,0)*VLOOKUP('Données projet'!$B$11,Paramètres!$A$1:$I$89,7,0))</f>
        <v>0.17200000000000001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17.104312223511158</v>
      </c>
      <c r="BQ68" s="21">
        <f>EXP(-LN(2)/25)*BQ67+(1-EXP(-LN(2)/25))/(LN(2)/25)*Calculateur!BL68*Calculateur!BN68*VLOOKUP('Données projet'!$B$11,Paramètres!$A$1:$I$89,3,0)*0.475*44/12</f>
        <v>19.53091015736679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36.635222380877948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8.1001602564102626</v>
      </c>
      <c r="BY68" s="12">
        <f>IF('Données projet'!$A$114&gt;35,BY67+BX68-CG67,IF(A68&lt;'Données projet'!$A$114,$BV$205^A68,IF(A68='Données projet'!$A$114,'Données projet'!$B$114,BY67+BX68-CG67)))</f>
        <v>194.76442307692321</v>
      </c>
      <c r="BZ68" s="13">
        <f>BY68*VLOOKUP('Données projet'!$B$12,Paramètres!$A$1:$I$89,3,0)*VLOOKUP('Données projet'!$B$12,Paramètres!$A$1:$I$89,5,0)</f>
        <v>188.37615000000014</v>
      </c>
      <c r="CA68" s="13">
        <f t="shared" si="39"/>
        <v>47.180763525887613</v>
      </c>
      <c r="CB68" s="20">
        <f t="shared" ref="CB68:CB131" si="64">(BZ68+CA68)*0.475*44/12</f>
        <v>410.26162439092121</v>
      </c>
      <c r="CC68" s="59">
        <f t="shared" ref="CC68:CC131" si="65">CB68+(BT68+BU68)*44/12</f>
        <v>703.59495772425453</v>
      </c>
      <c r="CD68" s="59">
        <f ca="1">AVERAGE(OFFSET($CC$3,0,0,'Données projet'!$E$12+1,1))-AVERAGE(OFFSET($H$3,0,0,'Données projet'!$E$12+1,1))</f>
        <v>407.73540492005355</v>
      </c>
      <c r="CE68" s="59">
        <f t="shared" si="40"/>
        <v>296.29416764204774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12.906778381807461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12.906778381807461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202.8779999999999</v>
      </c>
      <c r="CV68" s="13">
        <f t="shared" si="41"/>
        <v>50.376138116990084</v>
      </c>
      <c r="CW68" s="20">
        <f t="shared" ref="CW68:CW131" si="67">(CU68+CV68)*0.475*44/12</f>
        <v>441.08429055375751</v>
      </c>
      <c r="CX68" s="59">
        <f t="shared" ref="CX68:CX131" si="68">CW68+(CO68+CP68)*44/12</f>
        <v>734.41762388709083</v>
      </c>
      <c r="CY68" s="59">
        <f ca="1">AVERAGE(OFFSET($CX$3,0,0,'Données projet'!$E$13+1,1))-AVERAGE(OFFSET($H$3,0,0,'Données projet'!$E$13+1,1))</f>
        <v>299.10536994156814</v>
      </c>
      <c r="CZ68" s="59">
        <f t="shared" si="42"/>
        <v>292.57799203101769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0.43459999999999999</v>
      </c>
      <c r="DD68" s="16">
        <f>IF(ISNA(VLOOKUP(A68,'Données projet'!$A$139:$I$159,6,0)),0%,VLOOKUP(A68,'Données projet'!$A$139:$I$159,6,0)*VLOOKUP('Données projet'!$B$13,Paramètres!$A$1:$I$89,7,0))</f>
        <v>4.7699999999999999E-2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25.149989039157767</v>
      </c>
      <c r="DG68" s="21">
        <f>EXP(-LN(2)/25)*DG67+(1-EXP(-LN(2)/25))/(LN(2)/25)*Calculateur!DB68*Calculateur!DD68*VLOOKUP('Données projet'!$B$13,Paramètres!$A$1:$I$89,3,0)*0.475*44/12</f>
        <v>10.75249894597793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35.902487985135693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202.8779999999999</v>
      </c>
      <c r="DQ68" s="13">
        <f t="shared" si="43"/>
        <v>50.376138116990084</v>
      </c>
      <c r="DR68" s="20">
        <f t="shared" ref="DR68:DR131" si="70">(DP68+DQ68)*0.475*44/12</f>
        <v>441.08429055375751</v>
      </c>
      <c r="DS68" s="59">
        <f t="shared" ref="DS68:DS131" si="71">DR68+(DJ68+DK68)*44/12</f>
        <v>734.41762388709083</v>
      </c>
      <c r="DT68" s="59">
        <f ca="1">AVERAGE(OFFSET($DS$3,0,0,'Données projet'!$E$14+1,1))-AVERAGE(OFFSET($H$3,0,0,'Données projet'!$E$14+1,1))</f>
        <v>299.10536994156814</v>
      </c>
      <c r="DU68" s="59">
        <f t="shared" si="44"/>
        <v>292.57799203101769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0.43459999999999999</v>
      </c>
      <c r="DY68" s="16">
        <f>IF(ISNA(VLOOKUP(A68,'Données projet'!$A$165:$I$185,6,0)),0%,VLOOKUP(A68,'Données projet'!$A$165:$I$185,6,0)*VLOOKUP('Données projet'!$B$14,Paramètres!$A$1:$I$89,7,0))</f>
        <v>4.7699999999999999E-2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25.149989039157767</v>
      </c>
      <c r="EB68" s="21">
        <f>EXP(-LN(2)/25)*EB67+(1-EXP(-LN(2)/25))/(LN(2)/25)*Calculateur!DW68*Calculateur!DY68*VLOOKUP('Données projet'!$B$14,Paramètres!$A$1:$I$89,3,0)*0.475*44/12</f>
        <v>10.75249894597793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35.902487985135693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201</v>
      </c>
      <c r="EH68" s="12">
        <f>VLOOKUP(A68,'Données projet'!$A$191:$I$211,9,0)</f>
        <v>4.8</v>
      </c>
      <c r="EI68" s="12">
        <f t="array" ref="EI68">INDEX(EH:EH,MIN(IF(ISNUMBER(EH68:EH264),ROW(EH68:EH264),"")))</f>
        <v>4.8</v>
      </c>
      <c r="EJ68" s="12">
        <f>IF('Données projet'!$A$192&gt;35,EJ67+EI68-ER67,IF(A68&lt;'Données projet'!$A$192,$EG$205^A68,IF(A68='Données projet'!$A$192,'Données projet'!$B$192,EJ67+EI68-ER67)))</f>
        <v>201.00000000000009</v>
      </c>
      <c r="EK68" s="17">
        <f>EJ68*VLOOKUP('Données projet'!$B$15,Paramètres!$A$1:$I$89,3,0)*VLOOKUP('Données projet'!$B$15,Paramètres!$A$1:$I$89,5,0)</f>
        <v>131.69520000000006</v>
      </c>
      <c r="EL68" s="13">
        <f t="shared" si="45"/>
        <v>34.387774432362271</v>
      </c>
      <c r="EM68" s="20">
        <f t="shared" ref="EM68:EM131" si="73">(EK68+EL68)*0.475*44/12</f>
        <v>289.26118046969771</v>
      </c>
      <c r="EN68" s="59">
        <f t="shared" ref="EN68:EN131" si="74">EM68+(EE68+EF68)*44/12</f>
        <v>582.59451380303108</v>
      </c>
      <c r="EO68" s="59">
        <f ca="1">AVERAGE(OFFSET($EN$3,0,0,'Données projet'!$E$15+1,1))-AVERAGE(OFFSET($H$3,0,0,'Données projet'!$E$15+1,1))</f>
        <v>230.58262378842818</v>
      </c>
      <c r="EP68" s="59">
        <f t="shared" si="46"/>
        <v>235.68746142880792</v>
      </c>
      <c r="EQ68" s="15">
        <f>IF(ISNA(VLOOKUP(A68,'Données projet'!$A$191:$I$211,3,0)),0,VLOOKUP(A68,'Données projet'!$A$191:$I$211,3,0))</f>
        <v>12</v>
      </c>
      <c r="ER68" s="15">
        <f>IF(ISNA(VLOOKUP(A68,'Données projet'!$A$191:$I$211,4,0)),0,VLOOKUP(A68,'Données projet'!$A$191:$I$211,4,0))</f>
        <v>18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0.129</v>
      </c>
      <c r="EU68" s="16">
        <f>IF(ISNA(VLOOKUP(A68,'Données projet'!$A$191:$I$211,7,0)),0%,VLOOKUP(A68,'Données projet'!$A$191:$I$211,7,0))</f>
        <v>0.3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7.4609743091431628</v>
      </c>
      <c r="EX68" s="21">
        <f>EXP(-LN(2)/2)*EX67+(1-EXP(-LN(2)/2))/(LN(2)/2)*ER68*EU68*VLOOKUP('Données projet'!$B$15,Paramètres!$A$1:$I$89,3,0)*0.475*44/12</f>
        <v>4.1034462418910422</v>
      </c>
      <c r="EY68" s="22">
        <f t="shared" ref="EY68:EY131" si="75">SUM(EV68:EX68)</f>
        <v>11.564420551034205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208</v>
      </c>
      <c r="FC68" s="12">
        <f>VLOOKUP(A68,'Données projet'!$A$217:$I$237,9,0)</f>
        <v>5</v>
      </c>
      <c r="FD68" s="12">
        <f t="array" ref="FD68">INDEX(FC:FC,MIN(IF(ISNUMBER(FC68:FC264),ROW(FC68:FC264),"")))</f>
        <v>5</v>
      </c>
      <c r="FE68" s="12">
        <f>IF('Données projet'!$A$218&gt;35,FE67+FD68-FM67,IF(A68&lt;'Données projet'!$A$218,$FB$205^A68,IF(A68='Données projet'!$A$218,'Données projet'!$B$218,FE67+FD68-FM67)))</f>
        <v>208.00000000000009</v>
      </c>
      <c r="FF68" s="17">
        <f>FE68*VLOOKUP('Données projet'!$B$16,Paramètres!$A$1:$I$89,3,0)*VLOOKUP('Données projet'!$B$16,Paramètres!$A$1:$I$89,5,0)</f>
        <v>168.72960000000009</v>
      </c>
      <c r="FG68" s="13">
        <f t="shared" si="47"/>
        <v>42.805372152385111</v>
      </c>
      <c r="FH68" s="20">
        <f t="shared" ref="FH68:FH131" si="76">(FF68+FG68)*0.475*44/12</f>
        <v>368.42340983207083</v>
      </c>
      <c r="FI68" s="59">
        <f t="shared" ref="FI68:FI131" si="77">FH68+(EZ68+FA68)*44/12</f>
        <v>661.75674316540415</v>
      </c>
      <c r="FJ68" s="59">
        <f ca="1">AVERAGE(OFFSET($FI$3,0,0,'Données projet'!$E$16+1,1))-AVERAGE(OFFSET($H$3,0,0,'Données projet'!$E$16+1,1))</f>
        <v>272.90535195666996</v>
      </c>
      <c r="FK68" s="59">
        <f t="shared" si="48"/>
        <v>222.25422164416898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14</v>
      </c>
      <c r="FN68" s="16">
        <f>IF(ISNA(VLOOKUP(A68,'Données projet'!$A$217:$I$237,5,0)),0%,VLOOKUP(A68,'Données projet'!$A$217:$I$237,5,0)*VLOOKUP('Données projet'!$B$16,Paramètres!$A$1:$I$89,7,0))</f>
        <v>4.3000000000000003E-2</v>
      </c>
      <c r="FO68" s="16">
        <f>IF(ISNA(VLOOKUP(A68,'Données projet'!$A$217:$I$237,6,0)),0%,VLOOKUP(A68,'Données projet'!$A$217:$I$237,6,0)*VLOOKUP('Données projet'!$B$16,Paramètres!$A$1:$I$89,7,0))</f>
        <v>0.17200000000000001</v>
      </c>
      <c r="FP68" s="16">
        <f>IF(ISNA(VLOOKUP(A68,'Données projet'!$A$217:$I$237,7,0)),0%,VLOOKUP(A68,'Données projet'!$A$217:$I$237,7,0))</f>
        <v>0.3</v>
      </c>
      <c r="FQ68" s="21">
        <f>EXP(-LN(2)/35)*FQ67+(1-EXP(-LN(2)/35))/(LN(2)/35)*FM68*FN68*VLOOKUP('Données projet'!$B$16,Paramètres!$A$1:$I$89,3,0)*0.475*44/12</f>
        <v>0.53984805827003191</v>
      </c>
      <c r="FR68" s="21">
        <f>EXP(-LN(2)/25)*FR67+(1-EXP(-LN(2)/25))/(LN(2)/25)*Calculateur!FM68*Calculateur!FO68*VLOOKUP('Données projet'!$B$16,Paramètres!$A$1:$I$89,3,0)*0.475*44/12</f>
        <v>7.5056760792477011</v>
      </c>
      <c r="FS68" s="21">
        <f>EXP(-LN(2)/2)*FS67+(1-EXP(-LN(2)/2))/(LN(2)/2)*FM68*FP68*VLOOKUP('Données projet'!$B$16,Paramètres!$A$1:$I$89,3,0)*0.475*44/12</f>
        <v>3.9048772150661883</v>
      </c>
      <c r="FT68" s="22">
        <f t="shared" ref="FT68:FT131" si="78">SUM(FQ68:FS68)</f>
        <v>11.950401352583921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693.33039899429878</v>
      </c>
      <c r="S69" s="59">
        <f ca="1">AVERAGE(OFFSET($R$3,0,0,'Données projet'!$E$9+1,1))-AVERAGE(OFFSET($H$3,0,0,'Données projet'!$E$9+1,1))</f>
        <v>384.05928630855732</v>
      </c>
      <c r="T69" s="59">
        <f t="shared" ref="T69:T132" si="88">$T$3</f>
        <v>279.93992813630513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304.99999999999983</v>
      </c>
      <c r="AJ69" s="13">
        <f>AI69*VLOOKUP('Données projet'!$B$10,Paramètres!$A$1:$I$89,3,0)*VLOOKUP('Données projet'!$B$10,Paramètres!$A$1:$I$89,5,0)</f>
        <v>275.96399999999983</v>
      </c>
      <c r="AK69" s="13">
        <f t="shared" ref="AK69:AK132" si="89">EXP(-1.0587+0.8836*LN(AJ69)+0.284)</f>
        <v>66.113366665488854</v>
      </c>
      <c r="AL69" s="20">
        <f t="shared" si="58"/>
        <v>595.78474694239264</v>
      </c>
      <c r="AM69" s="59">
        <f t="shared" si="59"/>
        <v>889.11808027572602</v>
      </c>
      <c r="AN69" s="59">
        <f ca="1">AVERAGE(OFFSET($AM$3,0,0,'Données projet'!$E$10+1,1))-AVERAGE(OFFSET($H$3,0,0,'Données projet'!$E$10+1,1))</f>
        <v>366.69125512029831</v>
      </c>
      <c r="AO69" s="59">
        <f t="shared" ref="AO69:AO132" si="90">$AO$3</f>
        <v>513.80016421153414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0.79228636370251326</v>
      </c>
      <c r="AV69" s="21">
        <f>EXP(-LN(2)/25)*AV68+(1-EXP(-LN(2)/25))/(LN(2)/25)*Calculateur!AQ69*Calculateur!AS69*VLOOKUP('Données projet'!$B$10,Paramètres!$A$1:$I$89,3,0)*0.475*44/12</f>
        <v>2.7211340126892036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3.5134203763917169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189.57120000000003</v>
      </c>
      <c r="BF69" s="13">
        <f t="shared" ref="BF69:BF132" si="91">EXP(-1.0587+0.8836*LN(BE69)+0.284)</f>
        <v>47.44513879693244</v>
      </c>
      <c r="BG69" s="20">
        <f t="shared" si="61"/>
        <v>412.8034567379907</v>
      </c>
      <c r="BH69" s="59">
        <f t="shared" si="62"/>
        <v>706.13679007132396</v>
      </c>
      <c r="BI69" s="59">
        <f ca="1">AVERAGE(OFFSET($BH$3,0,0,'Données projet'!$E$11+1,1))-AVERAGE(OFFSET($H$3,0,0,'Données projet'!$E$11+1,1))</f>
        <v>354.24684313982857</v>
      </c>
      <c r="BJ69" s="59">
        <f t="shared" ref="BJ69:BJ132" si="92">$BJ$3</f>
        <v>322.65043486962185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16.768907093408426</v>
      </c>
      <c r="BQ69" s="21">
        <f>EXP(-LN(2)/25)*BQ68+(1-EXP(-LN(2)/25))/(LN(2)/25)*Calculateur!BL69*Calculateur!BN69*VLOOKUP('Données projet'!$B$11,Paramètres!$A$1:$I$89,3,0)*0.475*44/12</f>
        <v>18.996836392027667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35.76574348543609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8.1001602564102626</v>
      </c>
      <c r="BY69" s="12">
        <f>IF('Données projet'!$A$114&gt;35,BY68+BX69-CG68,IF(A69&lt;'Données projet'!$A$114,$BV$205^A69,IF(A69='Données projet'!$A$114,'Données projet'!$B$114,BY68+BX69-CG68)))</f>
        <v>202.86458333333348</v>
      </c>
      <c r="BZ69" s="13">
        <f>BY69*VLOOKUP('Données projet'!$B$12,Paramètres!$A$1:$I$89,3,0)*VLOOKUP('Données projet'!$B$12,Paramètres!$A$1:$I$89,5,0)</f>
        <v>196.21062500000014</v>
      </c>
      <c r="CA69" s="13">
        <f t="shared" ref="CA69:CA132" si="93">EXP(-1.0587+0.8836*LN(BZ69)+0.284)</f>
        <v>48.910452928557959</v>
      </c>
      <c r="CB69" s="20">
        <f t="shared" si="64"/>
        <v>426.91921072557199</v>
      </c>
      <c r="CC69" s="59">
        <f t="shared" si="65"/>
        <v>720.2525440589053</v>
      </c>
      <c r="CD69" s="59">
        <f ca="1">AVERAGE(OFFSET($CC$3,0,0,'Données projet'!$E$12+1,1))-AVERAGE(OFFSET($H$3,0,0,'Données projet'!$E$12+1,1))</f>
        <v>407.73540492005355</v>
      </c>
      <c r="CE69" s="59">
        <f t="shared" ref="CE69:CE132" si="94">$CE$3</f>
        <v>296.29416764204774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12.653684330097699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12.653684330097699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197.14967999999988</v>
      </c>
      <c r="CV69" s="13">
        <f t="shared" ref="CV69:CV132" si="95">EXP(-1.0587+0.8836*LN(CU69)+0.284)</f>
        <v>49.11723130862363</v>
      </c>
      <c r="CW69" s="20">
        <f t="shared" si="67"/>
        <v>428.91487052918592</v>
      </c>
      <c r="CX69" s="59">
        <f t="shared" si="68"/>
        <v>722.24820386251918</v>
      </c>
      <c r="CY69" s="59">
        <f ca="1">AVERAGE(OFFSET($CX$3,0,0,'Données projet'!$E$13+1,1))-AVERAGE(OFFSET($H$3,0,0,'Données projet'!$E$13+1,1))</f>
        <v>299.10536994156814</v>
      </c>
      <c r="CZ69" s="59">
        <f t="shared" ref="CZ69:CZ132" si="96">$CZ$3</f>
        <v>292.57799203101769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24.656813094078501</v>
      </c>
      <c r="DG69" s="21">
        <f>EXP(-LN(2)/25)*DG68+(1-EXP(-LN(2)/25))/(LN(2)/25)*Calculateur!DB69*Calculateur!DD69*VLOOKUP('Données projet'!$B$13,Paramètres!$A$1:$I$89,3,0)*0.475*44/12</f>
        <v>10.458471296850819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35.115284390929318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197.14967999999988</v>
      </c>
      <c r="DQ69" s="13">
        <f t="shared" ref="DQ69:DQ132" si="97">EXP(-1.0587+0.8836*LN(DP69)+0.284)</f>
        <v>49.11723130862363</v>
      </c>
      <c r="DR69" s="20">
        <f t="shared" si="70"/>
        <v>428.91487052918592</v>
      </c>
      <c r="DS69" s="59">
        <f t="shared" si="71"/>
        <v>722.24820386251918</v>
      </c>
      <c r="DT69" s="59">
        <f ca="1">AVERAGE(OFFSET($DS$3,0,0,'Données projet'!$E$14+1,1))-AVERAGE(OFFSET($H$3,0,0,'Données projet'!$E$14+1,1))</f>
        <v>299.10536994156814</v>
      </c>
      <c r="DU69" s="59">
        <f t="shared" ref="DU69:DU132" si="98">$DU$3</f>
        <v>292.57799203101769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24.656813094078501</v>
      </c>
      <c r="EB69" s="21">
        <f>EXP(-LN(2)/25)*EB68+(1-EXP(-LN(2)/25))/(LN(2)/25)*Calculateur!DW69*Calculateur!DY69*VLOOKUP('Données projet'!$B$14,Paramètres!$A$1:$I$89,3,0)*0.475*44/12</f>
        <v>10.458471296850819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35.115284390929318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4.4000000000000004</v>
      </c>
      <c r="EJ69" s="12">
        <f>IF('Données projet'!$A$192&gt;35,EJ68+EI69-ER68,IF(A69&lt;'Données projet'!$A$192,$EG$205^A69,IF(A69='Données projet'!$A$192,'Données projet'!$B$192,EJ68+EI69-ER68)))</f>
        <v>187.40000000000009</v>
      </c>
      <c r="EK69" s="17">
        <f>EJ69*VLOOKUP('Données projet'!$B$15,Paramètres!$A$1:$I$89,3,0)*VLOOKUP('Données projet'!$B$15,Paramètres!$A$1:$I$89,5,0)</f>
        <v>122.78448000000007</v>
      </c>
      <c r="EL69" s="13">
        <f t="shared" ref="EL69:EL132" si="99">EXP(-1.0587+0.8836*LN(EK69)+0.284)</f>
        <v>32.323563966100259</v>
      </c>
      <c r="EM69" s="20">
        <f t="shared" si="73"/>
        <v>270.1465099076247</v>
      </c>
      <c r="EN69" s="59">
        <f t="shared" si="74"/>
        <v>563.47984324095796</v>
      </c>
      <c r="EO69" s="59">
        <f ca="1">AVERAGE(OFFSET($EN$3,0,0,'Données projet'!$E$15+1,1))-AVERAGE(OFFSET($H$3,0,0,'Données projet'!$E$15+1,1))</f>
        <v>230.58262378842818</v>
      </c>
      <c r="EP69" s="59">
        <f t="shared" ref="EP69:EP132" si="100">$EP$3</f>
        <v>235.68746142880792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7.2569535743040561</v>
      </c>
      <c r="EX69" s="21">
        <f>EXP(-LN(2)/2)*EX68+(1-EXP(-LN(2)/2))/(LN(2)/2)*ER69*EU69*VLOOKUP('Données projet'!$B$15,Paramètres!$A$1:$I$89,3,0)*0.475*44/12</f>
        <v>2.9015746638756101</v>
      </c>
      <c r="EY69" s="22">
        <f t="shared" si="75"/>
        <v>10.158528238179667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4.8</v>
      </c>
      <c r="FE69" s="12">
        <f>IF('Données projet'!$A$218&gt;35,FE68+FD69-FM68,IF(A69&lt;'Données projet'!$A$218,$FB$205^A69,IF(A69='Données projet'!$A$218,'Données projet'!$B$218,FE68+FD69-FM68)))</f>
        <v>198.8000000000001</v>
      </c>
      <c r="FF69" s="17">
        <f>FE69*VLOOKUP('Données projet'!$B$16,Paramètres!$A$1:$I$89,3,0)*VLOOKUP('Données projet'!$B$16,Paramètres!$A$1:$I$89,5,0)</f>
        <v>161.26656000000008</v>
      </c>
      <c r="FG69" s="13">
        <f t="shared" ref="FG69:FG132" si="101">EXP(-1.0587+0.8836*LN(FF69)+0.284)</f>
        <v>41.128060321982552</v>
      </c>
      <c r="FH69" s="20">
        <f t="shared" si="76"/>
        <v>352.50396372745308</v>
      </c>
      <c r="FI69" s="59">
        <f t="shared" si="77"/>
        <v>645.83729706078634</v>
      </c>
      <c r="FJ69" s="59">
        <f ca="1">AVERAGE(OFFSET($FI$3,0,0,'Données projet'!$E$16+1,1))-AVERAGE(OFFSET($H$3,0,0,'Données projet'!$E$16+1,1))</f>
        <v>272.90535195666996</v>
      </c>
      <c r="FK69" s="59">
        <f t="shared" ref="FK69:FK132" si="102">$FK$3</f>
        <v>222.25422164416898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0.52926196712215889</v>
      </c>
      <c r="FR69" s="21">
        <f>EXP(-LN(2)/25)*FR68+(1-EXP(-LN(2)/25))/(LN(2)/25)*Calculateur!FM69*Calculateur!FO69*VLOOKUP('Données projet'!$B$16,Paramètres!$A$1:$I$89,3,0)*0.475*44/12</f>
        <v>7.3004329721543222</v>
      </c>
      <c r="FS69" s="21">
        <f>EXP(-LN(2)/2)*FS68+(1-EXP(-LN(2)/2))/(LN(2)/2)*FM69*FP69*VLOOKUP('Données projet'!$B$16,Paramètres!$A$1:$I$89,3,0)*0.475*44/12</f>
        <v>2.7611651584741423</v>
      </c>
      <c r="FT69" s="22">
        <f t="shared" si="78"/>
        <v>10.590860097750625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708.92209140410228</v>
      </c>
      <c r="S70" s="59">
        <f ca="1">AVERAGE(OFFSET($R$3,0,0,'Données projet'!$E$9+1,1))-AVERAGE(OFFSET($H$3,0,0,'Données projet'!$E$9+1,1))</f>
        <v>384.05928630855732</v>
      </c>
      <c r="T70" s="59">
        <f t="shared" si="88"/>
        <v>279.93992813630513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304.99999999999983</v>
      </c>
      <c r="AJ70" s="13">
        <f>AI70*VLOOKUP('Données projet'!$B$10,Paramètres!$A$1:$I$89,3,0)*VLOOKUP('Données projet'!$B$10,Paramètres!$A$1:$I$89,5,0)</f>
        <v>275.96399999999983</v>
      </c>
      <c r="AK70" s="13">
        <f t="shared" si="89"/>
        <v>66.113366665488854</v>
      </c>
      <c r="AL70" s="20">
        <f t="shared" si="58"/>
        <v>595.78474694239264</v>
      </c>
      <c r="AM70" s="59">
        <f t="shared" si="59"/>
        <v>889.11808027572602</v>
      </c>
      <c r="AN70" s="59">
        <f ca="1">AVERAGE(OFFSET($AM$3,0,0,'Données projet'!$E$10+1,1))-AVERAGE(OFFSET($H$3,0,0,'Données projet'!$E$10+1,1))</f>
        <v>366.69125512029831</v>
      </c>
      <c r="AO70" s="59">
        <f t="shared" si="90"/>
        <v>513.80016421153414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0.77675011135727212</v>
      </c>
      <c r="AV70" s="21">
        <f>EXP(-LN(2)/25)*AV69+(1-EXP(-LN(2)/25))/(LN(2)/25)*Calculateur!AQ70*Calculateur!AS70*VLOOKUP('Données projet'!$B$10,Paramètres!$A$1:$I$89,3,0)*0.475*44/12</f>
        <v>2.6467244600139987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3.4234745713712709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193.93920000000003</v>
      </c>
      <c r="BF70" s="13">
        <f t="shared" si="91"/>
        <v>48.409811198069384</v>
      </c>
      <c r="BG70" s="20">
        <f t="shared" si="61"/>
        <v>422.09119450330417</v>
      </c>
      <c r="BH70" s="59">
        <f t="shared" si="62"/>
        <v>715.42452783663748</v>
      </c>
      <c r="BI70" s="59">
        <f ca="1">AVERAGE(OFFSET($BH$3,0,0,'Données projet'!$E$11+1,1))-AVERAGE(OFFSET($H$3,0,0,'Données projet'!$E$11+1,1))</f>
        <v>354.24684313982857</v>
      </c>
      <c r="BJ70" s="59">
        <f t="shared" si="92"/>
        <v>322.65043486962185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16.440079053330081</v>
      </c>
      <c r="BQ70" s="21">
        <f>EXP(-LN(2)/25)*BQ69+(1-EXP(-LN(2)/25))/(LN(2)/25)*Calculateur!BL70*Calculateur!BN70*VLOOKUP('Données projet'!$B$11,Paramètres!$A$1:$I$89,3,0)*0.475*44/12</f>
        <v>18.477366901887464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34.917445955217545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8.1001602564102626</v>
      </c>
      <c r="BY70" s="12">
        <f>IF('Données projet'!$A$114&gt;35,BY69+BX70-CG69,IF(A70&lt;'Données projet'!$A$114,$BV$205^A70,IF(A70='Données projet'!$A$114,'Données projet'!$B$114,BY69+BX70-CG69)))</f>
        <v>210.96474358974376</v>
      </c>
      <c r="BZ70" s="13">
        <f>BY70*VLOOKUP('Données projet'!$B$12,Paramètres!$A$1:$I$89,3,0)*VLOOKUP('Données projet'!$B$12,Paramètres!$A$1:$I$89,5,0)</f>
        <v>204.04510000000019</v>
      </c>
      <c r="CA70" s="13">
        <f t="shared" si="93"/>
        <v>50.632119613158714</v>
      </c>
      <c r="CB70" s="20">
        <f t="shared" si="64"/>
        <v>443.56282415958503</v>
      </c>
      <c r="CC70" s="59">
        <f t="shared" si="65"/>
        <v>736.89615749291829</v>
      </c>
      <c r="CD70" s="59">
        <f ca="1">AVERAGE(OFFSET($CC$3,0,0,'Données projet'!$E$12+1,1))-AVERAGE(OFFSET($H$3,0,0,'Données projet'!$E$12+1,1))</f>
        <v>407.73540492005355</v>
      </c>
      <c r="CE70" s="59">
        <f t="shared" si="94"/>
        <v>296.29416764204774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12.405553298369837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12.405553298369837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200.17295999999988</v>
      </c>
      <c r="CV70" s="13">
        <f t="shared" si="95"/>
        <v>49.782177185855986</v>
      </c>
      <c r="CW70" s="20">
        <f t="shared" si="67"/>
        <v>435.33853059869892</v>
      </c>
      <c r="CX70" s="59">
        <f t="shared" si="68"/>
        <v>728.67186393203224</v>
      </c>
      <c r="CY70" s="59">
        <f ca="1">AVERAGE(OFFSET($CX$3,0,0,'Données projet'!$E$13+1,1))-AVERAGE(OFFSET($H$3,0,0,'Données projet'!$E$13+1,1))</f>
        <v>299.10536994156814</v>
      </c>
      <c r="CZ70" s="59">
        <f t="shared" si="96"/>
        <v>292.57799203101769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24.173308028474615</v>
      </c>
      <c r="DG70" s="21">
        <f>EXP(-LN(2)/25)*DG69+(1-EXP(-LN(2)/25))/(LN(2)/25)*Calculateur!DB70*Calculateur!DD70*VLOOKUP('Données projet'!$B$13,Paramètres!$A$1:$I$89,3,0)*0.475*44/12</f>
        <v>10.17248384925133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34.345791877725944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200.17295999999988</v>
      </c>
      <c r="DQ70" s="13">
        <f t="shared" si="97"/>
        <v>49.782177185855986</v>
      </c>
      <c r="DR70" s="20">
        <f t="shared" si="70"/>
        <v>435.33853059869892</v>
      </c>
      <c r="DS70" s="59">
        <f t="shared" si="71"/>
        <v>728.67186393203224</v>
      </c>
      <c r="DT70" s="59">
        <f ca="1">AVERAGE(OFFSET($DS$3,0,0,'Données projet'!$E$14+1,1))-AVERAGE(OFFSET($H$3,0,0,'Données projet'!$E$14+1,1))</f>
        <v>299.10536994156814</v>
      </c>
      <c r="DU70" s="59">
        <f t="shared" si="98"/>
        <v>292.57799203101769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24.173308028474615</v>
      </c>
      <c r="EB70" s="21">
        <f>EXP(-LN(2)/25)*EB69+(1-EXP(-LN(2)/25))/(LN(2)/25)*Calculateur!DW70*Calculateur!DY70*VLOOKUP('Données projet'!$B$14,Paramètres!$A$1:$I$89,3,0)*0.475*44/12</f>
        <v>10.17248384925133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34.345791877725944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4.4000000000000004</v>
      </c>
      <c r="EJ70" s="12">
        <f>IF('Données projet'!$A$192&gt;35,EJ69+EI70-ER69,IF(A70&lt;'Données projet'!$A$192,$EG$205^A70,IF(A70='Données projet'!$A$192,'Données projet'!$B$192,EJ69+EI70-ER69)))</f>
        <v>191.8000000000001</v>
      </c>
      <c r="EK70" s="17">
        <f>EJ70*VLOOKUP('Données projet'!$B$15,Paramètres!$A$1:$I$89,3,0)*VLOOKUP('Données projet'!$B$15,Paramètres!$A$1:$I$89,5,0)</f>
        <v>125.66736000000007</v>
      </c>
      <c r="EL70" s="13">
        <f t="shared" si="99"/>
        <v>32.993247007291167</v>
      </c>
      <c r="EM70" s="20">
        <f t="shared" si="73"/>
        <v>276.33389053769889</v>
      </c>
      <c r="EN70" s="59">
        <f t="shared" si="74"/>
        <v>569.66722387103221</v>
      </c>
      <c r="EO70" s="59">
        <f ca="1">AVERAGE(OFFSET($EN$3,0,0,'Données projet'!$E$15+1,1))-AVERAGE(OFFSET($H$3,0,0,'Données projet'!$E$15+1,1))</f>
        <v>230.58262378842818</v>
      </c>
      <c r="EP70" s="59">
        <f t="shared" si="100"/>
        <v>235.68746142880792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7.0585117971881095</v>
      </c>
      <c r="EX70" s="21">
        <f>EXP(-LN(2)/2)*EX69+(1-EXP(-LN(2)/2))/(LN(2)/2)*ER70*EU70*VLOOKUP('Données projet'!$B$15,Paramètres!$A$1:$I$89,3,0)*0.475*44/12</f>
        <v>2.0517231209455216</v>
      </c>
      <c r="EY70" s="22">
        <f t="shared" si="75"/>
        <v>9.1102349181336315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4.8</v>
      </c>
      <c r="FE70" s="12">
        <f>IF('Données projet'!$A$218&gt;35,FE69+FD70-FM69,IF(A70&lt;'Données projet'!$A$218,$FB$205^A70,IF(A70='Données projet'!$A$218,'Données projet'!$B$218,FE69+FD70-FM69)))</f>
        <v>203.60000000000011</v>
      </c>
      <c r="FF70" s="17">
        <f>FE70*VLOOKUP('Données projet'!$B$16,Paramètres!$A$1:$I$89,3,0)*VLOOKUP('Données projet'!$B$16,Paramètres!$A$1:$I$89,5,0)</f>
        <v>165.1603200000001</v>
      </c>
      <c r="FG70" s="13">
        <f t="shared" si="101"/>
        <v>42.004281006119641</v>
      </c>
      <c r="FH70" s="20">
        <f t="shared" si="76"/>
        <v>360.81168008565851</v>
      </c>
      <c r="FI70" s="59">
        <f t="shared" si="77"/>
        <v>654.14501341899177</v>
      </c>
      <c r="FJ70" s="59">
        <f ca="1">AVERAGE(OFFSET($FI$3,0,0,'Données projet'!$E$16+1,1))-AVERAGE(OFFSET($H$3,0,0,'Données projet'!$E$16+1,1))</f>
        <v>272.90535195666996</v>
      </c>
      <c r="FK70" s="59">
        <f t="shared" si="102"/>
        <v>222.25422164416898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0.51888346276481767</v>
      </c>
      <c r="FR70" s="21">
        <f>EXP(-LN(2)/25)*FR69+(1-EXP(-LN(2)/25))/(LN(2)/25)*Calculateur!FM70*Calculateur!FO70*VLOOKUP('Données projet'!$B$16,Paramètres!$A$1:$I$89,3,0)*0.475*44/12</f>
        <v>7.1008022486176774</v>
      </c>
      <c r="FS70" s="21">
        <f>EXP(-LN(2)/2)*FS69+(1-EXP(-LN(2)/2))/(LN(2)/2)*FM70*FP70*VLOOKUP('Données projet'!$B$16,Paramètres!$A$1:$I$89,3,0)*0.475*44/12</f>
        <v>1.9524386075330944</v>
      </c>
      <c r="FT70" s="22">
        <f t="shared" si="78"/>
        <v>9.5721243189155896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724.50117422009407</v>
      </c>
      <c r="S71" s="59">
        <f ca="1">AVERAGE(OFFSET($R$3,0,0,'Données projet'!$E$9+1,1))-AVERAGE(OFFSET($H$3,0,0,'Données projet'!$E$9+1,1))</f>
        <v>384.05928630855732</v>
      </c>
      <c r="T71" s="59">
        <f t="shared" si="88"/>
        <v>279.93992813630513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304.99999999999983</v>
      </c>
      <c r="AJ71" s="13">
        <f>AI71*VLOOKUP('Données projet'!$B$10,Paramètres!$A$1:$I$89,3,0)*VLOOKUP('Données projet'!$B$10,Paramètres!$A$1:$I$89,5,0)</f>
        <v>275.96399999999983</v>
      </c>
      <c r="AK71" s="13">
        <f t="shared" si="89"/>
        <v>66.113366665488854</v>
      </c>
      <c r="AL71" s="20">
        <f t="shared" si="58"/>
        <v>595.78474694239264</v>
      </c>
      <c r="AM71" s="59">
        <f t="shared" si="59"/>
        <v>889.11808027572602</v>
      </c>
      <c r="AN71" s="59">
        <f ca="1">AVERAGE(OFFSET($AM$3,0,0,'Données projet'!$E$10+1,1))-AVERAGE(OFFSET($H$3,0,0,'Données projet'!$E$10+1,1))</f>
        <v>366.69125512029831</v>
      </c>
      <c r="AO71" s="59">
        <f t="shared" si="90"/>
        <v>513.80016421153414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0.76151851544434301</v>
      </c>
      <c r="AV71" s="21">
        <f>EXP(-LN(2)/25)*AV70+(1-EXP(-LN(2)/25))/(LN(2)/25)*Calculateur!AQ71*Calculateur!AS71*VLOOKUP('Données projet'!$B$10,Paramètres!$A$1:$I$89,3,0)*0.475*44/12</f>
        <v>2.5743496404697259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3.3358681559140688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198.30720000000002</v>
      </c>
      <c r="BF71" s="13">
        <f t="shared" si="91"/>
        <v>49.371957679623371</v>
      </c>
      <c r="BG71" s="20">
        <f t="shared" si="61"/>
        <v>431.37453295867743</v>
      </c>
      <c r="BH71" s="59">
        <f t="shared" si="62"/>
        <v>724.70786629201075</v>
      </c>
      <c r="BI71" s="59">
        <f ca="1">AVERAGE(OFFSET($BH$3,0,0,'Données projet'!$E$11+1,1))-AVERAGE(OFFSET($H$3,0,0,'Données projet'!$E$11+1,1))</f>
        <v>354.24684313982857</v>
      </c>
      <c r="BJ71" s="59">
        <f t="shared" si="92"/>
        <v>322.65043486962185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16.117699130552371</v>
      </c>
      <c r="BQ71" s="21">
        <f>EXP(-LN(2)/25)*BQ70+(1-EXP(-LN(2)/25))/(LN(2)/25)*Calculateur!BL71*Calculateur!BN71*VLOOKUP('Données projet'!$B$11,Paramètres!$A$1:$I$89,3,0)*0.475*44/12</f>
        <v>17.972102332272858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34.089801462825228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8.1001602564102626</v>
      </c>
      <c r="BY71" s="12">
        <f>IF('Données projet'!$A$114&gt;35,BY70+BX71-CG70,IF(A71&lt;'Données projet'!$A$114,$BV$205^A71,IF(A71='Données projet'!$A$114,'Données projet'!$B$114,BY70+BX71-CG70)))</f>
        <v>219.06490384615404</v>
      </c>
      <c r="BZ71" s="13">
        <f>BY71*VLOOKUP('Données projet'!$B$12,Paramètres!$A$1:$I$89,3,0)*VLOOKUP('Données projet'!$B$12,Paramètres!$A$1:$I$89,5,0)</f>
        <v>211.87957500000022</v>
      </c>
      <c r="CA71" s="13">
        <f t="shared" si="93"/>
        <v>52.346106878498773</v>
      </c>
      <c r="CB71" s="20">
        <f t="shared" si="64"/>
        <v>460.19306260505238</v>
      </c>
      <c r="CC71" s="59">
        <f t="shared" si="65"/>
        <v>753.52639593838569</v>
      </c>
      <c r="CD71" s="59">
        <f ca="1">AVERAGE(OFFSET($CC$3,0,0,'Données projet'!$E$12+1,1))-AVERAGE(OFFSET($H$3,0,0,'Données projet'!$E$12+1,1))</f>
        <v>407.73540492005355</v>
      </c>
      <c r="CE71" s="59">
        <f t="shared" si="94"/>
        <v>296.29416764204774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12.162287964829172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12.162287964829172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203.1962399999999</v>
      </c>
      <c r="CV71" s="13">
        <f t="shared" si="95"/>
        <v>50.445955049216174</v>
      </c>
      <c r="CW71" s="20">
        <f t="shared" si="67"/>
        <v>441.76015637738465</v>
      </c>
      <c r="CX71" s="59">
        <f t="shared" si="68"/>
        <v>735.0934897107179</v>
      </c>
      <c r="CY71" s="59">
        <f ca="1">AVERAGE(OFFSET($CX$3,0,0,'Données projet'!$E$13+1,1))-AVERAGE(OFFSET($H$3,0,0,'Données projet'!$E$13+1,1))</f>
        <v>299.10536994156814</v>
      </c>
      <c r="CZ71" s="59">
        <f t="shared" si="96"/>
        <v>292.57799203101769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23.699284202298252</v>
      </c>
      <c r="DG71" s="21">
        <f>EXP(-LN(2)/25)*DG70+(1-EXP(-LN(2)/25))/(LN(2)/25)*Calculateur!DB71*Calculateur!DD71*VLOOKUP('Données projet'!$B$13,Paramètres!$A$1:$I$89,3,0)*0.475*44/12</f>
        <v>9.8943167434458772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33.593600945744129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203.1962399999999</v>
      </c>
      <c r="DQ71" s="13">
        <f t="shared" si="97"/>
        <v>50.445955049216174</v>
      </c>
      <c r="DR71" s="20">
        <f t="shared" si="70"/>
        <v>441.76015637738465</v>
      </c>
      <c r="DS71" s="59">
        <f t="shared" si="71"/>
        <v>735.0934897107179</v>
      </c>
      <c r="DT71" s="59">
        <f ca="1">AVERAGE(OFFSET($DS$3,0,0,'Données projet'!$E$14+1,1))-AVERAGE(OFFSET($H$3,0,0,'Données projet'!$E$14+1,1))</f>
        <v>299.10536994156814</v>
      </c>
      <c r="DU71" s="59">
        <f t="shared" si="98"/>
        <v>292.57799203101769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23.699284202298252</v>
      </c>
      <c r="EB71" s="21">
        <f>EXP(-LN(2)/25)*EB70+(1-EXP(-LN(2)/25))/(LN(2)/25)*Calculateur!DW71*Calculateur!DY71*VLOOKUP('Données projet'!$B$14,Paramètres!$A$1:$I$89,3,0)*0.475*44/12</f>
        <v>9.8943167434458772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33.593600945744129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4.4000000000000004</v>
      </c>
      <c r="EJ71" s="12">
        <f>IF('Données projet'!$A$192&gt;35,EJ70+EI71-ER70,IF(A71&lt;'Données projet'!$A$192,$EG$205^A71,IF(A71='Données projet'!$A$192,'Données projet'!$B$192,EJ70+EI71-ER70)))</f>
        <v>196.2000000000001</v>
      </c>
      <c r="EK71" s="17">
        <f>EJ71*VLOOKUP('Données projet'!$B$15,Paramètres!$A$1:$I$89,3,0)*VLOOKUP('Données projet'!$B$15,Paramètres!$A$1:$I$89,5,0)</f>
        <v>128.55024000000006</v>
      </c>
      <c r="EL71" s="13">
        <f t="shared" si="99"/>
        <v>33.661144026076698</v>
      </c>
      <c r="EM71" s="20">
        <f t="shared" si="73"/>
        <v>282.51816051208368</v>
      </c>
      <c r="EN71" s="59">
        <f t="shared" si="74"/>
        <v>575.85149384541705</v>
      </c>
      <c r="EO71" s="59">
        <f ca="1">AVERAGE(OFFSET($EN$3,0,0,'Données projet'!$E$15+1,1))-AVERAGE(OFFSET($H$3,0,0,'Données projet'!$E$15+1,1))</f>
        <v>230.58262378842818</v>
      </c>
      <c r="EP71" s="59">
        <f t="shared" si="100"/>
        <v>235.68746142880792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6.8654964209029981</v>
      </c>
      <c r="EX71" s="21">
        <f>EXP(-LN(2)/2)*EX70+(1-EXP(-LN(2)/2))/(LN(2)/2)*ER71*EU71*VLOOKUP('Données projet'!$B$15,Paramètres!$A$1:$I$89,3,0)*0.475*44/12</f>
        <v>1.4507873319378053</v>
      </c>
      <c r="EY71" s="22">
        <f t="shared" si="75"/>
        <v>8.3162837528408033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4.8</v>
      </c>
      <c r="FE71" s="12">
        <f>IF('Données projet'!$A$218&gt;35,FE70+FD71-FM70,IF(A71&lt;'Données projet'!$A$218,$FB$205^A71,IF(A71='Données projet'!$A$218,'Données projet'!$B$218,FE70+FD71-FM70)))</f>
        <v>208.40000000000012</v>
      </c>
      <c r="FF71" s="17">
        <f>FE71*VLOOKUP('Données projet'!$B$16,Paramètres!$A$1:$I$89,3,0)*VLOOKUP('Données projet'!$B$16,Paramètres!$A$1:$I$89,5,0)</f>
        <v>169.05408000000011</v>
      </c>
      <c r="FG71" s="13">
        <f t="shared" si="101"/>
        <v>42.878100222794899</v>
      </c>
      <c r="FH71" s="20">
        <f t="shared" si="76"/>
        <v>369.1152138880347</v>
      </c>
      <c r="FI71" s="59">
        <f t="shared" si="77"/>
        <v>662.44854722136802</v>
      </c>
      <c r="FJ71" s="59">
        <f ca="1">AVERAGE(OFFSET($FI$3,0,0,'Données projet'!$E$16+1,1))-AVERAGE(OFFSET($H$3,0,0,'Données projet'!$E$16+1,1))</f>
        <v>272.90535195666996</v>
      </c>
      <c r="FK71" s="59">
        <f t="shared" si="102"/>
        <v>222.25422164416898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0.50870847454766133</v>
      </c>
      <c r="FR71" s="21">
        <f>EXP(-LN(2)/25)*FR70+(1-EXP(-LN(2)/25))/(LN(2)/25)*Calculateur!FM71*Calculateur!FO71*VLOOKUP('Données projet'!$B$16,Paramètres!$A$1:$I$89,3,0)*0.475*44/12</f>
        <v>6.9066304377142655</v>
      </c>
      <c r="FS71" s="21">
        <f>EXP(-LN(2)/2)*FS70+(1-EXP(-LN(2)/2))/(LN(2)/2)*FM71*FP71*VLOOKUP('Données projet'!$B$16,Paramètres!$A$1:$I$89,3,0)*0.475*44/12</f>
        <v>1.3805825792370714</v>
      </c>
      <c r="FT71" s="22">
        <f t="shared" si="78"/>
        <v>8.7959214914989978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740.06816708981637</v>
      </c>
      <c r="S72" s="59">
        <f ca="1">AVERAGE(OFFSET($R$3,0,0,'Données projet'!$E$9+1,1))-AVERAGE(OFFSET($H$3,0,0,'Données projet'!$E$9+1,1))</f>
        <v>384.05928630855732</v>
      </c>
      <c r="T72" s="59">
        <f t="shared" si="88"/>
        <v>279.93992813630513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304.99999999999983</v>
      </c>
      <c r="AJ72" s="13">
        <f>AI72*VLOOKUP('Données projet'!$B$10,Paramètres!$A$1:$I$89,3,0)*VLOOKUP('Données projet'!$B$10,Paramètres!$A$1:$I$89,5,0)</f>
        <v>275.96399999999983</v>
      </c>
      <c r="AK72" s="13">
        <f t="shared" si="89"/>
        <v>66.113366665488854</v>
      </c>
      <c r="AL72" s="20">
        <f t="shared" si="58"/>
        <v>595.78474694239264</v>
      </c>
      <c r="AM72" s="59">
        <f t="shared" si="59"/>
        <v>889.11808027572602</v>
      </c>
      <c r="AN72" s="59">
        <f ca="1">AVERAGE(OFFSET($AM$3,0,0,'Données projet'!$E$10+1,1))-AVERAGE(OFFSET($H$3,0,0,'Données projet'!$E$10+1,1))</f>
        <v>366.69125512029831</v>
      </c>
      <c r="AO72" s="59">
        <f t="shared" si="90"/>
        <v>513.80016421153414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0.74658560183691025</v>
      </c>
      <c r="AV72" s="21">
        <f>EXP(-LN(2)/25)*AV71+(1-EXP(-LN(2)/25))/(LN(2)/25)*Calculateur!AQ72*Calculateur!AS72*VLOOKUP('Données projet'!$B$10,Paramètres!$A$1:$I$89,3,0)*0.475*44/12</f>
        <v>2.5039539141719174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3.2505395160088275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202.67520000000002</v>
      </c>
      <c r="BF72" s="13">
        <f t="shared" si="91"/>
        <v>50.331640285313689</v>
      </c>
      <c r="BG72" s="20">
        <f t="shared" si="61"/>
        <v>440.653580163588</v>
      </c>
      <c r="BH72" s="59">
        <f t="shared" si="62"/>
        <v>733.98691349692126</v>
      </c>
      <c r="BI72" s="59">
        <f ca="1">AVERAGE(OFFSET($BH$3,0,0,'Données projet'!$E$11+1,1))-AVERAGE(OFFSET($H$3,0,0,'Données projet'!$E$11+1,1))</f>
        <v>354.24684313982857</v>
      </c>
      <c r="BJ72" s="59">
        <f t="shared" si="92"/>
        <v>322.65043486962185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15.801640881427995</v>
      </c>
      <c r="BQ72" s="21">
        <f>EXP(-LN(2)/25)*BQ71+(1-EXP(-LN(2)/25))/(LN(2)/25)*Calculateur!BL72*Calculateur!BN72*VLOOKUP('Données projet'!$B$11,Paramètres!$A$1:$I$89,3,0)*0.475*44/12</f>
        <v>17.48065424888507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33.282295130313067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8.1001602564102626</v>
      </c>
      <c r="BY72" s="12">
        <f>IF('Données projet'!$A$114&gt;35,BY71+BX72-CG71,IF(A72&lt;'Données projet'!$A$114,$BV$205^A72,IF(A72='Données projet'!$A$114,'Données projet'!$B$114,BY71+BX72-CG71)))</f>
        <v>227.16506410256432</v>
      </c>
      <c r="BZ72" s="13">
        <f>BY72*VLOOKUP('Données projet'!$B$12,Paramètres!$A$1:$I$89,3,0)*VLOOKUP('Données projet'!$B$12,Paramètres!$A$1:$I$89,5,0)</f>
        <v>219.71405000000019</v>
      </c>
      <c r="CA72" s="13">
        <f t="shared" si="93"/>
        <v>54.052731197210612</v>
      </c>
      <c r="CB72" s="20">
        <f t="shared" si="64"/>
        <v>476.81047725180878</v>
      </c>
      <c r="CC72" s="59">
        <f t="shared" si="65"/>
        <v>770.14381058514209</v>
      </c>
      <c r="CD72" s="59">
        <f ca="1">AVERAGE(OFFSET($CC$3,0,0,'Données projet'!$E$12+1,1))-AVERAGE(OFFSET($H$3,0,0,'Données projet'!$E$12+1,1))</f>
        <v>407.73540492005355</v>
      </c>
      <c r="CE72" s="59">
        <f t="shared" si="94"/>
        <v>296.29416764204774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11.923792916102038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11.923792916102038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206.21951999999993</v>
      </c>
      <c r="CV72" s="13">
        <f t="shared" si="95"/>
        <v>51.10858428464028</v>
      </c>
      <c r="CW72" s="20">
        <f t="shared" si="67"/>
        <v>448.17978162908167</v>
      </c>
      <c r="CX72" s="59">
        <f t="shared" si="68"/>
        <v>741.51311496241499</v>
      </c>
      <c r="CY72" s="59">
        <f ca="1">AVERAGE(OFFSET($CX$3,0,0,'Données projet'!$E$13+1,1))-AVERAGE(OFFSET($H$3,0,0,'Données projet'!$E$13+1,1))</f>
        <v>299.10536994156814</v>
      </c>
      <c r="CZ72" s="59">
        <f t="shared" si="96"/>
        <v>292.57799203101769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23.234555694227222</v>
      </c>
      <c r="DG72" s="21">
        <f>EXP(-LN(2)/25)*DG71+(1-EXP(-LN(2)/25))/(LN(2)/25)*Calculateur!DB72*Calculateur!DD72*VLOOKUP('Données projet'!$B$13,Paramètres!$A$1:$I$89,3,0)*0.475*44/12</f>
        <v>9.6237561317768456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32.858311826004069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206.21951999999993</v>
      </c>
      <c r="DQ72" s="13">
        <f t="shared" si="97"/>
        <v>51.10858428464028</v>
      </c>
      <c r="DR72" s="20">
        <f t="shared" si="70"/>
        <v>448.17978162908167</v>
      </c>
      <c r="DS72" s="59">
        <f t="shared" si="71"/>
        <v>741.51311496241499</v>
      </c>
      <c r="DT72" s="59">
        <f ca="1">AVERAGE(OFFSET($DS$3,0,0,'Données projet'!$E$14+1,1))-AVERAGE(OFFSET($H$3,0,0,'Données projet'!$E$14+1,1))</f>
        <v>299.10536994156814</v>
      </c>
      <c r="DU72" s="59">
        <f t="shared" si="98"/>
        <v>292.57799203101769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23.234555694227222</v>
      </c>
      <c r="EB72" s="21">
        <f>EXP(-LN(2)/25)*EB71+(1-EXP(-LN(2)/25))/(LN(2)/25)*Calculateur!DW72*Calculateur!DY72*VLOOKUP('Données projet'!$B$14,Paramètres!$A$1:$I$89,3,0)*0.475*44/12</f>
        <v>9.6237561317768456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32.858311826004069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4.4000000000000004</v>
      </c>
      <c r="EJ72" s="12">
        <f>IF('Données projet'!$A$192&gt;35,EJ71+EI72-ER71,IF(A72&lt;'Données projet'!$A$192,$EG$205^A72,IF(A72='Données projet'!$A$192,'Données projet'!$B$192,EJ71+EI72-ER71)))</f>
        <v>200.60000000000011</v>
      </c>
      <c r="EK72" s="17">
        <f>EJ72*VLOOKUP('Données projet'!$B$15,Paramètres!$A$1:$I$89,3,0)*VLOOKUP('Données projet'!$B$15,Paramètres!$A$1:$I$89,5,0)</f>
        <v>131.43312000000006</v>
      </c>
      <c r="EL72" s="13">
        <f t="shared" si="99"/>
        <v>34.327299687447557</v>
      </c>
      <c r="EM72" s="20">
        <f t="shared" si="73"/>
        <v>288.69939762230456</v>
      </c>
      <c r="EN72" s="59">
        <f t="shared" si="74"/>
        <v>582.03273095563782</v>
      </c>
      <c r="EO72" s="59">
        <f ca="1">AVERAGE(OFFSET($EN$3,0,0,'Données projet'!$E$15+1,1))-AVERAGE(OFFSET($H$3,0,0,'Données projet'!$E$15+1,1))</f>
        <v>230.58262378842818</v>
      </c>
      <c r="EP72" s="59">
        <f t="shared" si="100"/>
        <v>235.68746142880792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6.6777590602326402</v>
      </c>
      <c r="EX72" s="21">
        <f>EXP(-LN(2)/2)*EX71+(1-EXP(-LN(2)/2))/(LN(2)/2)*ER72*EU72*VLOOKUP('Données projet'!$B$15,Paramètres!$A$1:$I$89,3,0)*0.475*44/12</f>
        <v>1.0258615604727608</v>
      </c>
      <c r="EY72" s="22">
        <f t="shared" si="75"/>
        <v>7.7036206207054008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4.8</v>
      </c>
      <c r="FE72" s="12">
        <f>IF('Données projet'!$A$218&gt;35,FE71+FD72-FM71,IF(A72&lt;'Données projet'!$A$218,$FB$205^A72,IF(A72='Données projet'!$A$218,'Données projet'!$B$218,FE71+FD72-FM71)))</f>
        <v>213.20000000000013</v>
      </c>
      <c r="FF72" s="17">
        <f>FE72*VLOOKUP('Données projet'!$B$16,Paramètres!$A$1:$I$89,3,0)*VLOOKUP('Données projet'!$B$16,Paramètres!$A$1:$I$89,5,0)</f>
        <v>172.94784000000013</v>
      </c>
      <c r="FG72" s="13">
        <f t="shared" si="101"/>
        <v>43.749579650768077</v>
      </c>
      <c r="FH72" s="20">
        <f t="shared" si="76"/>
        <v>377.41467255842127</v>
      </c>
      <c r="FI72" s="59">
        <f t="shared" si="77"/>
        <v>670.74800589175459</v>
      </c>
      <c r="FJ72" s="59">
        <f ca="1">AVERAGE(OFFSET($FI$3,0,0,'Données projet'!$E$16+1,1))-AVERAGE(OFFSET($H$3,0,0,'Données projet'!$E$16+1,1))</f>
        <v>272.90535195666996</v>
      </c>
      <c r="FK72" s="59">
        <f t="shared" si="102"/>
        <v>222.25422164416898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0.49873301164331341</v>
      </c>
      <c r="FR72" s="21">
        <f>EXP(-LN(2)/25)*FR71+(1-EXP(-LN(2)/25))/(LN(2)/25)*Calculateur!FM72*Calculateur!FO72*VLOOKUP('Données projet'!$B$16,Paramètres!$A$1:$I$89,3,0)*0.475*44/12</f>
        <v>6.7177682651910597</v>
      </c>
      <c r="FS72" s="21">
        <f>EXP(-LN(2)/2)*FS71+(1-EXP(-LN(2)/2))/(LN(2)/2)*FM72*FP72*VLOOKUP('Données projet'!$B$16,Paramètres!$A$1:$I$89,3,0)*0.475*44/12</f>
        <v>0.97621930376654731</v>
      </c>
      <c r="FT72" s="22">
        <f t="shared" si="78"/>
        <v>8.1927205806009198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755.62355050120209</v>
      </c>
      <c r="S73" s="59">
        <f ca="1">AVERAGE(OFFSET($R$3,0,0,'Données projet'!$E$9+1,1))-AVERAGE(OFFSET($H$3,0,0,'Données projet'!$E$9+1,1))</f>
        <v>384.05928630855732</v>
      </c>
      <c r="T73" s="59">
        <f t="shared" si="88"/>
        <v>279.93992813630513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304.99999999999983</v>
      </c>
      <c r="AJ73" s="13">
        <f>AI73*VLOOKUP('Données projet'!$B$10,Paramètres!$A$1:$I$89,3,0)*VLOOKUP('Données projet'!$B$10,Paramètres!$A$1:$I$89,5,0)</f>
        <v>275.96399999999983</v>
      </c>
      <c r="AK73" s="13">
        <f t="shared" si="89"/>
        <v>66.113366665488854</v>
      </c>
      <c r="AL73" s="20">
        <f t="shared" si="58"/>
        <v>595.78474694239264</v>
      </c>
      <c r="AM73" s="59">
        <f t="shared" si="59"/>
        <v>889.11808027572602</v>
      </c>
      <c r="AN73" s="59">
        <f ca="1">AVERAGE(OFFSET($AM$3,0,0,'Données projet'!$E$10+1,1))-AVERAGE(OFFSET($H$3,0,0,'Données projet'!$E$10+1,1))</f>
        <v>366.69125512029831</v>
      </c>
      <c r="AO73" s="59">
        <f t="shared" si="90"/>
        <v>513.80016421153414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0.73194551355714133</v>
      </c>
      <c r="AV73" s="21">
        <f>EXP(-LN(2)/25)*AV72+(1-EXP(-LN(2)/25))/(LN(2)/25)*Calculateur!AQ73*Calculateur!AS73*VLOOKUP('Données projet'!$B$10,Paramètres!$A$1:$I$89,3,0)*0.475*44/12</f>
        <v>2.4354831627116726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3.167428676268814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207.04320000000001</v>
      </c>
      <c r="BF73" s="13">
        <f t="shared" si="91"/>
        <v>51.288918231806321</v>
      </c>
      <c r="BG73" s="20">
        <f t="shared" si="61"/>
        <v>449.92843925372944</v>
      </c>
      <c r="BH73" s="59">
        <f t="shared" si="62"/>
        <v>743.26177258706275</v>
      </c>
      <c r="BI73" s="59">
        <f ca="1">AVERAGE(OFFSET($BH$3,0,0,'Données projet'!$E$11+1,1))-AVERAGE(OFFSET($H$3,0,0,'Données projet'!$E$11+1,1))</f>
        <v>354.24684313982857</v>
      </c>
      <c r="BJ73" s="59">
        <f t="shared" si="92"/>
        <v>322.65043486962185</v>
      </c>
      <c r="BK73" s="15">
        <f>IF(ISNA(VLOOKUP(A73,'Données projet'!$A$87:$I$107,3,0)),0,VLOOKUP(A73,'Données projet'!$A$87:$I$107,3,0))</f>
        <v>11</v>
      </c>
      <c r="BL73" s="15" t="str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0.17200000000000001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19.229189975969593</v>
      </c>
      <c r="BQ73" s="21">
        <f>EXP(-LN(2)/25)*BQ72+(1-EXP(-LN(2)/25))/(LN(2)/25)*Calculateur!BL73*Calculateur!BN73*VLOOKUP('Données projet'!$B$11,Paramètres!$A$1:$I$89,3,0)*0.475*44/12</f>
        <v>19.980800061887791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39.209990037857381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8.1001602564102626</v>
      </c>
      <c r="BY73" s="12">
        <f>IF('Données projet'!$A$114&gt;35,BY72+BX73-CG72,IF(A73&lt;'Données projet'!$A$114,$BV$205^A73,IF(A73='Données projet'!$A$114,'Données projet'!$B$114,BY72+BX73-CG72)))</f>
        <v>235.26522435897459</v>
      </c>
      <c r="BZ73" s="13">
        <f>BY73*VLOOKUP('Données projet'!$B$12,Paramètres!$A$1:$I$89,3,0)*VLOOKUP('Données projet'!$B$12,Paramètres!$A$1:$I$89,5,0)</f>
        <v>227.54852500000021</v>
      </c>
      <c r="CA73" s="13">
        <f t="shared" si="93"/>
        <v>55.752285193175616</v>
      </c>
      <c r="CB73" s="20">
        <f t="shared" si="64"/>
        <v>493.41557775311458</v>
      </c>
      <c r="CC73" s="59">
        <f t="shared" si="65"/>
        <v>786.74891108644783</v>
      </c>
      <c r="CD73" s="59">
        <f ca="1">AVERAGE(OFFSET($CC$3,0,0,'Données projet'!$E$12+1,1))-AVERAGE(OFFSET($H$3,0,0,'Données projet'!$E$12+1,1))</f>
        <v>407.73540492005355</v>
      </c>
      <c r="CE73" s="59">
        <f t="shared" si="94"/>
        <v>296.29416764204774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11.689974609812827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11.689974609812827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209.2427999999999</v>
      </c>
      <c r="CV73" s="13">
        <f t="shared" si="95"/>
        <v>51.770083677016814</v>
      </c>
      <c r="CW73" s="20">
        <f t="shared" si="67"/>
        <v>454.59743907080406</v>
      </c>
      <c r="CX73" s="59">
        <f t="shared" si="68"/>
        <v>747.93077240413731</v>
      </c>
      <c r="CY73" s="59">
        <f ca="1">AVERAGE(OFFSET($CX$3,0,0,'Données projet'!$E$13+1,1))-AVERAGE(OFFSET($H$3,0,0,'Données projet'!$E$13+1,1))</f>
        <v>299.10536994156814</v>
      </c>
      <c r="CZ73" s="59">
        <f t="shared" si="96"/>
        <v>292.57799203101769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0.47700000000000004</v>
      </c>
      <c r="DD73" s="16">
        <f>IF(ISNA(VLOOKUP(A73,'Données projet'!$A$139:$I$159,6,0)),0%,VLOOKUP(A73,'Données projet'!$A$139:$I$159,6,0)*VLOOKUP('Données projet'!$B$13,Paramètres!$A$1:$I$89,7,0))</f>
        <v>5.3000000000000005E-2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26.974213584715166</v>
      </c>
      <c r="DG73" s="21">
        <f>EXP(-LN(2)/25)*DG72+(1-EXP(-LN(2)/25))/(LN(2)/25)*Calculateur!DB73*Calculateur!DD73*VLOOKUP('Données projet'!$B$13,Paramètres!$A$1:$I$89,3,0)*0.475*44/12</f>
        <v>9.8249001216226421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36.799113706337806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209.2427999999999</v>
      </c>
      <c r="DQ73" s="13">
        <f t="shared" si="97"/>
        <v>51.770083677016814</v>
      </c>
      <c r="DR73" s="20">
        <f t="shared" si="70"/>
        <v>454.59743907080406</v>
      </c>
      <c r="DS73" s="59">
        <f t="shared" si="71"/>
        <v>747.93077240413731</v>
      </c>
      <c r="DT73" s="59">
        <f ca="1">AVERAGE(OFFSET($DS$3,0,0,'Données projet'!$E$14+1,1))-AVERAGE(OFFSET($H$3,0,0,'Données projet'!$E$14+1,1))</f>
        <v>299.10536994156814</v>
      </c>
      <c r="DU73" s="59">
        <f t="shared" si="98"/>
        <v>292.57799203101769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0.47700000000000004</v>
      </c>
      <c r="DY73" s="16">
        <f>IF(ISNA(VLOOKUP(A73,'Données projet'!$A$165:$I$185,6,0)),0%,VLOOKUP(A73,'Données projet'!$A$165:$I$185,6,0)*VLOOKUP('Données projet'!$B$14,Paramètres!$A$1:$I$89,7,0))</f>
        <v>5.3000000000000005E-2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26.974213584715166</v>
      </c>
      <c r="EB73" s="21">
        <f>EXP(-LN(2)/25)*EB72+(1-EXP(-LN(2)/25))/(LN(2)/25)*Calculateur!DW73*Calculateur!DY73*VLOOKUP('Données projet'!$B$14,Paramètres!$A$1:$I$89,3,0)*0.475*44/12</f>
        <v>9.8249001216226421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36.799113706337806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205</v>
      </c>
      <c r="EH73" s="12">
        <f>VLOOKUP(A73,'Données projet'!$A$191:$I$211,9,0)</f>
        <v>4.4000000000000004</v>
      </c>
      <c r="EI73" s="12">
        <f t="array" ref="EI73">INDEX(EH:EH,MIN(IF(ISNUMBER(EH73:EH269),ROW(EH73:EH269),"")))</f>
        <v>4.4000000000000004</v>
      </c>
      <c r="EJ73" s="12">
        <f>IF('Données projet'!$A$192&gt;35,EJ72+EI73-ER72,IF(A73&lt;'Données projet'!$A$192,$EG$205^A73,IF(A73='Données projet'!$A$192,'Données projet'!$B$192,EJ72+EI73-ER72)))</f>
        <v>205.00000000000011</v>
      </c>
      <c r="EK73" s="17">
        <f>EJ73*VLOOKUP('Données projet'!$B$15,Paramètres!$A$1:$I$89,3,0)*VLOOKUP('Données projet'!$B$15,Paramètres!$A$1:$I$89,5,0)</f>
        <v>134.31600000000009</v>
      </c>
      <c r="EL73" s="13">
        <f t="shared" si="99"/>
        <v>34.991756585122474</v>
      </c>
      <c r="EM73" s="20">
        <f t="shared" si="73"/>
        <v>294.87767605242175</v>
      </c>
      <c r="EN73" s="59">
        <f t="shared" si="74"/>
        <v>588.21100938575501</v>
      </c>
      <c r="EO73" s="59">
        <f ca="1">AVERAGE(OFFSET($EN$3,0,0,'Données projet'!$E$15+1,1))-AVERAGE(OFFSET($H$3,0,0,'Données projet'!$E$15+1,1))</f>
        <v>230.58262378842818</v>
      </c>
      <c r="EP73" s="59">
        <f t="shared" si="100"/>
        <v>235.68746142880792</v>
      </c>
      <c r="EQ73" s="15">
        <f>IF(ISNA(VLOOKUP(A73,'Données projet'!$A$191:$I$211,3,0)),0,VLOOKUP(A73,'Données projet'!$A$191:$I$211,3,0))</f>
        <v>13</v>
      </c>
      <c r="ER73" s="15">
        <f>IF(ISNA(VLOOKUP(A73,'Données projet'!$A$191:$I$211,4,0)),0,VLOOKUP(A73,'Données projet'!$A$191:$I$211,4,0))</f>
        <v>17</v>
      </c>
      <c r="ES73" s="16">
        <f>IF(ISNA(VLOOKUP(A73,'Données projet'!$A$191:$I$211,5,0)),0%,VLOOKUP(A73,'Données projet'!$A$191:$I$211,5,0)*VLOOKUP('Données projet'!$B$15,Paramètres!$A$1:$I$89,7,0))</f>
        <v>4.3000000000000003E-2</v>
      </c>
      <c r="ET73" s="16">
        <f>IF(ISNA(VLOOKUP(A73,'Données projet'!$A$191:$I$211,6,0)),0%,VLOOKUP(A73,'Données projet'!$A$191:$I$211,6,0)*VLOOKUP('Données projet'!$B$15,Paramètres!$A$1:$I$89,7,0))</f>
        <v>0.17200000000000001</v>
      </c>
      <c r="EU73" s="16">
        <f>IF(ISNA(VLOOKUP(A73,'Données projet'!$A$191:$I$211,7,0)),0%,VLOOKUP(A73,'Données projet'!$A$191:$I$211,7,0))</f>
        <v>0.3</v>
      </c>
      <c r="EV73" s="21">
        <f>EXP(-LN(2)/35)*EV72+(1-EXP(-LN(2)/35))/(LN(2)/35)*ER73*ES73*VLOOKUP('Données projet'!$B$15,Paramètres!$A$1:$I$89,3,0)*0.475*44/12</f>
        <v>0.52946636484176191</v>
      </c>
      <c r="EW73" s="21">
        <f>EXP(-LN(2)/25)*EW72+(1-EXP(-LN(2)/25))/(LN(2)/25)*Calculateur!ER73*Calculateur!ET73*VLOOKUP('Données projet'!$B$15,Paramètres!$A$1:$I$89,3,0)*0.475*44/12</f>
        <v>8.6046820036460065</v>
      </c>
      <c r="EX73" s="21">
        <f>EXP(-LN(2)/2)*EX72+(1-EXP(-LN(2)/2))/(LN(2)/2)*ER73*EU73*VLOOKUP('Données projet'!$B$15,Paramètres!$A$1:$I$89,3,0)*0.475*44/12</f>
        <v>3.8782077216610991</v>
      </c>
      <c r="EY73" s="22">
        <f t="shared" si="75"/>
        <v>13.012356090148867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218</v>
      </c>
      <c r="FC73" s="12">
        <f>VLOOKUP(A73,'Données projet'!$A$217:$I$237,9,0)</f>
        <v>4.8</v>
      </c>
      <c r="FD73" s="12">
        <f t="array" ref="FD73">INDEX(FC:FC,MIN(IF(ISNUMBER(FC73:FC269),ROW(FC73:FC269),"")))</f>
        <v>4.8</v>
      </c>
      <c r="FE73" s="12">
        <f>IF('Données projet'!$A$218&gt;35,FE72+FD73-FM72,IF(A73&lt;'Données projet'!$A$218,$FB$205^A73,IF(A73='Données projet'!$A$218,'Données projet'!$B$218,FE72+FD73-FM72)))</f>
        <v>218.00000000000014</v>
      </c>
      <c r="FF73" s="17">
        <f>FE73*VLOOKUP('Données projet'!$B$16,Paramètres!$A$1:$I$89,3,0)*VLOOKUP('Données projet'!$B$16,Paramètres!$A$1:$I$89,5,0)</f>
        <v>176.84160000000014</v>
      </c>
      <c r="FG73" s="13">
        <f t="shared" si="101"/>
        <v>44.618778032982952</v>
      </c>
      <c r="FH73" s="20">
        <f t="shared" si="76"/>
        <v>385.71015840744553</v>
      </c>
      <c r="FI73" s="59">
        <f t="shared" si="77"/>
        <v>679.04349174077879</v>
      </c>
      <c r="FJ73" s="59">
        <f ca="1">AVERAGE(OFFSET($FI$3,0,0,'Données projet'!$E$16+1,1))-AVERAGE(OFFSET($H$3,0,0,'Données projet'!$E$16+1,1))</f>
        <v>272.90535195666996</v>
      </c>
      <c r="FK73" s="59">
        <f t="shared" si="102"/>
        <v>222.25422164416898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14</v>
      </c>
      <c r="FN73" s="16">
        <f>IF(ISNA(VLOOKUP(A73,'Données projet'!$A$217:$I$237,5,0)),0%,VLOOKUP(A73,'Données projet'!$A$217:$I$237,5,0)*VLOOKUP('Données projet'!$B$16,Paramètres!$A$1:$I$89,7,0))</f>
        <v>4.3000000000000003E-2</v>
      </c>
      <c r="FO73" s="16">
        <f>IF(ISNA(VLOOKUP(A73,'Données projet'!$A$217:$I$237,6,0)),0%,VLOOKUP(A73,'Données projet'!$A$217:$I$237,6,0)*VLOOKUP('Données projet'!$B$16,Paramètres!$A$1:$I$89,7,0))</f>
        <v>0.17200000000000001</v>
      </c>
      <c r="FP73" s="16">
        <f>IF(ISNA(VLOOKUP(A73,'Données projet'!$A$217:$I$237,7,0)),0%,VLOOKUP(A73,'Données projet'!$A$217:$I$237,7,0))</f>
        <v>0.3</v>
      </c>
      <c r="FQ73" s="21">
        <f>EXP(-LN(2)/35)*FQ72+(1-EXP(-LN(2)/35))/(LN(2)/35)*FM73*FN73*VLOOKUP('Données projet'!$B$16,Paramètres!$A$1:$I$89,3,0)*0.475*44/12</f>
        <v>1.0288012197521201</v>
      </c>
      <c r="FR73" s="21">
        <f>EXP(-LN(2)/25)*FR72+(1-EXP(-LN(2)/25))/(LN(2)/25)*Calculateur!FM73*Calculateur!FO73*VLOOKUP('Données projet'!$B$16,Paramètres!$A$1:$I$89,3,0)*0.475*44/12</f>
        <v>8.6849604217728746</v>
      </c>
      <c r="FS73" s="21">
        <f>EXP(-LN(2)/2)*FS72+(1-EXP(-LN(2)/2))/(LN(2)/2)*FM73*FP73*VLOOKUP('Données projet'!$B$16,Paramètres!$A$1:$I$89,3,0)*0.475*44/12</f>
        <v>3.9049252287556779</v>
      </c>
      <c r="FT73" s="22">
        <f t="shared" si="78"/>
        <v>13.618686870280673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771.167769979284</v>
      </c>
      <c r="S74" s="59">
        <f ca="1">AVERAGE(OFFSET($R$3,0,0,'Données projet'!$E$9+1,1))-AVERAGE(OFFSET($H$3,0,0,'Données projet'!$E$9+1,1))</f>
        <v>384.05928630855732</v>
      </c>
      <c r="T74" s="59">
        <f t="shared" si="88"/>
        <v>279.93992813630513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304.99999999999983</v>
      </c>
      <c r="AJ74" s="13">
        <f>AI74*VLOOKUP('Données projet'!$B$10,Paramètres!$A$1:$I$89,3,0)*VLOOKUP('Données projet'!$B$10,Paramètres!$A$1:$I$89,5,0)</f>
        <v>275.96399999999983</v>
      </c>
      <c r="AK74" s="13">
        <f t="shared" si="89"/>
        <v>66.113366665488854</v>
      </c>
      <c r="AL74" s="20">
        <f t="shared" si="58"/>
        <v>595.78474694239264</v>
      </c>
      <c r="AM74" s="59">
        <f t="shared" si="59"/>
        <v>889.11808027572602</v>
      </c>
      <c r="AN74" s="59">
        <f ca="1">AVERAGE(OFFSET($AM$3,0,0,'Données projet'!$E$10+1,1))-AVERAGE(OFFSET($H$3,0,0,'Données projet'!$E$10+1,1))</f>
        <v>366.69125512029831</v>
      </c>
      <c r="AO74" s="59">
        <f t="shared" si="90"/>
        <v>513.80016421153414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0.7175925084789665</v>
      </c>
      <c r="AV74" s="21">
        <f>EXP(-LN(2)/25)*AV73+(1-EXP(-LN(2)/25))/(LN(2)/25)*Calculateur!AQ74*Calculateur!AS74*VLOOKUP('Données projet'!$B$10,Paramètres!$A$1:$I$89,3,0)*0.475*44/12</f>
        <v>2.3688847475508288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3.0864772560297951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195.16224000000003</v>
      </c>
      <c r="BF74" s="13">
        <f t="shared" si="91"/>
        <v>48.67946410296608</v>
      </c>
      <c r="BG74" s="20">
        <f t="shared" si="61"/>
        <v>424.69096797933258</v>
      </c>
      <c r="BH74" s="59">
        <f t="shared" si="62"/>
        <v>718.0243013126659</v>
      </c>
      <c r="BI74" s="59">
        <f ca="1">AVERAGE(OFFSET($BH$3,0,0,'Données projet'!$E$11+1,1))-AVERAGE(OFFSET($H$3,0,0,'Données projet'!$E$11+1,1))</f>
        <v>354.24684313982857</v>
      </c>
      <c r="BJ74" s="59">
        <f t="shared" si="92"/>
        <v>322.65043486962185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18.852117289188605</v>
      </c>
      <c r="BQ74" s="21">
        <f>EXP(-LN(2)/25)*BQ73+(1-EXP(-LN(2)/25))/(LN(2)/25)*Calculateur!BL74*Calculateur!BN74*VLOOKUP('Données projet'!$B$11,Paramètres!$A$1:$I$89,3,0)*0.475*44/12</f>
        <v>19.43442403345086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38.286541322639465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>
        <f>VLOOKUP(A74,'Données projet'!$A$113:$I$133,2,0)</f>
        <v>243.36538461538464</v>
      </c>
      <c r="BW74" s="12">
        <f>VLOOKUP(A74,'Données projet'!$A$113:$I$133,9,0)</f>
        <v>8.1001602564102626</v>
      </c>
      <c r="BX74" s="12">
        <f t="array" ref="BX74">INDEX(BW:BW,MIN(IF(ISNUMBER(BW74:BW270),ROW(BW74:BW270),"")))</f>
        <v>8.1001602564102626</v>
      </c>
      <c r="BY74" s="12">
        <f>IF('Données projet'!$A$114&gt;35,BY73+BX74-CG73,IF(A74&lt;'Données projet'!$A$114,$BV$205^A74,IF(A74='Données projet'!$A$114,'Données projet'!$B$114,BY73+BX74-CG73)))</f>
        <v>243.36538461538487</v>
      </c>
      <c r="BZ74" s="13">
        <f>BY74*VLOOKUP('Données projet'!$B$12,Paramètres!$A$1:$I$89,3,0)*VLOOKUP('Données projet'!$B$12,Paramètres!$A$1:$I$89,5,0)</f>
        <v>235.38300000000024</v>
      </c>
      <c r="CA74" s="13">
        <f t="shared" si="93"/>
        <v>57.44504019737942</v>
      </c>
      <c r="CB74" s="20">
        <f t="shared" si="64"/>
        <v>510.00883667710286</v>
      </c>
      <c r="CC74" s="59">
        <f t="shared" si="65"/>
        <v>803.34217001043612</v>
      </c>
      <c r="CD74" s="59">
        <f ca="1">AVERAGE(OFFSET($CC$3,0,0,'Données projet'!$E$12+1,1))-AVERAGE(OFFSET($H$3,0,0,'Données projet'!$E$12+1,1))</f>
        <v>407.73540492005355</v>
      </c>
      <c r="CE74" s="59">
        <f t="shared" si="94"/>
        <v>296.29416764204774</v>
      </c>
      <c r="CF74" s="15">
        <f>IF(ISNA(VLOOKUP(A74,'Données projet'!$A$113:$I$133,3,0)),0,VLOOKUP(A74,'Données projet'!$A$113:$I$133,3,0))</f>
        <v>6</v>
      </c>
      <c r="CG74" s="15">
        <f>IF(ISNA(VLOOKUP(A74,'Données projet'!$A$113:$I$133,4,0)),0,VLOOKUP(A74,'Données projet'!$A$113:$I$133,4,0))</f>
        <v>39.935897435897431</v>
      </c>
      <c r="CH74" s="16">
        <f>IF(ISNA(VLOOKUP(A74,'Données projet'!$A$113:$I$133,5,0)),0%,VLOOKUP(A74,'Données projet'!$A$113:$I$133,5,0)*VLOOKUP('Données projet'!$B$12,Paramètres!$A$1:$I$89,7,0))</f>
        <v>0.30099999999999999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24.31341090072662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24.31341090072662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203.99183999999988</v>
      </c>
      <c r="CV74" s="13">
        <f t="shared" si="95"/>
        <v>50.620441749347997</v>
      </c>
      <c r="CW74" s="20">
        <f t="shared" si="67"/>
        <v>443.44972404678083</v>
      </c>
      <c r="CX74" s="59">
        <f t="shared" si="68"/>
        <v>736.78305738011409</v>
      </c>
      <c r="CY74" s="59">
        <f ca="1">AVERAGE(OFFSET($CX$3,0,0,'Données projet'!$E$13+1,1))-AVERAGE(OFFSET($H$3,0,0,'Données projet'!$E$13+1,1))</f>
        <v>299.10536994156814</v>
      </c>
      <c r="CZ74" s="59">
        <f t="shared" si="96"/>
        <v>292.57799203101769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26.445265708964623</v>
      </c>
      <c r="DG74" s="21">
        <f>EXP(-LN(2)/25)*DG73+(1-EXP(-LN(2)/25))/(LN(2)/25)*Calculateur!DB74*Calculateur!DD74*VLOOKUP('Données projet'!$B$13,Paramètres!$A$1:$I$89,3,0)*0.475*44/12</f>
        <v>9.556237711127828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36.001503420092448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203.99183999999988</v>
      </c>
      <c r="DQ74" s="13">
        <f t="shared" si="97"/>
        <v>50.620441749347997</v>
      </c>
      <c r="DR74" s="20">
        <f t="shared" si="70"/>
        <v>443.44972404678083</v>
      </c>
      <c r="DS74" s="59">
        <f t="shared" si="71"/>
        <v>736.78305738011409</v>
      </c>
      <c r="DT74" s="59">
        <f ca="1">AVERAGE(OFFSET($DS$3,0,0,'Données projet'!$E$14+1,1))-AVERAGE(OFFSET($H$3,0,0,'Données projet'!$E$14+1,1))</f>
        <v>299.10536994156814</v>
      </c>
      <c r="DU74" s="59">
        <f t="shared" si="98"/>
        <v>292.57799203101769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26.445265708964623</v>
      </c>
      <c r="EB74" s="21">
        <f>EXP(-LN(2)/25)*EB73+(1-EXP(-LN(2)/25))/(LN(2)/25)*Calculateur!DW74*Calculateur!DY74*VLOOKUP('Données projet'!$B$14,Paramètres!$A$1:$I$89,3,0)*0.475*44/12</f>
        <v>9.556237711127828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36.001503420092448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</v>
      </c>
      <c r="EJ74" s="12">
        <f>IF('Données projet'!$A$192&gt;35,EJ73+EI74-ER73,IF(A74&lt;'Données projet'!$A$192,$EG$205^A74,IF(A74='Données projet'!$A$192,'Données projet'!$B$192,EJ73+EI74-ER73)))</f>
        <v>192.00000000000011</v>
      </c>
      <c r="EK74" s="17">
        <f>EJ74*VLOOKUP('Données projet'!$B$15,Paramètres!$A$1:$I$89,3,0)*VLOOKUP('Données projet'!$B$15,Paramètres!$A$1:$I$89,5,0)</f>
        <v>125.79840000000007</v>
      </c>
      <c r="EL74" s="13">
        <f t="shared" si="99"/>
        <v>33.023644363399953</v>
      </c>
      <c r="EM74" s="20">
        <f t="shared" si="73"/>
        <v>276.61506059958839</v>
      </c>
      <c r="EN74" s="59">
        <f t="shared" si="74"/>
        <v>569.9483939329217</v>
      </c>
      <c r="EO74" s="59">
        <f ca="1">AVERAGE(OFFSET($EN$3,0,0,'Données projet'!$E$15+1,1))-AVERAGE(OFFSET($H$3,0,0,'Données projet'!$E$15+1,1))</f>
        <v>230.58262378842818</v>
      </c>
      <c r="EP74" s="59">
        <f t="shared" si="100"/>
        <v>235.68746142880792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0.51908385236980958</v>
      </c>
      <c r="EW74" s="21">
        <f>EXP(-LN(2)/25)*EW73+(1-EXP(-LN(2)/25))/(LN(2)/25)*Calculateur!ER74*Calculateur!ET74*VLOOKUP('Données projet'!$B$15,Paramètres!$A$1:$I$89,3,0)*0.475*44/12</f>
        <v>8.3693865217557466</v>
      </c>
      <c r="EX74" s="21">
        <f>EXP(-LN(2)/2)*EX73+(1-EXP(-LN(2)/2))/(LN(2)/2)*ER74*EU74*VLOOKUP('Données projet'!$B$15,Paramètres!$A$1:$I$89,3,0)*0.475*44/12</f>
        <v>2.7423069788365941</v>
      </c>
      <c r="EY74" s="22">
        <f t="shared" si="75"/>
        <v>11.630777352962152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4.5999999999999996</v>
      </c>
      <c r="FE74" s="12">
        <f>IF('Données projet'!$A$218&gt;35,FE73+FD74-FM73,IF(A74&lt;'Données projet'!$A$218,$FB$205^A74,IF(A74='Données projet'!$A$218,'Données projet'!$B$218,FE73+FD74-FM73)))</f>
        <v>208.60000000000014</v>
      </c>
      <c r="FF74" s="17">
        <f>FE74*VLOOKUP('Données projet'!$B$16,Paramètres!$A$1:$I$89,3,0)*VLOOKUP('Données projet'!$B$16,Paramètres!$A$1:$I$89,5,0)</f>
        <v>169.21632000000014</v>
      </c>
      <c r="FG74" s="13">
        <f t="shared" si="101"/>
        <v>42.91445816325745</v>
      </c>
      <c r="FH74" s="20">
        <f t="shared" si="76"/>
        <v>369.46110530100697</v>
      </c>
      <c r="FI74" s="59">
        <f t="shared" si="77"/>
        <v>662.79443863434028</v>
      </c>
      <c r="FJ74" s="59">
        <f ca="1">AVERAGE(OFFSET($FI$3,0,0,'Données projet'!$E$16+1,1))-AVERAGE(OFFSET($H$3,0,0,'Données projet'!$E$16+1,1))</f>
        <v>272.90535195666996</v>
      </c>
      <c r="FK74" s="59">
        <f t="shared" si="102"/>
        <v>222.25422164416898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1.008627055339564</v>
      </c>
      <c r="FR74" s="21">
        <f>EXP(-LN(2)/25)*FR73+(1-EXP(-LN(2)/25))/(LN(2)/25)*Calculateur!FM74*Calculateur!FO74*VLOOKUP('Données projet'!$B$16,Paramètres!$A$1:$I$89,3,0)*0.475*44/12</f>
        <v>8.4474697223172761</v>
      </c>
      <c r="FS74" s="21">
        <f>EXP(-LN(2)/2)*FS73+(1-EXP(-LN(2)/2))/(LN(2)/2)*FM74*FP74*VLOOKUP('Données projet'!$B$16,Paramètres!$A$1:$I$89,3,0)*0.475*44/12</f>
        <v>2.7611991092795702</v>
      </c>
      <c r="FT74" s="22">
        <f t="shared" si="78"/>
        <v>12.217295886936411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709.51341950465337</v>
      </c>
      <c r="S75" s="59">
        <f ca="1">AVERAGE(OFFSET($R$3,0,0,'Données projet'!$E$9+1,1))-AVERAGE(OFFSET($H$3,0,0,'Données projet'!$E$9+1,1))</f>
        <v>384.05928630855732</v>
      </c>
      <c r="T75" s="59">
        <f t="shared" si="88"/>
        <v>279.93992813630513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304.99999999999983</v>
      </c>
      <c r="AJ75" s="13">
        <f>AI75*VLOOKUP('Données projet'!$B$10,Paramètres!$A$1:$I$89,3,0)*VLOOKUP('Données projet'!$B$10,Paramètres!$A$1:$I$89,5,0)</f>
        <v>275.96399999999983</v>
      </c>
      <c r="AK75" s="13">
        <f t="shared" si="89"/>
        <v>66.113366665488854</v>
      </c>
      <c r="AL75" s="20">
        <f t="shared" si="58"/>
        <v>595.78474694239264</v>
      </c>
      <c r="AM75" s="59">
        <f t="shared" si="59"/>
        <v>889.11808027572602</v>
      </c>
      <c r="AN75" s="59">
        <f ca="1">AVERAGE(OFFSET($AM$3,0,0,'Données projet'!$E$10+1,1))-AVERAGE(OFFSET($H$3,0,0,'Données projet'!$E$10+1,1))</f>
        <v>366.69125512029831</v>
      </c>
      <c r="AO75" s="59">
        <f t="shared" si="90"/>
        <v>513.80016421153414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0.70352095707590601</v>
      </c>
      <c r="AV75" s="21">
        <f>EXP(-LN(2)/25)*AV74+(1-EXP(-LN(2)/25))/(LN(2)/25)*Calculateur!AQ75*Calculateur!AS75*VLOOKUP('Données projet'!$B$10,Paramètres!$A$1:$I$89,3,0)*0.475*44/12</f>
        <v>2.3041074695548165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3.0076284266307223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199.00608000000003</v>
      </c>
      <c r="BF75" s="13">
        <f t="shared" si="91"/>
        <v>49.525670897515027</v>
      </c>
      <c r="BG75" s="20">
        <f t="shared" si="61"/>
        <v>432.85946614650538</v>
      </c>
      <c r="BH75" s="59">
        <f t="shared" si="62"/>
        <v>726.19279947983864</v>
      </c>
      <c r="BI75" s="59">
        <f ca="1">AVERAGE(OFFSET($BH$3,0,0,'Données projet'!$E$11+1,1))-AVERAGE(OFFSET($H$3,0,0,'Données projet'!$E$11+1,1))</f>
        <v>354.24684313982857</v>
      </c>
      <c r="BJ75" s="59">
        <f t="shared" si="92"/>
        <v>322.65043486962185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18.482438767803764</v>
      </c>
      <c r="BQ75" s="21">
        <f>EXP(-LN(2)/25)*BQ74+(1-EXP(-LN(2)/25))/(LN(2)/25)*Calculateur!BL75*Calculateur!BN75*VLOOKUP('Données projet'!$B$11,Paramètres!$A$1:$I$89,3,0)*0.475*44/12</f>
        <v>18.902988686244203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37.385427454047971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7.8425925925925934</v>
      </c>
      <c r="BY75" s="12">
        <f>IF('Données projet'!$A$114&gt;35,BY74+BX75-CG74,IF(A75&lt;'Données projet'!$A$114,$BV$205^A75,IF(A75='Données projet'!$A$114,'Données projet'!$B$114,BY74+BX75-CG74)))</f>
        <v>211.27207977208002</v>
      </c>
      <c r="BZ75" s="13">
        <f>BY75*VLOOKUP('Données projet'!$B$12,Paramètres!$A$1:$I$89,3,0)*VLOOKUP('Données projet'!$B$12,Paramètres!$A$1:$I$89,5,0)</f>
        <v>204.3423555555558</v>
      </c>
      <c r="CA75" s="13">
        <f t="shared" si="93"/>
        <v>50.697289778385127</v>
      </c>
      <c r="CB75" s="20">
        <f t="shared" si="64"/>
        <v>444.19404895661381</v>
      </c>
      <c r="CC75" s="59">
        <f t="shared" si="65"/>
        <v>737.52738228994713</v>
      </c>
      <c r="CD75" s="59">
        <f ca="1">AVERAGE(OFFSET($CC$3,0,0,'Données projet'!$E$12+1,1))-AVERAGE(OFFSET($H$3,0,0,'Données projet'!$E$12+1,1))</f>
        <v>407.73540492005355</v>
      </c>
      <c r="CE75" s="59">
        <f t="shared" si="94"/>
        <v>296.29416764204774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23.836639742679708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23.836639742679708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206.69687999999991</v>
      </c>
      <c r="CV75" s="13">
        <f t="shared" si="95"/>
        <v>51.213106197404436</v>
      </c>
      <c r="CW75" s="20">
        <f t="shared" si="67"/>
        <v>449.1932259604792</v>
      </c>
      <c r="CX75" s="59">
        <f t="shared" si="68"/>
        <v>742.52655929381251</v>
      </c>
      <c r="CY75" s="59">
        <f ca="1">AVERAGE(OFFSET($CX$3,0,0,'Données projet'!$E$13+1,1))-AVERAGE(OFFSET($H$3,0,0,'Données projet'!$E$13+1,1))</f>
        <v>299.10536994156814</v>
      </c>
      <c r="CZ75" s="59">
        <f t="shared" si="96"/>
        <v>292.57799203101769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25.926690178431201</v>
      </c>
      <c r="DG75" s="21">
        <f>EXP(-LN(2)/25)*DG74+(1-EXP(-LN(2)/25))/(LN(2)/25)*Calculateur!DB75*Calculateur!DD75*VLOOKUP('Données projet'!$B$13,Paramètres!$A$1:$I$89,3,0)*0.475*44/12</f>
        <v>9.2949218883763383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35.221612066807538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206.69687999999991</v>
      </c>
      <c r="DQ75" s="13">
        <f t="shared" si="97"/>
        <v>51.213106197404436</v>
      </c>
      <c r="DR75" s="20">
        <f t="shared" si="70"/>
        <v>449.1932259604792</v>
      </c>
      <c r="DS75" s="59">
        <f t="shared" si="71"/>
        <v>742.52655929381251</v>
      </c>
      <c r="DT75" s="59">
        <f ca="1">AVERAGE(OFFSET($DS$3,0,0,'Données projet'!$E$14+1,1))-AVERAGE(OFFSET($H$3,0,0,'Données projet'!$E$14+1,1))</f>
        <v>299.10536994156814</v>
      </c>
      <c r="DU75" s="59">
        <f t="shared" si="98"/>
        <v>292.57799203101769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25.926690178431201</v>
      </c>
      <c r="EB75" s="21">
        <f>EXP(-LN(2)/25)*EB74+(1-EXP(-LN(2)/25))/(LN(2)/25)*Calculateur!DW75*Calculateur!DY75*VLOOKUP('Données projet'!$B$14,Paramètres!$A$1:$I$89,3,0)*0.475*44/12</f>
        <v>9.2949218883763383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35.221612066807538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</v>
      </c>
      <c r="EJ75" s="12">
        <f>IF('Données projet'!$A$192&gt;35,EJ74+EI75-ER74,IF(A75&lt;'Données projet'!$A$192,$EG$205^A75,IF(A75='Données projet'!$A$192,'Données projet'!$B$192,EJ74+EI75-ER74)))</f>
        <v>196.00000000000011</v>
      </c>
      <c r="EK75" s="17">
        <f>EJ75*VLOOKUP('Données projet'!$B$15,Paramètres!$A$1:$I$89,3,0)*VLOOKUP('Données projet'!$B$15,Paramètres!$A$1:$I$89,5,0)</f>
        <v>128.41920000000007</v>
      </c>
      <c r="EL75" s="13">
        <f t="shared" si="99"/>
        <v>33.630823177860762</v>
      </c>
      <c r="EM75" s="20">
        <f t="shared" si="73"/>
        <v>282.23712370144091</v>
      </c>
      <c r="EN75" s="59">
        <f t="shared" si="74"/>
        <v>575.57045703477422</v>
      </c>
      <c r="EO75" s="59">
        <f ca="1">AVERAGE(OFFSET($EN$3,0,0,'Données projet'!$E$15+1,1))-AVERAGE(OFFSET($H$3,0,0,'Données projet'!$E$15+1,1))</f>
        <v>230.58262378842818</v>
      </c>
      <c r="EP75" s="59">
        <f t="shared" si="100"/>
        <v>235.68746142880792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0.50890493463472497</v>
      </c>
      <c r="EW75" s="21">
        <f>EXP(-LN(2)/25)*EW74+(1-EXP(-LN(2)/25))/(LN(2)/25)*Calculateur!ER75*Calculateur!ET75*VLOOKUP('Données projet'!$B$15,Paramètres!$A$1:$I$89,3,0)*0.475*44/12</f>
        <v>8.1405252071914269</v>
      </c>
      <c r="EX75" s="21">
        <f>EXP(-LN(2)/2)*EX74+(1-EXP(-LN(2)/2))/(LN(2)/2)*ER75*EU75*VLOOKUP('Données projet'!$B$15,Paramètres!$A$1:$I$89,3,0)*0.475*44/12</f>
        <v>1.93910386083055</v>
      </c>
      <c r="EY75" s="22">
        <f t="shared" si="75"/>
        <v>10.588534002656701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4.5999999999999996</v>
      </c>
      <c r="FE75" s="12">
        <f>IF('Données projet'!$A$218&gt;35,FE74+FD75-FM74,IF(A75&lt;'Données projet'!$A$218,$FB$205^A75,IF(A75='Données projet'!$A$218,'Données projet'!$B$218,FE74+FD75-FM74)))</f>
        <v>213.20000000000013</v>
      </c>
      <c r="FF75" s="17">
        <f>FE75*VLOOKUP('Données projet'!$B$16,Paramètres!$A$1:$I$89,3,0)*VLOOKUP('Données projet'!$B$16,Paramètres!$A$1:$I$89,5,0)</f>
        <v>172.94784000000013</v>
      </c>
      <c r="FG75" s="13">
        <f t="shared" si="101"/>
        <v>43.749579650768077</v>
      </c>
      <c r="FH75" s="20">
        <f t="shared" si="76"/>
        <v>377.41467255842127</v>
      </c>
      <c r="FI75" s="59">
        <f t="shared" si="77"/>
        <v>670.74800589175459</v>
      </c>
      <c r="FJ75" s="59">
        <f ca="1">AVERAGE(OFFSET($FI$3,0,0,'Données projet'!$E$16+1,1))-AVERAGE(OFFSET($H$3,0,0,'Données projet'!$E$16+1,1))</f>
        <v>272.90535195666996</v>
      </c>
      <c r="FK75" s="59">
        <f t="shared" si="102"/>
        <v>222.25422164416898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0.98884849398611274</v>
      </c>
      <c r="FR75" s="21">
        <f>EXP(-LN(2)/25)*FR74+(1-EXP(-LN(2)/25))/(LN(2)/25)*Calculateur!FM75*Calculateur!FO75*VLOOKUP('Données projet'!$B$16,Paramètres!$A$1:$I$89,3,0)*0.475*44/12</f>
        <v>8.2164732185273852</v>
      </c>
      <c r="FS75" s="21">
        <f>EXP(-LN(2)/2)*FS74+(1-EXP(-LN(2)/2))/(LN(2)/2)*FM75*FP75*VLOOKUP('Données projet'!$B$16,Paramètres!$A$1:$I$89,3,0)*0.475*44/12</f>
        <v>1.9524626143778392</v>
      </c>
      <c r="FT75" s="22">
        <f t="shared" si="78"/>
        <v>11.157784326891338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724.59685640532052</v>
      </c>
      <c r="S76" s="59">
        <f ca="1">AVERAGE(OFFSET($R$3,0,0,'Données projet'!$E$9+1,1))-AVERAGE(OFFSET($H$3,0,0,'Données projet'!$E$9+1,1))</f>
        <v>384.05928630855732</v>
      </c>
      <c r="T76" s="59">
        <f t="shared" si="88"/>
        <v>279.93992813630513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304.99999999999983</v>
      </c>
      <c r="AJ76" s="13">
        <f>AI76*VLOOKUP('Données projet'!$B$10,Paramètres!$A$1:$I$89,3,0)*VLOOKUP('Données projet'!$B$10,Paramètres!$A$1:$I$89,5,0)</f>
        <v>275.96399999999983</v>
      </c>
      <c r="AK76" s="13">
        <f t="shared" si="89"/>
        <v>66.113366665488854</v>
      </c>
      <c r="AL76" s="20">
        <f t="shared" si="58"/>
        <v>595.78474694239264</v>
      </c>
      <c r="AM76" s="59">
        <f t="shared" si="59"/>
        <v>889.11808027572602</v>
      </c>
      <c r="AN76" s="59">
        <f ca="1">AVERAGE(OFFSET($AM$3,0,0,'Données projet'!$E$10+1,1))-AVERAGE(OFFSET($H$3,0,0,'Données projet'!$E$10+1,1))</f>
        <v>366.69125512029831</v>
      </c>
      <c r="AO76" s="59">
        <f t="shared" si="90"/>
        <v>513.80016421153414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0.68972534021306064</v>
      </c>
      <c r="AV76" s="21">
        <f>EXP(-LN(2)/25)*AV75+(1-EXP(-LN(2)/25))/(LN(2)/25)*Calculateur!AQ76*Calculateur!AS76*VLOOKUP('Données projet'!$B$10,Paramètres!$A$1:$I$89,3,0)*0.475*44/12</f>
        <v>2.2411015296320942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2.9308268698451547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202.84992000000003</v>
      </c>
      <c r="BF76" s="13">
        <f t="shared" si="91"/>
        <v>50.369977187686075</v>
      </c>
      <c r="BG76" s="20">
        <f t="shared" si="61"/>
        <v>441.02465426855332</v>
      </c>
      <c r="BH76" s="59">
        <f t="shared" si="62"/>
        <v>734.35798760188663</v>
      </c>
      <c r="BI76" s="59">
        <f ca="1">AVERAGE(OFFSET($BH$3,0,0,'Données projet'!$E$11+1,1))-AVERAGE(OFFSET($H$3,0,0,'Données projet'!$E$11+1,1))</f>
        <v>354.24684313982857</v>
      </c>
      <c r="BJ76" s="59">
        <f t="shared" si="92"/>
        <v>322.65043486962185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18.120009416741645</v>
      </c>
      <c r="BQ76" s="21">
        <f>EXP(-LN(2)/25)*BQ75+(1-EXP(-LN(2)/25))/(LN(2)/25)*Calculateur!BL76*Calculateur!BN76*VLOOKUP('Données projet'!$B$11,Paramètres!$A$1:$I$89,3,0)*0.475*44/12</f>
        <v>18.386085466553883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36.506094883295532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7.8425925925925934</v>
      </c>
      <c r="BY76" s="12">
        <f>IF('Données projet'!$A$114&gt;35,BY75+BX76-CG75,IF(A76&lt;'Données projet'!$A$114,$BV$205^A76,IF(A76='Données projet'!$A$114,'Données projet'!$B$114,BY75+BX76-CG75)))</f>
        <v>219.1146723646726</v>
      </c>
      <c r="BZ76" s="13">
        <f>BY76*VLOOKUP('Données projet'!$B$12,Paramètres!$A$1:$I$89,3,0)*VLOOKUP('Données projet'!$B$12,Paramètres!$A$1:$I$89,5,0)</f>
        <v>211.92771111111134</v>
      </c>
      <c r="CA76" s="13">
        <f t="shared" si="93"/>
        <v>52.356614786473038</v>
      </c>
      <c r="CB76" s="20">
        <f t="shared" si="64"/>
        <v>460.29520093829274</v>
      </c>
      <c r="CC76" s="59">
        <f t="shared" si="65"/>
        <v>753.62853427162599</v>
      </c>
      <c r="CD76" s="59">
        <f ca="1">AVERAGE(OFFSET($CC$3,0,0,'Données projet'!$E$12+1,1))-AVERAGE(OFFSET($H$3,0,0,'Données projet'!$E$12+1,1))</f>
        <v>407.73540492005355</v>
      </c>
      <c r="CE76" s="59">
        <f t="shared" si="94"/>
        <v>296.29416764204774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23.369217776240404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23.369217776240404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209.40191999999988</v>
      </c>
      <c r="CV76" s="13">
        <f t="shared" si="95"/>
        <v>51.804868484579039</v>
      </c>
      <c r="CW76" s="20">
        <f t="shared" si="67"/>
        <v>454.93515661064157</v>
      </c>
      <c r="CX76" s="59">
        <f t="shared" si="68"/>
        <v>748.26848994397483</v>
      </c>
      <c r="CY76" s="59">
        <f ca="1">AVERAGE(OFFSET($CX$3,0,0,'Données projet'!$E$13+1,1))-AVERAGE(OFFSET($H$3,0,0,'Données projet'!$E$13+1,1))</f>
        <v>299.10536994156814</v>
      </c>
      <c r="CZ76" s="59">
        <f t="shared" si="96"/>
        <v>292.57799203101769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25.418283597751699</v>
      </c>
      <c r="DG76" s="21">
        <f>EXP(-LN(2)/25)*DG75+(1-EXP(-LN(2)/25))/(LN(2)/25)*Calculateur!DB76*Calculateur!DD76*VLOOKUP('Données projet'!$B$13,Paramètres!$A$1:$I$89,3,0)*0.475*44/12</f>
        <v>9.0407517605399885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34.459035358291686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209.40191999999988</v>
      </c>
      <c r="DQ76" s="13">
        <f t="shared" si="97"/>
        <v>51.804868484579039</v>
      </c>
      <c r="DR76" s="20">
        <f t="shared" si="70"/>
        <v>454.93515661064157</v>
      </c>
      <c r="DS76" s="59">
        <f t="shared" si="71"/>
        <v>748.26848994397483</v>
      </c>
      <c r="DT76" s="59">
        <f ca="1">AVERAGE(OFFSET($DS$3,0,0,'Données projet'!$E$14+1,1))-AVERAGE(OFFSET($H$3,0,0,'Données projet'!$E$14+1,1))</f>
        <v>299.10536994156814</v>
      </c>
      <c r="DU76" s="59">
        <f t="shared" si="98"/>
        <v>292.57799203101769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25.418283597751699</v>
      </c>
      <c r="EB76" s="21">
        <f>EXP(-LN(2)/25)*EB75+(1-EXP(-LN(2)/25))/(LN(2)/25)*Calculateur!DW76*Calculateur!DY76*VLOOKUP('Données projet'!$B$14,Paramètres!$A$1:$I$89,3,0)*0.475*44/12</f>
        <v>9.0407517605399885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34.459035358291686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</v>
      </c>
      <c r="EJ76" s="12">
        <f>IF('Données projet'!$A$192&gt;35,EJ75+EI76-ER75,IF(A76&lt;'Données projet'!$A$192,$EG$205^A76,IF(A76='Données projet'!$A$192,'Données projet'!$B$192,EJ75+EI76-ER75)))</f>
        <v>200.00000000000011</v>
      </c>
      <c r="EK76" s="17">
        <f>EJ76*VLOOKUP('Données projet'!$B$15,Paramètres!$A$1:$I$89,3,0)*VLOOKUP('Données projet'!$B$15,Paramètres!$A$1:$I$89,5,0)</f>
        <v>131.04000000000008</v>
      </c>
      <c r="EL76" s="13">
        <f t="shared" si="99"/>
        <v>34.236561238949918</v>
      </c>
      <c r="EM76" s="20">
        <f t="shared" si="73"/>
        <v>287.85667749117118</v>
      </c>
      <c r="EN76" s="59">
        <f t="shared" si="74"/>
        <v>581.1900108245045</v>
      </c>
      <c r="EO76" s="59">
        <f ca="1">AVERAGE(OFFSET($EN$3,0,0,'Données projet'!$E$15+1,1))-AVERAGE(OFFSET($H$3,0,0,'Données projet'!$E$15+1,1))</f>
        <v>230.58262378842818</v>
      </c>
      <c r="EP76" s="59">
        <f t="shared" si="100"/>
        <v>235.68746142880792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0.49892561926789858</v>
      </c>
      <c r="EW76" s="21">
        <f>EXP(-LN(2)/25)*EW75+(1-EXP(-LN(2)/25))/(LN(2)/25)*Calculateur!ER76*Calculateur!ET76*VLOOKUP('Données projet'!$B$15,Paramètres!$A$1:$I$89,3,0)*0.475*44/12</f>
        <v>7.9179221173091623</v>
      </c>
      <c r="EX76" s="21">
        <f>EXP(-LN(2)/2)*EX75+(1-EXP(-LN(2)/2))/(LN(2)/2)*ER76*EU76*VLOOKUP('Données projet'!$B$15,Paramètres!$A$1:$I$89,3,0)*0.475*44/12</f>
        <v>1.3711534894182973</v>
      </c>
      <c r="EY76" s="22">
        <f t="shared" si="75"/>
        <v>9.7880012259953588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4.5999999999999996</v>
      </c>
      <c r="FE76" s="12">
        <f>IF('Données projet'!$A$218&gt;35,FE75+FD76-FM75,IF(A76&lt;'Données projet'!$A$218,$FB$205^A76,IF(A76='Données projet'!$A$218,'Données projet'!$B$218,FE75+FD76-FM75)))</f>
        <v>217.80000000000013</v>
      </c>
      <c r="FF76" s="17">
        <f>FE76*VLOOKUP('Données projet'!$B$16,Paramètres!$A$1:$I$89,3,0)*VLOOKUP('Données projet'!$B$16,Paramètres!$A$1:$I$89,5,0)</f>
        <v>176.67936000000012</v>
      </c>
      <c r="FG76" s="13">
        <f t="shared" si="101"/>
        <v>44.5826062365838</v>
      </c>
      <c r="FH76" s="20">
        <f t="shared" si="76"/>
        <v>385.36459119538364</v>
      </c>
      <c r="FI76" s="59">
        <f t="shared" si="77"/>
        <v>678.69792452871695</v>
      </c>
      <c r="FJ76" s="59">
        <f ca="1">AVERAGE(OFFSET($FI$3,0,0,'Données projet'!$E$16+1,1))-AVERAGE(OFFSET($H$3,0,0,'Données projet'!$E$16+1,1))</f>
        <v>272.90535195666996</v>
      </c>
      <c r="FK76" s="59">
        <f t="shared" si="102"/>
        <v>222.25422164416898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0.96945777815707146</v>
      </c>
      <c r="FR76" s="21">
        <f>EXP(-LN(2)/25)*FR75+(1-EXP(-LN(2)/25))/(LN(2)/25)*Calculateur!FM76*Calculateur!FO76*VLOOKUP('Données projet'!$B$16,Paramètres!$A$1:$I$89,3,0)*0.475*44/12</f>
        <v>7.991793326281206</v>
      </c>
      <c r="FS76" s="21">
        <f>EXP(-LN(2)/2)*FS75+(1-EXP(-LN(2)/2))/(LN(2)/2)*FM76*FP76*VLOOKUP('Données projet'!$B$16,Paramètres!$A$1:$I$89,3,0)*0.475*44/12</f>
        <v>1.3805995546397853</v>
      </c>
      <c r="FT76" s="22">
        <f t="shared" si="78"/>
        <v>10.341850659078062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739.66896307022137</v>
      </c>
      <c r="S77" s="59">
        <f ca="1">AVERAGE(OFFSET($R$3,0,0,'Données projet'!$E$9+1,1))-AVERAGE(OFFSET($H$3,0,0,'Données projet'!$E$9+1,1))</f>
        <v>384.05928630855732</v>
      </c>
      <c r="T77" s="59">
        <f t="shared" si="88"/>
        <v>279.93992813630513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304.99999999999983</v>
      </c>
      <c r="AJ77" s="13">
        <f>AI77*VLOOKUP('Données projet'!$B$10,Paramètres!$A$1:$I$89,3,0)*VLOOKUP('Données projet'!$B$10,Paramètres!$A$1:$I$89,5,0)</f>
        <v>275.96399999999983</v>
      </c>
      <c r="AK77" s="13">
        <f t="shared" si="89"/>
        <v>66.113366665488854</v>
      </c>
      <c r="AL77" s="20">
        <f t="shared" si="58"/>
        <v>595.78474694239264</v>
      </c>
      <c r="AM77" s="59">
        <f t="shared" si="59"/>
        <v>889.11808027572602</v>
      </c>
      <c r="AN77" s="59">
        <f ca="1">AVERAGE(OFFSET($AM$3,0,0,'Données projet'!$E$10+1,1))-AVERAGE(OFFSET($H$3,0,0,'Données projet'!$E$10+1,1))</f>
        <v>366.69125512029831</v>
      </c>
      <c r="AO77" s="59">
        <f t="shared" si="90"/>
        <v>513.80016421153414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0.67620024698240033</v>
      </c>
      <c r="AV77" s="21">
        <f>EXP(-LN(2)/25)*AV76+(1-EXP(-LN(2)/25))/(LN(2)/25)*Calculateur!AQ77*Calculateur!AS77*VLOOKUP('Données projet'!$B$10,Paramètres!$A$1:$I$89,3,0)*0.475*44/12</f>
        <v>2.1798184904498972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2.8560187374322976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206.69376000000005</v>
      </c>
      <c r="BF77" s="13">
        <f t="shared" si="91"/>
        <v>51.212423138937325</v>
      </c>
      <c r="BG77" s="20">
        <f t="shared" si="61"/>
        <v>449.18660230031583</v>
      </c>
      <c r="BH77" s="59">
        <f t="shared" si="62"/>
        <v>742.51993563364908</v>
      </c>
      <c r="BI77" s="59">
        <f ca="1">AVERAGE(OFFSET($BH$3,0,0,'Données projet'!$E$11+1,1))-AVERAGE(OFFSET($H$3,0,0,'Données projet'!$E$11+1,1))</f>
        <v>354.24684313982857</v>
      </c>
      <c r="BJ77" s="59">
        <f t="shared" si="92"/>
        <v>322.65043486962185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17.764687084193781</v>
      </c>
      <c r="BQ77" s="21">
        <f>EXP(-LN(2)/25)*BQ76+(1-EXP(-LN(2)/25))/(LN(2)/25)*Calculateur!BL77*Calculateur!BN77*VLOOKUP('Données projet'!$B$11,Paramètres!$A$1:$I$89,3,0)*0.475*44/12</f>
        <v>17.883316992588753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35.648004076782534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7.8425925925925934</v>
      </c>
      <c r="BY77" s="12">
        <f>IF('Données projet'!$A$114&gt;35,BY76+BX77-CG76,IF(A77&lt;'Données projet'!$A$114,$BV$205^A77,IF(A77='Données projet'!$A$114,'Données projet'!$B$114,BY76+BX77-CG76)))</f>
        <v>226.95726495726518</v>
      </c>
      <c r="BZ77" s="13">
        <f>BY77*VLOOKUP('Données projet'!$B$12,Paramètres!$A$1:$I$89,3,0)*VLOOKUP('Données projet'!$B$12,Paramètres!$A$1:$I$89,5,0)</f>
        <v>219.5130666666669</v>
      </c>
      <c r="CA77" s="13">
        <f t="shared" si="93"/>
        <v>54.009039522270811</v>
      </c>
      <c r="CB77" s="20">
        <f t="shared" si="64"/>
        <v>476.38433494573314</v>
      </c>
      <c r="CC77" s="59">
        <f t="shared" si="65"/>
        <v>769.7176682790664</v>
      </c>
      <c r="CD77" s="59">
        <f ca="1">AVERAGE(OFFSET($CC$3,0,0,'Données projet'!$E$12+1,1))-AVERAGE(OFFSET($H$3,0,0,'Données projet'!$E$12+1,1))</f>
        <v>407.73540492005355</v>
      </c>
      <c r="CE77" s="59">
        <f t="shared" si="94"/>
        <v>296.29416764204774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22.910961669463727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22.910961669463727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212.10695999999984</v>
      </c>
      <c r="CV77" s="13">
        <f t="shared" si="95"/>
        <v>52.395741612408194</v>
      </c>
      <c r="CW77" s="20">
        <f t="shared" si="67"/>
        <v>460.67553864161067</v>
      </c>
      <c r="CX77" s="59">
        <f t="shared" si="68"/>
        <v>754.00887197494399</v>
      </c>
      <c r="CY77" s="59">
        <f ca="1">AVERAGE(OFFSET($CX$3,0,0,'Données projet'!$E$13+1,1))-AVERAGE(OFFSET($H$3,0,0,'Données projet'!$E$13+1,1))</f>
        <v>299.10536994156814</v>
      </c>
      <c r="CZ77" s="59">
        <f t="shared" si="96"/>
        <v>292.57799203101769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24.919846560021927</v>
      </c>
      <c r="DG77" s="21">
        <f>EXP(-LN(2)/25)*DG76+(1-EXP(-LN(2)/25))/(LN(2)/25)*Calculateur!DB77*Calculateur!DD77*VLOOKUP('Données projet'!$B$13,Paramètres!$A$1:$I$89,3,0)*0.475*44/12</f>
        <v>8.7935319282155504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33.713378488237481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212.10695999999984</v>
      </c>
      <c r="DQ77" s="13">
        <f t="shared" si="97"/>
        <v>52.395741612408194</v>
      </c>
      <c r="DR77" s="20">
        <f t="shared" si="70"/>
        <v>460.67553864161067</v>
      </c>
      <c r="DS77" s="59">
        <f t="shared" si="71"/>
        <v>754.00887197494399</v>
      </c>
      <c r="DT77" s="59">
        <f ca="1">AVERAGE(OFFSET($DS$3,0,0,'Données projet'!$E$14+1,1))-AVERAGE(OFFSET($H$3,0,0,'Données projet'!$E$14+1,1))</f>
        <v>299.10536994156814</v>
      </c>
      <c r="DU77" s="59">
        <f t="shared" si="98"/>
        <v>292.57799203101769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24.919846560021927</v>
      </c>
      <c r="EB77" s="21">
        <f>EXP(-LN(2)/25)*EB76+(1-EXP(-LN(2)/25))/(LN(2)/25)*Calculateur!DW77*Calculateur!DY77*VLOOKUP('Données projet'!$B$14,Paramètres!$A$1:$I$89,3,0)*0.475*44/12</f>
        <v>8.7935319282155504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33.713378488237481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</v>
      </c>
      <c r="EJ77" s="12">
        <f>IF('Données projet'!$A$192&gt;35,EJ76+EI77-ER76,IF(A77&lt;'Données projet'!$A$192,$EG$205^A77,IF(A77='Données projet'!$A$192,'Données projet'!$B$192,EJ76+EI77-ER76)))</f>
        <v>204.00000000000011</v>
      </c>
      <c r="EK77" s="17">
        <f>EJ77*VLOOKUP('Données projet'!$B$15,Paramètres!$A$1:$I$89,3,0)*VLOOKUP('Données projet'!$B$15,Paramètres!$A$1:$I$89,5,0)</f>
        <v>133.66080000000008</v>
      </c>
      <c r="EL77" s="13">
        <f t="shared" si="99"/>
        <v>34.840890682716747</v>
      </c>
      <c r="EM77" s="20">
        <f t="shared" si="73"/>
        <v>293.47377793906509</v>
      </c>
      <c r="EN77" s="59">
        <f t="shared" si="74"/>
        <v>586.8071112723984</v>
      </c>
      <c r="EO77" s="59">
        <f ca="1">AVERAGE(OFFSET($EN$3,0,0,'Données projet'!$E$15+1,1))-AVERAGE(OFFSET($H$3,0,0,'Données projet'!$E$15+1,1))</f>
        <v>230.58262378842818</v>
      </c>
      <c r="EP77" s="59">
        <f t="shared" si="100"/>
        <v>235.68746142880792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0.48914199218863424</v>
      </c>
      <c r="EW77" s="21">
        <f>EXP(-LN(2)/25)*EW76+(1-EXP(-LN(2)/25))/(LN(2)/25)*Calculateur!ER77*Calculateur!ET77*VLOOKUP('Données projet'!$B$15,Paramètres!$A$1:$I$89,3,0)*0.475*44/12</f>
        <v>7.7014061206259159</v>
      </c>
      <c r="EX77" s="21">
        <f>EXP(-LN(2)/2)*EX76+(1-EXP(-LN(2)/2))/(LN(2)/2)*ER77*EU77*VLOOKUP('Données projet'!$B$15,Paramètres!$A$1:$I$89,3,0)*0.475*44/12</f>
        <v>0.9695519304152751</v>
      </c>
      <c r="EY77" s="22">
        <f t="shared" si="75"/>
        <v>9.160100043229825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4.5999999999999996</v>
      </c>
      <c r="FE77" s="12">
        <f>IF('Données projet'!$A$218&gt;35,FE76+FD77-FM76,IF(A77&lt;'Données projet'!$A$218,$FB$205^A77,IF(A77='Données projet'!$A$218,'Données projet'!$B$218,FE76+FD77-FM76)))</f>
        <v>222.40000000000012</v>
      </c>
      <c r="FF77" s="17">
        <f>FE77*VLOOKUP('Données projet'!$B$16,Paramètres!$A$1:$I$89,3,0)*VLOOKUP('Données projet'!$B$16,Paramètres!$A$1:$I$89,5,0)</f>
        <v>180.41088000000011</v>
      </c>
      <c r="FG77" s="13">
        <f t="shared" si="101"/>
        <v>45.413587262495575</v>
      </c>
      <c r="FH77" s="20">
        <f t="shared" si="76"/>
        <v>393.31094714884665</v>
      </c>
      <c r="FI77" s="59">
        <f t="shared" si="77"/>
        <v>686.64428048217997</v>
      </c>
      <c r="FJ77" s="59">
        <f ca="1">AVERAGE(OFFSET($FI$3,0,0,'Données projet'!$E$16+1,1))-AVERAGE(OFFSET($H$3,0,0,'Données projet'!$E$16+1,1))</f>
        <v>272.90535195666996</v>
      </c>
      <c r="FK77" s="59">
        <f t="shared" si="102"/>
        <v>222.25422164416898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0.95044730243826892</v>
      </c>
      <c r="FR77" s="21">
        <f>EXP(-LN(2)/25)*FR76+(1-EXP(-LN(2)/25))/(LN(2)/25)*Calculateur!FM77*Calculateur!FO77*VLOOKUP('Données projet'!$B$16,Paramètres!$A$1:$I$89,3,0)*0.475*44/12</f>
        <v>7.7732573175039006</v>
      </c>
      <c r="FS77" s="21">
        <f>EXP(-LN(2)/2)*FS76+(1-EXP(-LN(2)/2))/(LN(2)/2)*FM77*FP77*VLOOKUP('Données projet'!$B$16,Paramètres!$A$1:$I$89,3,0)*0.475*44/12</f>
        <v>0.97623130718891971</v>
      </c>
      <c r="FT77" s="22">
        <f t="shared" si="78"/>
        <v>9.6999359271310901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754.73017589148367</v>
      </c>
      <c r="S78" s="59">
        <f ca="1">AVERAGE(OFFSET($R$3,0,0,'Données projet'!$E$9+1,1))-AVERAGE(OFFSET($H$3,0,0,'Données projet'!$E$9+1,1))</f>
        <v>384.05928630855732</v>
      </c>
      <c r="T78" s="59">
        <f t="shared" si="88"/>
        <v>279.93992813630513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304.99999999999983</v>
      </c>
      <c r="AJ78" s="13">
        <f>AI78*VLOOKUP('Données projet'!$B$10,Paramètres!$A$1:$I$89,3,0)*VLOOKUP('Données projet'!$B$10,Paramètres!$A$1:$I$89,5,0)</f>
        <v>275.96399999999983</v>
      </c>
      <c r="AK78" s="13">
        <f t="shared" si="89"/>
        <v>66.113366665488854</v>
      </c>
      <c r="AL78" s="20">
        <f t="shared" si="58"/>
        <v>595.78474694239264</v>
      </c>
      <c r="AM78" s="59">
        <f t="shared" si="59"/>
        <v>889.11808027572602</v>
      </c>
      <c r="AN78" s="59">
        <f ca="1">AVERAGE(OFFSET($AM$3,0,0,'Données projet'!$E$10+1,1))-AVERAGE(OFFSET($H$3,0,0,'Données projet'!$E$10+1,1))</f>
        <v>366.69125512029831</v>
      </c>
      <c r="AO78" s="59">
        <f t="shared" si="90"/>
        <v>513.80016421153414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0.66294037258050087</v>
      </c>
      <c r="AV78" s="21">
        <f>EXP(-LN(2)/25)*AV77+(1-EXP(-LN(2)/25))/(LN(2)/25)*Calculateur!AQ78*Calculateur!AS78*VLOOKUP('Données projet'!$B$10,Paramètres!$A$1:$I$89,3,0)*0.475*44/12</f>
        <v>2.1202112391968724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2.7831516117773734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210.53760000000005</v>
      </c>
      <c r="BF78" s="13">
        <f t="shared" si="91"/>
        <v>52.053047337322276</v>
      </c>
      <c r="BG78" s="20">
        <f t="shared" si="61"/>
        <v>457.34537744583628</v>
      </c>
      <c r="BH78" s="59">
        <f t="shared" si="62"/>
        <v>750.67871077916959</v>
      </c>
      <c r="BI78" s="59">
        <f ca="1">AVERAGE(OFFSET($BH$3,0,0,'Données projet'!$E$11+1,1))-AVERAGE(OFFSET($H$3,0,0,'Données projet'!$E$11+1,1))</f>
        <v>354.24684313982857</v>
      </c>
      <c r="BJ78" s="59">
        <f t="shared" si="92"/>
        <v>322.65043486962185</v>
      </c>
      <c r="BK78" s="15">
        <f>IF(ISNA(VLOOKUP(A78,'Données projet'!$A$87:$I$107,3,0)),0,VLOOKUP(A78,'Données projet'!$A$87:$I$107,3,0))</f>
        <v>12</v>
      </c>
      <c r="BL78" s="15" t="str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0.25800000000000001</v>
      </c>
      <c r="BN78" s="16">
        <f>IF(ISNA(VLOOKUP(A78,'Données projet'!$A$87:$I$107,6,0)),0%,VLOOKUP(A78,'Données projet'!$A$87:$I$107,6,0)*VLOOKUP('Données projet'!$B$11,Paramètres!$A$1:$I$89,7,0))</f>
        <v>0.129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21.402902682317578</v>
      </c>
      <c r="BQ78" s="21">
        <f>EXP(-LN(2)/25)*BQ77+(1-EXP(-LN(2)/25))/(LN(2)/25)*Calculateur!BL78*Calculateur!BN78*VLOOKUP('Données projet'!$B$11,Paramètres!$A$1:$I$89,3,0)*0.475*44/12</f>
        <v>19.379733564121072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40.782636246438649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7.8425925925925934</v>
      </c>
      <c r="BY78" s="12">
        <f>IF('Données projet'!$A$114&gt;35,BY77+BX78-CG77,IF(A78&lt;'Données projet'!$A$114,$BV$205^A78,IF(A78='Données projet'!$A$114,'Données projet'!$B$114,BY77+BX78-CG77)))</f>
        <v>234.79985754985776</v>
      </c>
      <c r="BZ78" s="13">
        <f>BY78*VLOOKUP('Données projet'!$B$12,Paramètres!$A$1:$I$89,3,0)*VLOOKUP('Données projet'!$B$12,Paramètres!$A$1:$I$89,5,0)</f>
        <v>227.09842222222244</v>
      </c>
      <c r="CA78" s="13">
        <f t="shared" si="93"/>
        <v>55.65482975469677</v>
      </c>
      <c r="CB78" s="20">
        <f t="shared" si="64"/>
        <v>492.46191385980097</v>
      </c>
      <c r="CC78" s="59">
        <f t="shared" si="65"/>
        <v>785.79524719313429</v>
      </c>
      <c r="CD78" s="59">
        <f ca="1">AVERAGE(OFFSET($CC$3,0,0,'Données projet'!$E$12+1,1))-AVERAGE(OFFSET($H$3,0,0,'Données projet'!$E$12+1,1))</f>
        <v>407.73540492005355</v>
      </c>
      <c r="CE78" s="59">
        <f t="shared" si="94"/>
        <v>296.29416764204774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22.461691685432314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22.461691685432314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214.81199999999981</v>
      </c>
      <c r="CV78" s="13">
        <f t="shared" si="95"/>
        <v>52.985738231738011</v>
      </c>
      <c r="CW78" s="20">
        <f t="shared" si="67"/>
        <v>466.41439408694333</v>
      </c>
      <c r="CX78" s="59">
        <f t="shared" si="68"/>
        <v>759.74772742027665</v>
      </c>
      <c r="CY78" s="59">
        <f ca="1">AVERAGE(OFFSET($CX$3,0,0,'Données projet'!$E$13+1,1))-AVERAGE(OFFSET($H$3,0,0,'Données projet'!$E$13+1,1))</f>
        <v>299.10536994156814</v>
      </c>
      <c r="CZ78" s="59">
        <f t="shared" si="96"/>
        <v>292.57799203101769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0.47170000000000001</v>
      </c>
      <c r="DD78" s="16">
        <f>IF(ISNA(VLOOKUP(A78,'Données projet'!$A$139:$I$159,6,0)),0%,VLOOKUP(A78,'Données projet'!$A$139:$I$159,6,0)*VLOOKUP('Données projet'!$B$13,Paramètres!$A$1:$I$89,7,0))</f>
        <v>5.8300000000000005E-2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28.164976855400631</v>
      </c>
      <c r="DG78" s="21">
        <f>EXP(-LN(2)/25)*DG77+(1-EXP(-LN(2)/25))/(LN(2)/25)*Calculateur!DB78*Calculateur!DD78*VLOOKUP('Données projet'!$B$13,Paramètres!$A$1:$I$89,3,0)*0.475*44/12</f>
        <v>9.0127353814937177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37.177712236894351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214.81199999999981</v>
      </c>
      <c r="DQ78" s="13">
        <f t="shared" si="97"/>
        <v>52.985738231738011</v>
      </c>
      <c r="DR78" s="20">
        <f t="shared" si="70"/>
        <v>466.41439408694333</v>
      </c>
      <c r="DS78" s="59">
        <f t="shared" si="71"/>
        <v>759.74772742027665</v>
      </c>
      <c r="DT78" s="59">
        <f ca="1">AVERAGE(OFFSET($DS$3,0,0,'Données projet'!$E$14+1,1))-AVERAGE(OFFSET($H$3,0,0,'Données projet'!$E$14+1,1))</f>
        <v>299.10536994156814</v>
      </c>
      <c r="DU78" s="59">
        <f t="shared" si="98"/>
        <v>292.57799203101769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0.47170000000000001</v>
      </c>
      <c r="DY78" s="16">
        <f>IF(ISNA(VLOOKUP(A78,'Données projet'!$A$165:$I$185,6,0)),0%,VLOOKUP(A78,'Données projet'!$A$165:$I$185,6,0)*VLOOKUP('Données projet'!$B$14,Paramètres!$A$1:$I$89,7,0))</f>
        <v>5.8300000000000005E-2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28.164976855400631</v>
      </c>
      <c r="EB78" s="21">
        <f>EXP(-LN(2)/25)*EB77+(1-EXP(-LN(2)/25))/(LN(2)/25)*Calculateur!DW78*Calculateur!DY78*VLOOKUP('Données projet'!$B$14,Paramètres!$A$1:$I$89,3,0)*0.475*44/12</f>
        <v>9.0127353814937177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37.177712236894351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208</v>
      </c>
      <c r="EH78" s="12">
        <f>VLOOKUP(A78,'Données projet'!$A$191:$I$211,9,0)</f>
        <v>4</v>
      </c>
      <c r="EI78" s="12">
        <f t="array" ref="EI78">INDEX(EH:EH,MIN(IF(ISNUMBER(EH78:EH274),ROW(EH78:EH274),"")))</f>
        <v>4</v>
      </c>
      <c r="EJ78" s="12">
        <f>IF('Données projet'!$A$192&gt;35,EJ77+EI78-ER77,IF(A78&lt;'Données projet'!$A$192,$EG$205^A78,IF(A78='Données projet'!$A$192,'Données projet'!$B$192,EJ77+EI78-ER77)))</f>
        <v>208.00000000000011</v>
      </c>
      <c r="EK78" s="17">
        <f>EJ78*VLOOKUP('Données projet'!$B$15,Paramètres!$A$1:$I$89,3,0)*VLOOKUP('Données projet'!$B$15,Paramètres!$A$1:$I$89,5,0)</f>
        <v>136.28160000000008</v>
      </c>
      <c r="EL78" s="13">
        <f t="shared" si="99"/>
        <v>35.443842312892279</v>
      </c>
      <c r="EM78" s="20">
        <f t="shared" si="73"/>
        <v>299.08847869495418</v>
      </c>
      <c r="EN78" s="59">
        <f t="shared" si="74"/>
        <v>592.42181202828749</v>
      </c>
      <c r="EO78" s="59">
        <f ca="1">AVERAGE(OFFSET($EN$3,0,0,'Données projet'!$E$15+1,1))-AVERAGE(OFFSET($H$3,0,0,'Données projet'!$E$15+1,1))</f>
        <v>230.58262378842818</v>
      </c>
      <c r="EP78" s="59">
        <f t="shared" si="100"/>
        <v>235.68746142880792</v>
      </c>
      <c r="EQ78" s="15">
        <f>IF(ISNA(VLOOKUP(A78,'Données projet'!$A$191:$I$211,3,0)),0,VLOOKUP(A78,'Données projet'!$A$191:$I$211,3,0))</f>
        <v>14</v>
      </c>
      <c r="ER78" s="15">
        <f>IF(ISNA(VLOOKUP(A78,'Données projet'!$A$191:$I$211,4,0)),0,VLOOKUP(A78,'Données projet'!$A$191:$I$211,4,0))</f>
        <v>16</v>
      </c>
      <c r="ES78" s="16">
        <f>IF(ISNA(VLOOKUP(A78,'Données projet'!$A$191:$I$211,5,0)),0%,VLOOKUP(A78,'Données projet'!$A$191:$I$211,5,0)*VLOOKUP('Données projet'!$B$15,Paramètres!$A$1:$I$89,7,0))</f>
        <v>4.3000000000000003E-2</v>
      </c>
      <c r="ET78" s="16">
        <f>IF(ISNA(VLOOKUP(A78,'Données projet'!$A$191:$I$211,6,0)),0%,VLOOKUP(A78,'Données projet'!$A$191:$I$211,6,0)*VLOOKUP('Données projet'!$B$15,Paramètres!$A$1:$I$89,7,0))</f>
        <v>0.17200000000000001</v>
      </c>
      <c r="EU78" s="16">
        <f>IF(ISNA(VLOOKUP(A78,'Données projet'!$A$191:$I$211,7,0)),0%,VLOOKUP(A78,'Données projet'!$A$191:$I$211,7,0))</f>
        <v>0.3</v>
      </c>
      <c r="EV78" s="21">
        <f>EXP(-LN(2)/35)*EV77+(1-EXP(-LN(2)/35))/(LN(2)/35)*ER78*ES78*VLOOKUP('Données projet'!$B$15,Paramètres!$A$1:$I$89,3,0)*0.475*44/12</f>
        <v>0.97787150062592343</v>
      </c>
      <c r="EW78" s="21">
        <f>EXP(-LN(2)/25)*EW77+(1-EXP(-LN(2)/25))/(LN(2)/25)*Calculateur!ER78*Calculateur!ET78*VLOOKUP('Données projet'!$B$15,Paramètres!$A$1:$I$89,3,0)*0.475*44/12</f>
        <v>9.47624758039548</v>
      </c>
      <c r="EX78" s="21">
        <f>EXP(-LN(2)/2)*EX77+(1-EXP(-LN(2)/2))/(LN(2)/2)*ER78*EU78*VLOOKUP('Données projet'!$B$15,Paramètres!$A$1:$I$89,3,0)*0.475*44/12</f>
        <v>3.6529311500665096</v>
      </c>
      <c r="EY78" s="22">
        <f t="shared" si="75"/>
        <v>14.107050231087912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227</v>
      </c>
      <c r="FC78" s="12">
        <f>VLOOKUP(A78,'Données projet'!$A$217:$I$237,9,0)</f>
        <v>4.5999999999999996</v>
      </c>
      <c r="FD78" s="12">
        <f t="array" ref="FD78">INDEX(FC:FC,MIN(IF(ISNUMBER(FC78:FC274),ROW(FC78:FC274),"")))</f>
        <v>4.5999999999999996</v>
      </c>
      <c r="FE78" s="12">
        <f>IF('Données projet'!$A$218&gt;35,FE77+FD78-FM77,IF(A78&lt;'Données projet'!$A$218,$FB$205^A78,IF(A78='Données projet'!$A$218,'Données projet'!$B$218,FE77+FD78-FM77)))</f>
        <v>227.00000000000011</v>
      </c>
      <c r="FF78" s="17">
        <f>FE78*VLOOKUP('Données projet'!$B$16,Paramètres!$A$1:$I$89,3,0)*VLOOKUP('Données projet'!$B$16,Paramètres!$A$1:$I$89,5,0)</f>
        <v>184.14240000000009</v>
      </c>
      <c r="FG78" s="13">
        <f t="shared" si="101"/>
        <v>46.242569912520345</v>
      </c>
      <c r="FH78" s="20">
        <f t="shared" si="76"/>
        <v>401.25382259763973</v>
      </c>
      <c r="FI78" s="59">
        <f t="shared" si="77"/>
        <v>694.58715593097304</v>
      </c>
      <c r="FJ78" s="59">
        <f ca="1">AVERAGE(OFFSET($FI$3,0,0,'Données projet'!$E$16+1,1))-AVERAGE(OFFSET($H$3,0,0,'Données projet'!$E$16+1,1))</f>
        <v>272.90535195666996</v>
      </c>
      <c r="FK78" s="59">
        <f t="shared" si="102"/>
        <v>222.25422164416898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14</v>
      </c>
      <c r="FN78" s="16">
        <f>IF(ISNA(VLOOKUP(A78,'Données projet'!$A$217:$I$237,5,0)),0%,VLOOKUP(A78,'Données projet'!$A$217:$I$237,5,0)*VLOOKUP('Données projet'!$B$16,Paramètres!$A$1:$I$89,7,0))</f>
        <v>4.3000000000000003E-2</v>
      </c>
      <c r="FO78" s="16">
        <f>IF(ISNA(VLOOKUP(A78,'Données projet'!$A$217:$I$237,6,0)),0%,VLOOKUP(A78,'Données projet'!$A$217:$I$237,6,0)*VLOOKUP('Données projet'!$B$16,Paramètres!$A$1:$I$89,7,0))</f>
        <v>0.17200000000000001</v>
      </c>
      <c r="FP78" s="16">
        <f>IF(ISNA(VLOOKUP(A78,'Données projet'!$A$217:$I$237,7,0)),0%,VLOOKUP(A78,'Données projet'!$A$217:$I$237,7,0))</f>
        <v>0.3</v>
      </c>
      <c r="FQ78" s="21">
        <f>EXP(-LN(2)/35)*FQ77+(1-EXP(-LN(2)/35))/(LN(2)/35)*FM78*FN78*VLOOKUP('Données projet'!$B$16,Paramètres!$A$1:$I$89,3,0)*0.475*44/12</f>
        <v>1.4716576688230987</v>
      </c>
      <c r="FR78" s="21">
        <f>EXP(-LN(2)/25)*FR77+(1-EXP(-LN(2)/25))/(LN(2)/25)*Calculateur!FM78*Calculateur!FO78*VLOOKUP('Données projet'!$B$16,Paramètres!$A$1:$I$89,3,0)*0.475*44/12</f>
        <v>9.7115870704444642</v>
      </c>
      <c r="FS78" s="21">
        <f>EXP(-LN(2)/2)*FS77+(1-EXP(-LN(2)/2))/(LN(2)/2)*FM78*FP78*VLOOKUP('Données projet'!$B$16,Paramètres!$A$1:$I$89,3,0)*0.475*44/12</f>
        <v>3.9049337164570348</v>
      </c>
      <c r="FT78" s="22">
        <f t="shared" si="78"/>
        <v>15.088178455724599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769.78090045503291</v>
      </c>
      <c r="S79" s="59">
        <f ca="1">AVERAGE(OFFSET($R$3,0,0,'Données projet'!$E$9+1,1))-AVERAGE(OFFSET($H$3,0,0,'Données projet'!$E$9+1,1))</f>
        <v>384.05928630855732</v>
      </c>
      <c r="T79" s="59">
        <f t="shared" si="88"/>
        <v>279.93992813630513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304.99999999999983</v>
      </c>
      <c r="AJ79" s="13">
        <f>AI79*VLOOKUP('Données projet'!$B$10,Paramètres!$A$1:$I$89,3,0)*VLOOKUP('Données projet'!$B$10,Paramètres!$A$1:$I$89,5,0)</f>
        <v>275.96399999999983</v>
      </c>
      <c r="AK79" s="13">
        <f t="shared" si="89"/>
        <v>66.113366665488854</v>
      </c>
      <c r="AL79" s="20">
        <f t="shared" si="58"/>
        <v>595.78474694239264</v>
      </c>
      <c r="AM79" s="59">
        <f t="shared" si="59"/>
        <v>889.11808027572602</v>
      </c>
      <c r="AN79" s="59">
        <f ca="1">AVERAGE(OFFSET($AM$3,0,0,'Données projet'!$E$10+1,1))-AVERAGE(OFFSET($H$3,0,0,'Données projet'!$E$10+1,1))</f>
        <v>366.69125512029831</v>
      </c>
      <c r="AO79" s="59">
        <f t="shared" si="90"/>
        <v>513.80016421153414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0.64994051622789795</v>
      </c>
      <c r="AV79" s="21">
        <f>EXP(-LN(2)/25)*AV78+(1-EXP(-LN(2)/25))/(LN(2)/25)*Calculateur!AQ79*Calculateur!AS79*VLOOKUP('Données projet'!$B$10,Paramètres!$A$1:$I$89,3,0)*0.475*44/12</f>
        <v>2.0622339513639707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2.7121744675918684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200.05440000000007</v>
      </c>
      <c r="BF79" s="13">
        <f t="shared" si="91"/>
        <v>49.756123009618236</v>
      </c>
      <c r="BG79" s="20">
        <f t="shared" si="61"/>
        <v>435.08666090841854</v>
      </c>
      <c r="BH79" s="59">
        <f t="shared" si="62"/>
        <v>728.41999424175185</v>
      </c>
      <c r="BI79" s="59">
        <f ca="1">AVERAGE(OFFSET($BH$3,0,0,'Données projet'!$E$11+1,1))-AVERAGE(OFFSET($H$3,0,0,'Données projet'!$E$11+1,1))</f>
        <v>354.24684313982857</v>
      </c>
      <c r="BJ79" s="59">
        <f t="shared" si="92"/>
        <v>322.65043486962185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20.983204815198942</v>
      </c>
      <c r="BQ79" s="21">
        <f>EXP(-LN(2)/25)*BQ78+(1-EXP(-LN(2)/25))/(LN(2)/25)*Calculateur!BL79*Calculateur!BN79*VLOOKUP('Données projet'!$B$11,Paramètres!$A$1:$I$89,3,0)*0.475*44/12</f>
        <v>18.849793730674286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39.832998545873224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7.8425925925925934</v>
      </c>
      <c r="BY79" s="12">
        <f>IF('Données projet'!$A$114&gt;35,BY78+BX79-CG78,IF(A79&lt;'Données projet'!$A$114,$BV$205^A79,IF(A79='Données projet'!$A$114,'Données projet'!$B$114,BY78+BX79-CG78)))</f>
        <v>242.64245014245034</v>
      </c>
      <c r="BZ79" s="13">
        <f>BY79*VLOOKUP('Données projet'!$B$12,Paramètres!$A$1:$I$89,3,0)*VLOOKUP('Données projet'!$B$12,Paramètres!$A$1:$I$89,5,0)</f>
        <v>234.68377777777798</v>
      </c>
      <c r="CA79" s="13">
        <f t="shared" si="93"/>
        <v>57.294232491261091</v>
      </c>
      <c r="CB79" s="20">
        <f t="shared" si="64"/>
        <v>508.52836788524309</v>
      </c>
      <c r="CC79" s="59">
        <f t="shared" si="65"/>
        <v>801.8617012185764</v>
      </c>
      <c r="CD79" s="59">
        <f ca="1">AVERAGE(OFFSET($CC$3,0,0,'Données projet'!$E$12+1,1))-AVERAGE(OFFSET($H$3,0,0,'Données projet'!$E$12+1,1))</f>
        <v>407.73540492005355</v>
      </c>
      <c r="CE79" s="59">
        <f t="shared" si="94"/>
        <v>296.29416764204774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22.021231611760125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22.021231611760125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209.87927999999985</v>
      </c>
      <c r="CV79" s="13">
        <f t="shared" si="95"/>
        <v>51.909204458241767</v>
      </c>
      <c r="CW79" s="20">
        <f t="shared" si="67"/>
        <v>455.94827709810414</v>
      </c>
      <c r="CX79" s="59">
        <f t="shared" si="68"/>
        <v>749.28161043143746</v>
      </c>
      <c r="CY79" s="59">
        <f ca="1">AVERAGE(OFFSET($CX$3,0,0,'Données projet'!$E$13+1,1))-AVERAGE(OFFSET($H$3,0,0,'Données projet'!$E$13+1,1))</f>
        <v>299.10536994156814</v>
      </c>
      <c r="CZ79" s="59">
        <f t="shared" si="96"/>
        <v>292.57799203101769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27.612678838205827</v>
      </c>
      <c r="DG79" s="21">
        <f>EXP(-LN(2)/25)*DG78+(1-EXP(-LN(2)/25))/(LN(2)/25)*Calculateur!DB79*Calculateur!DD79*VLOOKUP('Données projet'!$B$13,Paramètres!$A$1:$I$89,3,0)*0.475*44/12</f>
        <v>8.7662816585276175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36.378960496733441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209.87927999999985</v>
      </c>
      <c r="DQ79" s="13">
        <f t="shared" si="97"/>
        <v>51.909204458241767</v>
      </c>
      <c r="DR79" s="20">
        <f t="shared" si="70"/>
        <v>455.94827709810414</v>
      </c>
      <c r="DS79" s="59">
        <f t="shared" si="71"/>
        <v>749.28161043143746</v>
      </c>
      <c r="DT79" s="59">
        <f ca="1">AVERAGE(OFFSET($DS$3,0,0,'Données projet'!$E$14+1,1))-AVERAGE(OFFSET($H$3,0,0,'Données projet'!$E$14+1,1))</f>
        <v>299.10536994156814</v>
      </c>
      <c r="DU79" s="59">
        <f t="shared" si="98"/>
        <v>292.57799203101769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27.612678838205827</v>
      </c>
      <c r="EB79" s="21">
        <f>EXP(-LN(2)/25)*EB78+(1-EXP(-LN(2)/25))/(LN(2)/25)*Calculateur!DW79*Calculateur!DY79*VLOOKUP('Données projet'!$B$14,Paramètres!$A$1:$I$89,3,0)*0.475*44/12</f>
        <v>8.7662816585276175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36.378960496733441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3.8</v>
      </c>
      <c r="EJ79" s="12">
        <f>IF('Données projet'!$A$192&gt;35,EJ78+EI79-ER78,IF(A79&lt;'Données projet'!$A$192,$EG$205^A79,IF(A79='Données projet'!$A$192,'Données projet'!$B$192,EJ78+EI79-ER78)))</f>
        <v>195.80000000000013</v>
      </c>
      <c r="EK79" s="17">
        <f>EJ79*VLOOKUP('Données projet'!$B$15,Paramètres!$A$1:$I$89,3,0)*VLOOKUP('Données projet'!$B$15,Paramètres!$A$1:$I$89,5,0)</f>
        <v>128.28816000000009</v>
      </c>
      <c r="EL79" s="13">
        <f t="shared" si="99"/>
        <v>33.600498728056088</v>
      </c>
      <c r="EM79" s="20">
        <f t="shared" si="73"/>
        <v>281.95608061803119</v>
      </c>
      <c r="EN79" s="59">
        <f t="shared" si="74"/>
        <v>575.28941395136451</v>
      </c>
      <c r="EO79" s="59">
        <f ca="1">AVERAGE(OFFSET($EN$3,0,0,'Données projet'!$E$15+1,1))-AVERAGE(OFFSET($H$3,0,0,'Données projet'!$E$15+1,1))</f>
        <v>230.58262378842818</v>
      </c>
      <c r="EP79" s="59">
        <f t="shared" si="100"/>
        <v>235.68746142880792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0.95869603694137062</v>
      </c>
      <c r="EW79" s="21">
        <f>EXP(-LN(2)/25)*EW78+(1-EXP(-LN(2)/25))/(LN(2)/25)*Calculateur!ER79*Calculateur!ET79*VLOOKUP('Données projet'!$B$15,Paramètres!$A$1:$I$89,3,0)*0.475*44/12</f>
        <v>9.2171190919753627</v>
      </c>
      <c r="EX79" s="21">
        <f>EXP(-LN(2)/2)*EX78+(1-EXP(-LN(2)/2))/(LN(2)/2)*ER79*EU79*VLOOKUP('Données projet'!$B$15,Paramètres!$A$1:$I$89,3,0)*0.475*44/12</f>
        <v>2.5830123874196032</v>
      </c>
      <c r="EY79" s="22">
        <f t="shared" si="75"/>
        <v>12.758827516336336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4.2</v>
      </c>
      <c r="FE79" s="12">
        <f>IF('Données projet'!$A$218&gt;35,FE78+FD79-FM78,IF(A79&lt;'Données projet'!$A$218,$FB$205^A79,IF(A79='Données projet'!$A$218,'Données projet'!$B$218,FE78+FD79-FM78)))</f>
        <v>217.2000000000001</v>
      </c>
      <c r="FF79" s="17">
        <f>FE79*VLOOKUP('Données projet'!$B$16,Paramètres!$A$1:$I$89,3,0)*VLOOKUP('Données projet'!$B$16,Paramètres!$A$1:$I$89,5,0)</f>
        <v>176.1926400000001</v>
      </c>
      <c r="FG79" s="13">
        <f t="shared" si="101"/>
        <v>44.474067632484541</v>
      </c>
      <c r="FH79" s="20">
        <f t="shared" si="76"/>
        <v>384.32784912657735</v>
      </c>
      <c r="FI79" s="59">
        <f t="shared" si="77"/>
        <v>677.66118245991061</v>
      </c>
      <c r="FJ79" s="59">
        <f ca="1">AVERAGE(OFFSET($FI$3,0,0,'Données projet'!$E$16+1,1))-AVERAGE(OFFSET($H$3,0,0,'Données projet'!$E$16+1,1))</f>
        <v>272.90535195666996</v>
      </c>
      <c r="FK79" s="59">
        <f t="shared" si="102"/>
        <v>222.25422164416898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1.4427993595600228</v>
      </c>
      <c r="FR79" s="21">
        <f>EXP(-LN(2)/25)*FR78+(1-EXP(-LN(2)/25))/(LN(2)/25)*Calculateur!FM79*Calculateur!FO79*VLOOKUP('Données projet'!$B$16,Paramètres!$A$1:$I$89,3,0)*0.475*44/12</f>
        <v>9.4460232112929923</v>
      </c>
      <c r="FS79" s="21">
        <f>EXP(-LN(2)/2)*FS78+(1-EXP(-LN(2)/2))/(LN(2)/2)*FM79*FP79*VLOOKUP('Données projet'!$B$16,Paramètres!$A$1:$I$89,3,0)*0.475*44/12</f>
        <v>2.7612051109907565</v>
      </c>
      <c r="FT79" s="22">
        <f t="shared" si="78"/>
        <v>13.650027681843772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784.82151463998366</v>
      </c>
      <c r="S80" s="59">
        <f ca="1">AVERAGE(OFFSET($R$3,0,0,'Données projet'!$E$9+1,1))-AVERAGE(OFFSET($H$3,0,0,'Données projet'!$E$9+1,1))</f>
        <v>384.05928630855732</v>
      </c>
      <c r="T80" s="59">
        <f t="shared" si="88"/>
        <v>279.93992813630513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304.99999999999983</v>
      </c>
      <c r="AJ80" s="13">
        <f>AI80*VLOOKUP('Données projet'!$B$10,Paramètres!$A$1:$I$89,3,0)*VLOOKUP('Données projet'!$B$10,Paramètres!$A$1:$I$89,5,0)</f>
        <v>275.96399999999983</v>
      </c>
      <c r="AK80" s="13">
        <f t="shared" si="89"/>
        <v>66.113366665488854</v>
      </c>
      <c r="AL80" s="20">
        <f t="shared" si="58"/>
        <v>595.78474694239264</v>
      </c>
      <c r="AM80" s="59">
        <f t="shared" si="59"/>
        <v>889.11808027572602</v>
      </c>
      <c r="AN80" s="59">
        <f ca="1">AVERAGE(OFFSET($AM$3,0,0,'Données projet'!$E$10+1,1))-AVERAGE(OFFSET($H$3,0,0,'Données projet'!$E$10+1,1))</f>
        <v>366.69125512029831</v>
      </c>
      <c r="AO80" s="59">
        <f t="shared" si="90"/>
        <v>513.80016421153414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0.63719557912924008</v>
      </c>
      <c r="AV80" s="21">
        <f>EXP(-LN(2)/25)*AV79+(1-EXP(-LN(2)/25))/(LN(2)/25)*Calculateur!AQ80*Calculateur!AS80*VLOOKUP('Données projet'!$B$10,Paramètres!$A$1:$I$89,3,0)*0.475*44/12</f>
        <v>2.0058420555157528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2.6430376346449931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203.54880000000003</v>
      </c>
      <c r="BF80" s="13">
        <f t="shared" si="91"/>
        <v>50.523286400023487</v>
      </c>
      <c r="BG80" s="20">
        <f t="shared" si="61"/>
        <v>442.50888381337427</v>
      </c>
      <c r="BH80" s="59">
        <f t="shared" si="62"/>
        <v>735.84221714670753</v>
      </c>
      <c r="BI80" s="59">
        <f ca="1">AVERAGE(OFFSET($BH$3,0,0,'Données projet'!$E$11+1,1))-AVERAGE(OFFSET($H$3,0,0,'Données projet'!$E$11+1,1))</f>
        <v>354.24684313982857</v>
      </c>
      <c r="BJ80" s="59">
        <f t="shared" si="92"/>
        <v>322.65043486962185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20.571736967264084</v>
      </c>
      <c r="BQ80" s="21">
        <f>EXP(-LN(2)/25)*BQ79+(1-EXP(-LN(2)/25))/(LN(2)/25)*Calculateur!BL80*Calculateur!BN80*VLOOKUP('Données projet'!$B$11,Paramètres!$A$1:$I$89,3,0)*0.475*44/12</f>
        <v>18.334345129841427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38.906082097105511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7.8425925925925934</v>
      </c>
      <c r="BY80" s="12">
        <f>IF('Données projet'!$A$114&gt;35,BY79+BX80-CG79,IF(A80&lt;'Données projet'!$A$114,$BV$205^A80,IF(A80='Données projet'!$A$114,'Données projet'!$B$114,BY79+BX80-CG79)))</f>
        <v>250.48504273504292</v>
      </c>
      <c r="BZ80" s="13">
        <f>BY80*VLOOKUP('Données projet'!$B$12,Paramètres!$A$1:$I$89,3,0)*VLOOKUP('Données projet'!$B$12,Paramètres!$A$1:$I$89,5,0)</f>
        <v>242.26913333333354</v>
      </c>
      <c r="CA80" s="13">
        <f t="shared" si="93"/>
        <v>58.9274778656374</v>
      </c>
      <c r="CB80" s="20">
        <f t="shared" si="64"/>
        <v>524.58409783820764</v>
      </c>
      <c r="CC80" s="59">
        <f t="shared" si="65"/>
        <v>817.91743117154101</v>
      </c>
      <c r="CD80" s="59">
        <f ca="1">AVERAGE(OFFSET($CC$3,0,0,'Données projet'!$E$12+1,1))-AVERAGE(OFFSET($H$3,0,0,'Données projet'!$E$12+1,1))</f>
        <v>407.73540492005355</v>
      </c>
      <c r="CE80" s="59">
        <f t="shared" si="94"/>
        <v>296.29416764204774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21.589408691478528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21.589408691478528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212.10695999999984</v>
      </c>
      <c r="CV80" s="13">
        <f t="shared" si="95"/>
        <v>52.395741612408194</v>
      </c>
      <c r="CW80" s="20">
        <f t="shared" si="67"/>
        <v>460.67553864161067</v>
      </c>
      <c r="CX80" s="59">
        <f t="shared" si="68"/>
        <v>754.00887197494399</v>
      </c>
      <c r="CY80" s="59">
        <f ca="1">AVERAGE(OFFSET($CX$3,0,0,'Données projet'!$E$13+1,1))-AVERAGE(OFFSET($H$3,0,0,'Données projet'!$E$13+1,1))</f>
        <v>299.10536994156814</v>
      </c>
      <c r="CZ80" s="59">
        <f t="shared" si="96"/>
        <v>292.57799203101769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27.071211048259684</v>
      </c>
      <c r="DG80" s="21">
        <f>EXP(-LN(2)/25)*DG79+(1-EXP(-LN(2)/25))/(LN(2)/25)*Calculateur!DB80*Calculateur!DD80*VLOOKUP('Données projet'!$B$13,Paramètres!$A$1:$I$89,3,0)*0.475*44/12</f>
        <v>8.5265672255764624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35.597778273836148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212.10695999999984</v>
      </c>
      <c r="DQ80" s="13">
        <f t="shared" si="97"/>
        <v>52.395741612408194</v>
      </c>
      <c r="DR80" s="20">
        <f t="shared" si="70"/>
        <v>460.67553864161067</v>
      </c>
      <c r="DS80" s="59">
        <f t="shared" si="71"/>
        <v>754.00887197494399</v>
      </c>
      <c r="DT80" s="59">
        <f ca="1">AVERAGE(OFFSET($DS$3,0,0,'Données projet'!$E$14+1,1))-AVERAGE(OFFSET($H$3,0,0,'Données projet'!$E$14+1,1))</f>
        <v>299.10536994156814</v>
      </c>
      <c r="DU80" s="59">
        <f t="shared" si="98"/>
        <v>292.57799203101769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27.071211048259684</v>
      </c>
      <c r="EB80" s="21">
        <f>EXP(-LN(2)/25)*EB79+(1-EXP(-LN(2)/25))/(LN(2)/25)*Calculateur!DW80*Calculateur!DY80*VLOOKUP('Données projet'!$B$14,Paramètres!$A$1:$I$89,3,0)*0.475*44/12</f>
        <v>8.5265672255764624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35.597778273836148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3.8</v>
      </c>
      <c r="EJ80" s="12">
        <f>IF('Données projet'!$A$192&gt;35,EJ79+EI80-ER79,IF(A80&lt;'Données projet'!$A$192,$EG$205^A80,IF(A80='Données projet'!$A$192,'Données projet'!$B$192,EJ79+EI80-ER79)))</f>
        <v>199.60000000000014</v>
      </c>
      <c r="EK80" s="17">
        <f>EJ80*VLOOKUP('Données projet'!$B$15,Paramètres!$A$1:$I$89,3,0)*VLOOKUP('Données projet'!$B$15,Paramètres!$A$1:$I$89,5,0)</f>
        <v>130.77792000000008</v>
      </c>
      <c r="EL80" s="13">
        <f t="shared" si="99"/>
        <v>34.176051340149542</v>
      </c>
      <c r="EM80" s="20">
        <f t="shared" si="73"/>
        <v>287.29483341742724</v>
      </c>
      <c r="EN80" s="59">
        <f t="shared" si="74"/>
        <v>580.62816675076056</v>
      </c>
      <c r="EO80" s="59">
        <f ca="1">AVERAGE(OFFSET($EN$3,0,0,'Données projet'!$E$15+1,1))-AVERAGE(OFFSET($H$3,0,0,'Données projet'!$E$15+1,1))</f>
        <v>230.58262378842818</v>
      </c>
      <c r="EP80" s="59">
        <f t="shared" si="100"/>
        <v>235.68746142880792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0.93989659240379397</v>
      </c>
      <c r="EW80" s="21">
        <f>EXP(-LN(2)/25)*EW79+(1-EXP(-LN(2)/25))/(LN(2)/25)*Calculateur!ER80*Calculateur!ET80*VLOOKUP('Données projet'!$B$15,Paramètres!$A$1:$I$89,3,0)*0.475*44/12</f>
        <v>8.96507648569807</v>
      </c>
      <c r="EX80" s="21">
        <f>EXP(-LN(2)/2)*EX79+(1-EXP(-LN(2)/2))/(LN(2)/2)*ER80*EU80*VLOOKUP('Données projet'!$B$15,Paramètres!$A$1:$I$89,3,0)*0.475*44/12</f>
        <v>1.8264655750332552</v>
      </c>
      <c r="EY80" s="22">
        <f t="shared" si="75"/>
        <v>11.73143865313512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4.2</v>
      </c>
      <c r="FE80" s="12">
        <f>IF('Données projet'!$A$218&gt;35,FE79+FD80-FM79,IF(A80&lt;'Données projet'!$A$218,$FB$205^A80,IF(A80='Données projet'!$A$218,'Données projet'!$B$218,FE79+FD80-FM79)))</f>
        <v>221.40000000000009</v>
      </c>
      <c r="FF80" s="17">
        <f>FE80*VLOOKUP('Données projet'!$B$16,Paramètres!$A$1:$I$89,3,0)*VLOOKUP('Données projet'!$B$16,Paramètres!$A$1:$I$89,5,0)</f>
        <v>179.59968000000009</v>
      </c>
      <c r="FG80" s="13">
        <f t="shared" si="101"/>
        <v>45.233110804333748</v>
      </c>
      <c r="FH80" s="20">
        <f t="shared" si="76"/>
        <v>391.58377731754808</v>
      </c>
      <c r="FI80" s="59">
        <f t="shared" si="77"/>
        <v>684.91711065088134</v>
      </c>
      <c r="FJ80" s="59">
        <f ca="1">AVERAGE(OFFSET($FI$3,0,0,'Données projet'!$E$16+1,1))-AVERAGE(OFFSET($H$3,0,0,'Données projet'!$E$16+1,1))</f>
        <v>272.90535195666996</v>
      </c>
      <c r="FK80" s="59">
        <f t="shared" si="102"/>
        <v>222.25422164416898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1.4145069441397653</v>
      </c>
      <c r="FR80" s="21">
        <f>EXP(-LN(2)/25)*FR79+(1-EXP(-LN(2)/25))/(LN(2)/25)*Calculateur!FM80*Calculateur!FO80*VLOOKUP('Données projet'!$B$16,Paramètres!$A$1:$I$89,3,0)*0.475*44/12</f>
        <v>9.1877212098354146</v>
      </c>
      <c r="FS80" s="21">
        <f>EXP(-LN(2)/2)*FS79+(1-EXP(-LN(2)/2))/(LN(2)/2)*FM80*FP80*VLOOKUP('Données projet'!$B$16,Paramètres!$A$1:$I$89,3,0)*0.475*44/12</f>
        <v>1.9524668582285176</v>
      </c>
      <c r="FT80" s="22">
        <f t="shared" si="78"/>
        <v>12.554695012203696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799.85237131896088</v>
      </c>
      <c r="S81" s="59">
        <f ca="1">AVERAGE(OFFSET($R$3,0,0,'Données projet'!$E$9+1,1))-AVERAGE(OFFSET($H$3,0,0,'Données projet'!$E$9+1,1))</f>
        <v>384.05928630855732</v>
      </c>
      <c r="T81" s="59">
        <f t="shared" si="88"/>
        <v>279.93992813630513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304.99999999999983</v>
      </c>
      <c r="AJ81" s="13">
        <f>AI81*VLOOKUP('Données projet'!$B$10,Paramètres!$A$1:$I$89,3,0)*VLOOKUP('Données projet'!$B$10,Paramètres!$A$1:$I$89,5,0)</f>
        <v>275.96399999999983</v>
      </c>
      <c r="AK81" s="13">
        <f t="shared" si="89"/>
        <v>66.113366665488854</v>
      </c>
      <c r="AL81" s="20">
        <f t="shared" si="58"/>
        <v>595.78474694239264</v>
      </c>
      <c r="AM81" s="59">
        <f t="shared" si="59"/>
        <v>889.11808027572602</v>
      </c>
      <c r="AN81" s="59">
        <f ca="1">AVERAGE(OFFSET($AM$3,0,0,'Données projet'!$E$10+1,1))-AVERAGE(OFFSET($H$3,0,0,'Données projet'!$E$10+1,1))</f>
        <v>366.69125512029831</v>
      </c>
      <c r="AO81" s="59">
        <f t="shared" si="90"/>
        <v>513.80016421153414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0.62470056247344286</v>
      </c>
      <c r="AV81" s="21">
        <f>EXP(-LN(2)/25)*AV80+(1-EXP(-LN(2)/25))/(LN(2)/25)*Calculateur!AQ81*Calculateur!AS81*VLOOKUP('Données projet'!$B$10,Paramètres!$A$1:$I$89,3,0)*0.475*44/12</f>
        <v>1.9509921990250252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2.5756927614984679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207.04320000000004</v>
      </c>
      <c r="BF81" s="13">
        <f t="shared" si="91"/>
        <v>51.288918231806321</v>
      </c>
      <c r="BG81" s="20">
        <f t="shared" si="61"/>
        <v>449.92843925372944</v>
      </c>
      <c r="BH81" s="59">
        <f t="shared" si="62"/>
        <v>743.26177258706275</v>
      </c>
      <c r="BI81" s="59">
        <f ca="1">AVERAGE(OFFSET($BH$3,0,0,'Données projet'!$E$11+1,1))-AVERAGE(OFFSET($H$3,0,0,'Données projet'!$E$11+1,1))</f>
        <v>354.24684313982857</v>
      </c>
      <c r="BJ81" s="59">
        <f t="shared" si="92"/>
        <v>322.65043486962185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20.168337752856619</v>
      </c>
      <c r="BQ81" s="21">
        <f>EXP(-LN(2)/25)*BQ80+(1-EXP(-LN(2)/25))/(LN(2)/25)*Calculateur!BL81*Calculateur!BN81*VLOOKUP('Données projet'!$B$11,Paramètres!$A$1:$I$89,3,0)*0.475*44/12</f>
        <v>17.832991498104608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38.001329250961227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7.8425925925925934</v>
      </c>
      <c r="BY81" s="12">
        <f>IF('Données projet'!$A$114&gt;35,BY80+BX81-CG80,IF(A81&lt;'Données projet'!$A$114,$BV$205^A81,IF(A81='Données projet'!$A$114,'Données projet'!$B$114,BY80+BX81-CG80)))</f>
        <v>258.32763532763551</v>
      </c>
      <c r="BZ81" s="13">
        <f>BY81*VLOOKUP('Données projet'!$B$12,Paramètres!$A$1:$I$89,3,0)*VLOOKUP('Données projet'!$B$12,Paramètres!$A$1:$I$89,5,0)</f>
        <v>249.85448888888908</v>
      </c>
      <c r="CA81" s="13">
        <f t="shared" si="93"/>
        <v>60.554780782197525</v>
      </c>
      <c r="CB81" s="20">
        <f t="shared" si="64"/>
        <v>540.62947801047574</v>
      </c>
      <c r="CC81" s="59">
        <f t="shared" si="65"/>
        <v>833.96281134380911</v>
      </c>
      <c r="CD81" s="59">
        <f ca="1">AVERAGE(OFFSET($CC$3,0,0,'Données projet'!$E$12+1,1))-AVERAGE(OFFSET($H$3,0,0,'Données projet'!$E$12+1,1))</f>
        <v>407.73540492005355</v>
      </c>
      <c r="CE81" s="59">
        <f t="shared" si="94"/>
        <v>296.29416764204774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21.166053555277681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21.166053555277681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214.33463999999984</v>
      </c>
      <c r="CV81" s="13">
        <f t="shared" si="95"/>
        <v>52.881684324030282</v>
      </c>
      <c r="CW81" s="20">
        <f t="shared" si="67"/>
        <v>465.40176486435234</v>
      </c>
      <c r="CX81" s="59">
        <f t="shared" si="68"/>
        <v>758.7350981976856</v>
      </c>
      <c r="CY81" s="59">
        <f ca="1">AVERAGE(OFFSET($CX$3,0,0,'Données projet'!$E$13+1,1))-AVERAGE(OFFSET($H$3,0,0,'Données projet'!$E$13+1,1))</f>
        <v>299.10536994156814</v>
      </c>
      <c r="CZ81" s="59">
        <f t="shared" si="96"/>
        <v>292.57799203101769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26.540361111411645</v>
      </c>
      <c r="DG81" s="21">
        <f>EXP(-LN(2)/25)*DG80+(1-EXP(-LN(2)/25))/(LN(2)/25)*Calculateur!DB81*Calculateur!DD81*VLOOKUP('Données projet'!$B$13,Paramètres!$A$1:$I$89,3,0)*0.475*44/12</f>
        <v>8.2934077964003912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34.833768907812036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214.33463999999984</v>
      </c>
      <c r="DQ81" s="13">
        <f t="shared" si="97"/>
        <v>52.881684324030282</v>
      </c>
      <c r="DR81" s="20">
        <f t="shared" si="70"/>
        <v>465.40176486435234</v>
      </c>
      <c r="DS81" s="59">
        <f t="shared" si="71"/>
        <v>758.7350981976856</v>
      </c>
      <c r="DT81" s="59">
        <f ca="1">AVERAGE(OFFSET($DS$3,0,0,'Données projet'!$E$14+1,1))-AVERAGE(OFFSET($H$3,0,0,'Données projet'!$E$14+1,1))</f>
        <v>299.10536994156814</v>
      </c>
      <c r="DU81" s="59">
        <f t="shared" si="98"/>
        <v>292.57799203101769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26.540361111411645</v>
      </c>
      <c r="EB81" s="21">
        <f>EXP(-LN(2)/25)*EB80+(1-EXP(-LN(2)/25))/(LN(2)/25)*Calculateur!DW81*Calculateur!DY81*VLOOKUP('Données projet'!$B$14,Paramètres!$A$1:$I$89,3,0)*0.475*44/12</f>
        <v>8.2934077964003912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34.833768907812036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3.8</v>
      </c>
      <c r="EJ81" s="12">
        <f>IF('Données projet'!$A$192&gt;35,EJ80+EI81-ER80,IF(A81&lt;'Données projet'!$A$192,$EG$205^A81,IF(A81='Données projet'!$A$192,'Données projet'!$B$192,EJ80+EI81-ER80)))</f>
        <v>203.40000000000015</v>
      </c>
      <c r="EK81" s="17">
        <f>EJ81*VLOOKUP('Données projet'!$B$15,Paramètres!$A$1:$I$89,3,0)*VLOOKUP('Données projet'!$B$15,Paramètres!$A$1:$I$89,5,0)</f>
        <v>133.2676800000001</v>
      </c>
      <c r="EL81" s="13">
        <f t="shared" si="99"/>
        <v>34.750329840004937</v>
      </c>
      <c r="EM81" s="20">
        <f t="shared" si="73"/>
        <v>292.63136713800878</v>
      </c>
      <c r="EN81" s="59">
        <f t="shared" si="74"/>
        <v>585.9647004713421</v>
      </c>
      <c r="EO81" s="59">
        <f ca="1">AVERAGE(OFFSET($EN$3,0,0,'Données projet'!$E$15+1,1))-AVERAGE(OFFSET($H$3,0,0,'Données projet'!$E$15+1,1))</f>
        <v>230.58262378842818</v>
      </c>
      <c r="EP81" s="59">
        <f t="shared" si="100"/>
        <v>235.68746142880792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0.92146579350707025</v>
      </c>
      <c r="EW81" s="21">
        <f>EXP(-LN(2)/25)*EW80+(1-EXP(-LN(2)/25))/(LN(2)/25)*Calculateur!ER81*Calculateur!ET81*VLOOKUP('Données projet'!$B$15,Paramètres!$A$1:$I$89,3,0)*0.475*44/12</f>
        <v>8.7199259977437737</v>
      </c>
      <c r="EX81" s="21">
        <f>EXP(-LN(2)/2)*EX80+(1-EXP(-LN(2)/2))/(LN(2)/2)*ER81*EU81*VLOOKUP('Données projet'!$B$15,Paramètres!$A$1:$I$89,3,0)*0.475*44/12</f>
        <v>1.2915061937098018</v>
      </c>
      <c r="EY81" s="22">
        <f t="shared" si="75"/>
        <v>10.932897984960645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4.2</v>
      </c>
      <c r="FE81" s="12">
        <f>IF('Données projet'!$A$218&gt;35,FE80+FD81-FM80,IF(A81&lt;'Données projet'!$A$218,$FB$205^A81,IF(A81='Données projet'!$A$218,'Données projet'!$B$218,FE80+FD81-FM80)))</f>
        <v>225.60000000000008</v>
      </c>
      <c r="FF81" s="17">
        <f>FE81*VLOOKUP('Données projet'!$B$16,Paramètres!$A$1:$I$89,3,0)*VLOOKUP('Données projet'!$B$16,Paramètres!$A$1:$I$89,5,0)</f>
        <v>183.00672000000006</v>
      </c>
      <c r="FG81" s="13">
        <f t="shared" si="101"/>
        <v>45.990479653087696</v>
      </c>
      <c r="FH81" s="20">
        <f t="shared" si="76"/>
        <v>398.83678939579448</v>
      </c>
      <c r="FI81" s="59">
        <f t="shared" si="77"/>
        <v>692.1701227291278</v>
      </c>
      <c r="FJ81" s="59">
        <f ca="1">AVERAGE(OFFSET($FI$3,0,0,'Données projet'!$E$16+1,1))-AVERAGE(OFFSET($H$3,0,0,'Données projet'!$E$16+1,1))</f>
        <v>272.90535195666996</v>
      </c>
      <c r="FK81" s="59">
        <f t="shared" si="102"/>
        <v>222.25422164416898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1.3867693257292295</v>
      </c>
      <c r="FR81" s="21">
        <f>EXP(-LN(2)/25)*FR80+(1-EXP(-LN(2)/25))/(LN(2)/25)*Calculateur!FM81*Calculateur!FO81*VLOOKUP('Données projet'!$B$16,Paramètres!$A$1:$I$89,3,0)*0.475*44/12</f>
        <v>8.9364824901912048</v>
      </c>
      <c r="FS81" s="21">
        <f>EXP(-LN(2)/2)*FS80+(1-EXP(-LN(2)/2))/(LN(2)/2)*FM81*FP81*VLOOKUP('Données projet'!$B$16,Paramètres!$A$1:$I$89,3,0)*0.475*44/12</f>
        <v>1.3806025554953785</v>
      </c>
      <c r="FT81" s="22">
        <f t="shared" si="78"/>
        <v>11.703854371415813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814.87380072129326</v>
      </c>
      <c r="S82" s="59">
        <f ca="1">AVERAGE(OFFSET($R$3,0,0,'Données projet'!$E$9+1,1))-AVERAGE(OFFSET($H$3,0,0,'Données projet'!$E$9+1,1))</f>
        <v>384.05928630855732</v>
      </c>
      <c r="T82" s="59">
        <f t="shared" si="88"/>
        <v>279.93992813630513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304.99999999999983</v>
      </c>
      <c r="AJ82" s="13">
        <f>AI82*VLOOKUP('Données projet'!$B$10,Paramètres!$A$1:$I$89,3,0)*VLOOKUP('Données projet'!$B$10,Paramètres!$A$1:$I$89,5,0)</f>
        <v>275.96399999999983</v>
      </c>
      <c r="AK82" s="13">
        <f t="shared" si="89"/>
        <v>66.113366665488854</v>
      </c>
      <c r="AL82" s="20">
        <f t="shared" si="58"/>
        <v>595.78474694239264</v>
      </c>
      <c r="AM82" s="59">
        <f t="shared" si="59"/>
        <v>889.11808027572602</v>
      </c>
      <c r="AN82" s="59">
        <f ca="1">AVERAGE(OFFSET($AM$3,0,0,'Données projet'!$E$10+1,1))-AVERAGE(OFFSET($H$3,0,0,'Données projet'!$E$10+1,1))</f>
        <v>366.69125512029831</v>
      </c>
      <c r="AO82" s="59">
        <f t="shared" si="90"/>
        <v>513.80016421153414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0.61245056547305821</v>
      </c>
      <c r="AV82" s="21">
        <f>EXP(-LN(2)/25)*AV81+(1-EXP(-LN(2)/25))/(LN(2)/25)*Calculateur!AQ82*Calculateur!AS82*VLOOKUP('Données projet'!$B$10,Paramètres!$A$1:$I$89,3,0)*0.475*44/12</f>
        <v>1.8976422147444652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2.5100927802175232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210.53760000000005</v>
      </c>
      <c r="BF82" s="13">
        <f t="shared" si="91"/>
        <v>52.053047337322276</v>
      </c>
      <c r="BG82" s="20">
        <f t="shared" si="61"/>
        <v>457.34537744583628</v>
      </c>
      <c r="BH82" s="59">
        <f t="shared" si="62"/>
        <v>750.67871077916959</v>
      </c>
      <c r="BI82" s="59">
        <f ca="1">AVERAGE(OFFSET($BH$3,0,0,'Données projet'!$E$11+1,1))-AVERAGE(OFFSET($H$3,0,0,'Données projet'!$E$11+1,1))</f>
        <v>354.24684313982857</v>
      </c>
      <c r="BJ82" s="59">
        <f t="shared" si="92"/>
        <v>322.65043486962185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19.772848950994462</v>
      </c>
      <c r="BQ82" s="21">
        <f>EXP(-LN(2)/25)*BQ81+(1-EXP(-LN(2)/25))/(LN(2)/25)*Calculateur!BL82*Calculateur!BN82*VLOOKUP('Données projet'!$B$11,Paramètres!$A$1:$I$89,3,0)*0.475*44/12</f>
        <v>17.345347407792673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37.118196358787131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7.8425925925925934</v>
      </c>
      <c r="BY82" s="12">
        <f>IF('Données projet'!$A$114&gt;35,BY81+BX82-CG81,IF(A82&lt;'Données projet'!$A$114,$BV$205^A82,IF(A82='Données projet'!$A$114,'Données projet'!$B$114,BY81+BX82-CG81)))</f>
        <v>266.17022792022811</v>
      </c>
      <c r="BZ82" s="13">
        <f>BY82*VLOOKUP('Données projet'!$B$12,Paramètres!$A$1:$I$89,3,0)*VLOOKUP('Données projet'!$B$12,Paramètres!$A$1:$I$89,5,0)</f>
        <v>257.43984444444465</v>
      </c>
      <c r="CA82" s="13">
        <f t="shared" si="93"/>
        <v>62.176342355228016</v>
      </c>
      <c r="CB82" s="20">
        <f t="shared" si="64"/>
        <v>556.66485867609651</v>
      </c>
      <c r="CC82" s="59">
        <f t="shared" si="65"/>
        <v>849.99819200942989</v>
      </c>
      <c r="CD82" s="59">
        <f ca="1">AVERAGE(OFFSET($CC$3,0,0,'Données projet'!$E$12+1,1))-AVERAGE(OFFSET($H$3,0,0,'Données projet'!$E$12+1,1))</f>
        <v>407.73540492005355</v>
      </c>
      <c r="CE82" s="59">
        <f t="shared" si="94"/>
        <v>296.29416764204774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20.751000155076596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20.751000155076596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216.56231999999989</v>
      </c>
      <c r="CV82" s="13">
        <f t="shared" si="95"/>
        <v>53.367039486661959</v>
      </c>
      <c r="CW82" s="20">
        <f t="shared" si="67"/>
        <v>470.12696777260271</v>
      </c>
      <c r="CX82" s="59">
        <f t="shared" si="68"/>
        <v>763.46030110593597</v>
      </c>
      <c r="CY82" s="59">
        <f ca="1">AVERAGE(OFFSET($CX$3,0,0,'Données projet'!$E$13+1,1))-AVERAGE(OFFSET($H$3,0,0,'Données projet'!$E$13+1,1))</f>
        <v>299.10536994156814</v>
      </c>
      <c r="CZ82" s="59">
        <f t="shared" si="96"/>
        <v>292.57799203101769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26.019920818038706</v>
      </c>
      <c r="DG82" s="21">
        <f>EXP(-LN(2)/25)*DG81+(1-EXP(-LN(2)/25))/(LN(2)/25)*Calculateur!DB82*Calculateur!DD82*VLOOKUP('Données projet'!$B$13,Paramètres!$A$1:$I$89,3,0)*0.475*44/12</f>
        <v>8.066624124076462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34.086544942115168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216.56231999999989</v>
      </c>
      <c r="DQ82" s="13">
        <f t="shared" si="97"/>
        <v>53.367039486661959</v>
      </c>
      <c r="DR82" s="20">
        <f t="shared" si="70"/>
        <v>470.12696777260271</v>
      </c>
      <c r="DS82" s="59">
        <f t="shared" si="71"/>
        <v>763.46030110593597</v>
      </c>
      <c r="DT82" s="59">
        <f ca="1">AVERAGE(OFFSET($DS$3,0,0,'Données projet'!$E$14+1,1))-AVERAGE(OFFSET($H$3,0,0,'Données projet'!$E$14+1,1))</f>
        <v>299.10536994156814</v>
      </c>
      <c r="DU82" s="59">
        <f t="shared" si="98"/>
        <v>292.57799203101769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26.019920818038706</v>
      </c>
      <c r="EB82" s="21">
        <f>EXP(-LN(2)/25)*EB81+(1-EXP(-LN(2)/25))/(LN(2)/25)*Calculateur!DW82*Calculateur!DY82*VLOOKUP('Données projet'!$B$14,Paramètres!$A$1:$I$89,3,0)*0.475*44/12</f>
        <v>8.066624124076462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34.086544942115168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3.8</v>
      </c>
      <c r="EJ82" s="12">
        <f>IF('Données projet'!$A$192&gt;35,EJ81+EI82-ER81,IF(A82&lt;'Données projet'!$A$192,$EG$205^A82,IF(A82='Données projet'!$A$192,'Données projet'!$B$192,EJ81+EI82-ER81)))</f>
        <v>207.20000000000016</v>
      </c>
      <c r="EK82" s="17">
        <f>EJ82*VLOOKUP('Données projet'!$B$15,Paramètres!$A$1:$I$89,3,0)*VLOOKUP('Données projet'!$B$15,Paramètres!$A$1:$I$89,5,0)</f>
        <v>135.75744000000009</v>
      </c>
      <c r="EL82" s="13">
        <f t="shared" si="99"/>
        <v>35.323360776061499</v>
      </c>
      <c r="EM82" s="20">
        <f t="shared" si="73"/>
        <v>297.96572801830723</v>
      </c>
      <c r="EN82" s="59">
        <f t="shared" si="74"/>
        <v>591.2990613516406</v>
      </c>
      <c r="EO82" s="59">
        <f ca="1">AVERAGE(OFFSET($EN$3,0,0,'Données projet'!$E$15+1,1))-AVERAGE(OFFSET($H$3,0,0,'Données projet'!$E$15+1,1))</f>
        <v>230.58262378842818</v>
      </c>
      <c r="EP82" s="59">
        <f t="shared" si="100"/>
        <v>235.68746142880792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0.9033964113350339</v>
      </c>
      <c r="EW82" s="21">
        <f>EXP(-LN(2)/25)*EW81+(1-EXP(-LN(2)/25))/(LN(2)/25)*Calculateur!ER82*Calculateur!ET82*VLOOKUP('Données projet'!$B$15,Paramètres!$A$1:$I$89,3,0)*0.475*44/12</f>
        <v>8.481479162774491</v>
      </c>
      <c r="EX82" s="21">
        <f>EXP(-LN(2)/2)*EX81+(1-EXP(-LN(2)/2))/(LN(2)/2)*ER82*EU82*VLOOKUP('Données projet'!$B$15,Paramètres!$A$1:$I$89,3,0)*0.475*44/12</f>
        <v>0.91323278751662773</v>
      </c>
      <c r="EY82" s="22">
        <f t="shared" si="75"/>
        <v>10.298108361626152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4.2</v>
      </c>
      <c r="FE82" s="12">
        <f>IF('Données projet'!$A$218&gt;35,FE81+FD82-FM81,IF(A82&lt;'Données projet'!$A$218,$FB$205^A82,IF(A82='Données projet'!$A$218,'Données projet'!$B$218,FE81+FD82-FM81)))</f>
        <v>229.80000000000007</v>
      </c>
      <c r="FF82" s="17">
        <f>FE82*VLOOKUP('Données projet'!$B$16,Paramètres!$A$1:$I$89,3,0)*VLOOKUP('Données projet'!$B$16,Paramètres!$A$1:$I$89,5,0)</f>
        <v>186.41376000000005</v>
      </c>
      <c r="FG82" s="13">
        <f t="shared" si="101"/>
        <v>46.746208944321332</v>
      </c>
      <c r="FH82" s="20">
        <f t="shared" si="76"/>
        <v>406.08694591135969</v>
      </c>
      <c r="FI82" s="59">
        <f t="shared" si="77"/>
        <v>699.42027924469301</v>
      </c>
      <c r="FJ82" s="59">
        <f ca="1">AVERAGE(OFFSET($FI$3,0,0,'Données projet'!$E$16+1,1))-AVERAGE(OFFSET($H$3,0,0,'Données projet'!$E$16+1,1))</f>
        <v>272.90535195666996</v>
      </c>
      <c r="FK82" s="59">
        <f t="shared" si="102"/>
        <v>222.25422164416898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1.3595756250974478</v>
      </c>
      <c r="FR82" s="21">
        <f>EXP(-LN(2)/25)*FR81+(1-EXP(-LN(2)/25))/(LN(2)/25)*Calculateur!FM82*Calculateur!FO82*VLOOKUP('Données projet'!$B$16,Paramètres!$A$1:$I$89,3,0)*0.475*44/12</f>
        <v>8.6921139065477373</v>
      </c>
      <c r="FS82" s="21">
        <f>EXP(-LN(2)/2)*FS81+(1-EXP(-LN(2)/2))/(LN(2)/2)*FM82*FP82*VLOOKUP('Données projet'!$B$16,Paramètres!$A$1:$I$89,3,0)*0.475*44/12</f>
        <v>0.97623342911425903</v>
      </c>
      <c r="FT82" s="22">
        <f t="shared" si="78"/>
        <v>11.027922960759444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829.8861125098565</v>
      </c>
      <c r="S83" s="59">
        <f ca="1">AVERAGE(OFFSET($R$3,0,0,'Données projet'!$E$9+1,1))-AVERAGE(OFFSET($H$3,0,0,'Données projet'!$E$9+1,1))</f>
        <v>384.05928630855732</v>
      </c>
      <c r="T83" s="59">
        <f t="shared" si="88"/>
        <v>279.93992813630513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304.99999999999983</v>
      </c>
      <c r="AJ83" s="13">
        <f>AI83*VLOOKUP('Données projet'!$B$10,Paramètres!$A$1:$I$89,3,0)*VLOOKUP('Données projet'!$B$10,Paramètres!$A$1:$I$89,5,0)</f>
        <v>275.96399999999983</v>
      </c>
      <c r="AK83" s="13">
        <f t="shared" si="89"/>
        <v>66.113366665488854</v>
      </c>
      <c r="AL83" s="20">
        <f t="shared" si="58"/>
        <v>595.78474694239264</v>
      </c>
      <c r="AM83" s="59">
        <f t="shared" si="59"/>
        <v>889.11808027572602</v>
      </c>
      <c r="AN83" s="59">
        <f ca="1">AVERAGE(OFFSET($AM$3,0,0,'Données projet'!$E$10+1,1))-AVERAGE(OFFSET($H$3,0,0,'Données projet'!$E$10+1,1))</f>
        <v>366.69125512029831</v>
      </c>
      <c r="AO83" s="59">
        <f t="shared" si="90"/>
        <v>513.80016421153414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0.60044078344209073</v>
      </c>
      <c r="AV83" s="21">
        <f>EXP(-LN(2)/25)*AV82+(1-EXP(-LN(2)/25))/(LN(2)/25)*Calculateur!AQ83*Calculateur!AS83*VLOOKUP('Données projet'!$B$10,Paramètres!$A$1:$I$89,3,0)*0.475*44/12</f>
        <v>1.8457510885896109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2.4461918720317017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214.03200000000004</v>
      </c>
      <c r="BF83" s="13">
        <f t="shared" si="91"/>
        <v>52.815701536972242</v>
      </c>
      <c r="BG83" s="20">
        <f t="shared" si="61"/>
        <v>464.75974684356009</v>
      </c>
      <c r="BH83" s="59">
        <f t="shared" si="62"/>
        <v>758.09308017689341</v>
      </c>
      <c r="BI83" s="59">
        <f ca="1">AVERAGE(OFFSET($BH$3,0,0,'Données projet'!$E$11+1,1))-AVERAGE(OFFSET($H$3,0,0,'Données projet'!$E$11+1,1))</f>
        <v>354.24684313982857</v>
      </c>
      <c r="BJ83" s="59">
        <f t="shared" si="92"/>
        <v>322.65043486962185</v>
      </c>
      <c r="BK83" s="15">
        <f>IF(ISNA(VLOOKUP(A83,'Données projet'!$A$87:$I$107,3,0)),0,VLOOKUP(A83,'Données projet'!$A$87:$I$107,3,0))</f>
        <v>13</v>
      </c>
      <c r="BL83" s="21" t="str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0.129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23.122525077489612</v>
      </c>
      <c r="BQ83" s="21">
        <f>EXP(-LN(2)/25)*BQ82+(1-EXP(-LN(2)/25))/(LN(2)/25)*Calculateur!BL83*Calculateur!BN83*VLOOKUP('Données projet'!$B$11,Paramètres!$A$1:$I$89,3,0)*0.475*44/12</f>
        <v>18.732384984965741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41.854910062455353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274.01282051282055</v>
      </c>
      <c r="BW83" s="12">
        <f>VLOOKUP(A83,'Données projet'!$A$113:$I$133,9,0)</f>
        <v>7.8425925925925934</v>
      </c>
      <c r="BX83" s="12">
        <f t="array" ref="BX83">INDEX(BW:BW,MIN(IF(ISNUMBER(BW83:BW279),ROW(BW83:BW279),"")))</f>
        <v>7.8425925925925934</v>
      </c>
      <c r="BY83" s="12">
        <f>IF('Données projet'!$A$114&gt;35,BY82+BX83-CG82,IF(A83&lt;'Données projet'!$A$114,$BV$205^A83,IF(A83='Données projet'!$A$114,'Données projet'!$B$114,BY82+BX83-CG82)))</f>
        <v>274.01282051282072</v>
      </c>
      <c r="BZ83" s="13">
        <f>BY83*VLOOKUP('Données projet'!$B$12,Paramètres!$A$1:$I$89,3,0)*VLOOKUP('Données projet'!$B$12,Paramètres!$A$1:$I$89,5,0)</f>
        <v>265.02520000000021</v>
      </c>
      <c r="CA83" s="13">
        <f t="shared" si="93"/>
        <v>63.792351173757886</v>
      </c>
      <c r="CB83" s="20">
        <f t="shared" si="64"/>
        <v>572.6905682942953</v>
      </c>
      <c r="CC83" s="59">
        <f t="shared" si="65"/>
        <v>866.02390162762867</v>
      </c>
      <c r="CD83" s="59">
        <f ca="1">AVERAGE(OFFSET($CC$3,0,0,'Données projet'!$E$12+1,1))-AVERAGE(OFFSET($H$3,0,0,'Données projet'!$E$12+1,1))</f>
        <v>407.73540492005355</v>
      </c>
      <c r="CE83" s="59">
        <f t="shared" si="94"/>
        <v>296.29416764204774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45.608974358974358</v>
      </c>
      <c r="CH83" s="16">
        <f>IF(ISNA(VLOOKUP(A83,'Données projet'!$A$113:$I$133,5,0)),0%,VLOOKUP(A83,'Données projet'!$A$113:$I$133,5,0)*VLOOKUP('Données projet'!$B$12,Paramètres!$A$1:$I$89,7,0))</f>
        <v>0.30099999999999999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35.02253576944932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35.02253576944932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218.78999999999988</v>
      </c>
      <c r="CV83" s="13">
        <f t="shared" si="95"/>
        <v>53.851813843863468</v>
      </c>
      <c r="CW83" s="20">
        <f t="shared" si="67"/>
        <v>474.85115911139536</v>
      </c>
      <c r="CX83" s="59">
        <f t="shared" si="68"/>
        <v>768.18449244472868</v>
      </c>
      <c r="CY83" s="59">
        <f ca="1">AVERAGE(OFFSET($CX$3,0,0,'Données projet'!$E$13+1,1))-AVERAGE(OFFSET($H$3,0,0,'Données projet'!$E$13+1,1))</f>
        <v>299.10536994156814</v>
      </c>
      <c r="CZ83" s="59">
        <f t="shared" si="96"/>
        <v>292.57799203101769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8</v>
      </c>
      <c r="DC83" s="16">
        <f>IF(ISNA(VLOOKUP(A83,'Données projet'!$A$139:$I$159,5,0)),0%,VLOOKUP(A83,'Données projet'!$A$139:$I$159,5,0)*VLOOKUP('Données projet'!$B$13,Paramètres!$A$1:$I$89,7,0))</f>
        <v>0.46640000000000004</v>
      </c>
      <c r="DD83" s="16">
        <f>IF(ISNA(VLOOKUP(A83,'Données projet'!$A$139:$I$159,6,0)),0%,VLOOKUP(A83,'Données projet'!$A$139:$I$159,6,0)*VLOOKUP('Données projet'!$B$13,Paramètres!$A$1:$I$89,7,0))</f>
        <v>6.8900000000000003E-2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28.791322088719753</v>
      </c>
      <c r="DG83" s="21">
        <f>EXP(-LN(2)/25)*DG82+(1-EXP(-LN(2)/25))/(LN(2)/25)*Calculateur!DB83*Calculateur!DD83*VLOOKUP('Données projet'!$B$13,Paramètres!$A$1:$I$89,3,0)*0.475*44/12</f>
        <v>8.3289202148532624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37.120242303573015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218.78999999999988</v>
      </c>
      <c r="DQ83" s="13">
        <f t="shared" si="97"/>
        <v>53.851813843863468</v>
      </c>
      <c r="DR83" s="20">
        <f t="shared" si="70"/>
        <v>474.85115911139536</v>
      </c>
      <c r="DS83" s="59">
        <f t="shared" si="71"/>
        <v>768.18449244472868</v>
      </c>
      <c r="DT83" s="59">
        <f ca="1">AVERAGE(OFFSET($DS$3,0,0,'Données projet'!$E$14+1,1))-AVERAGE(OFFSET($H$3,0,0,'Données projet'!$E$14+1,1))</f>
        <v>299.10536994156814</v>
      </c>
      <c r="DU83" s="59">
        <f t="shared" si="98"/>
        <v>292.57799203101769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0.46640000000000004</v>
      </c>
      <c r="DY83" s="16">
        <f>IF(ISNA(VLOOKUP(A83,'Données projet'!$A$165:$I$185,6,0)),0%,VLOOKUP(A83,'Données projet'!$A$165:$I$185,6,0)*VLOOKUP('Données projet'!$B$14,Paramètres!$A$1:$I$89,7,0))</f>
        <v>6.8900000000000003E-2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28.791322088719753</v>
      </c>
      <c r="EB83" s="21">
        <f>EXP(-LN(2)/25)*EB82+(1-EXP(-LN(2)/25))/(LN(2)/25)*Calculateur!DW83*Calculateur!DY83*VLOOKUP('Données projet'!$B$14,Paramètres!$A$1:$I$89,3,0)*0.475*44/12</f>
        <v>8.3289202148532624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37.120242303573015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211</v>
      </c>
      <c r="EH83" s="12">
        <f>VLOOKUP(A83,'Données projet'!$A$191:$I$211,9,0)</f>
        <v>3.8</v>
      </c>
      <c r="EI83" s="12">
        <f t="array" ref="EI83">INDEX(EH:EH,MIN(IF(ISNUMBER(EH83:EH279),ROW(EH83:EH279),"")))</f>
        <v>3.8</v>
      </c>
      <c r="EJ83" s="12">
        <f>IF('Données projet'!$A$192&gt;35,EJ82+EI83-ER82,IF(A83&lt;'Données projet'!$A$192,$EG$205^A83,IF(A83='Données projet'!$A$192,'Données projet'!$B$192,EJ82+EI83-ER82)))</f>
        <v>211.00000000000017</v>
      </c>
      <c r="EK83" s="17">
        <f>EJ83*VLOOKUP('Données projet'!$B$15,Paramètres!$A$1:$I$89,3,0)*VLOOKUP('Données projet'!$B$15,Paramètres!$A$1:$I$89,5,0)</f>
        <v>138.24720000000011</v>
      </c>
      <c r="EL83" s="13">
        <f t="shared" si="99"/>
        <v>35.895169667226</v>
      </c>
      <c r="EM83" s="20">
        <f t="shared" si="73"/>
        <v>303.29796050375211</v>
      </c>
      <c r="EN83" s="59">
        <f t="shared" si="74"/>
        <v>596.63129383708542</v>
      </c>
      <c r="EO83" s="59">
        <f ca="1">AVERAGE(OFFSET($EN$3,0,0,'Données projet'!$E$15+1,1))-AVERAGE(OFFSET($H$3,0,0,'Données projet'!$E$15+1,1))</f>
        <v>230.58262378842818</v>
      </c>
      <c r="EP83" s="59">
        <f t="shared" si="100"/>
        <v>235.68746142880792</v>
      </c>
      <c r="EQ83" s="15">
        <f>IF(ISNA(VLOOKUP(A83,'Données projet'!$A$191:$I$211,3,0)),0,VLOOKUP(A83,'Données projet'!$A$191:$I$211,3,0))</f>
        <v>15</v>
      </c>
      <c r="ER83" s="15">
        <f>IF(ISNA(VLOOKUP(A83,'Données projet'!$A$191:$I$211,4,0)),0,VLOOKUP(A83,'Données projet'!$A$191:$I$211,4,0))</f>
        <v>15</v>
      </c>
      <c r="ES83" s="16">
        <f>IF(ISNA(VLOOKUP(A83,'Données projet'!$A$191:$I$211,5,0)),0%,VLOOKUP(A83,'Données projet'!$A$191:$I$211,5,0)*VLOOKUP('Données projet'!$B$15,Paramètres!$A$1:$I$89,7,0))</f>
        <v>4.3000000000000003E-2</v>
      </c>
      <c r="ET83" s="16">
        <f>IF(ISNA(VLOOKUP(A83,'Données projet'!$A$191:$I$211,6,0)),0%,VLOOKUP(A83,'Données projet'!$A$191:$I$211,6,0)*VLOOKUP('Données projet'!$B$15,Paramètres!$A$1:$I$89,7,0))</f>
        <v>0.17200000000000001</v>
      </c>
      <c r="EU83" s="16">
        <f>IF(ISNA(VLOOKUP(A83,'Données projet'!$A$191:$I$211,7,0)),0%,VLOOKUP(A83,'Données projet'!$A$191:$I$211,7,0))</f>
        <v>0.3</v>
      </c>
      <c r="EV83" s="21">
        <f>EXP(-LN(2)/35)*EV82+(1-EXP(-LN(2)/35))/(LN(2)/35)*ER83*ES83*VLOOKUP('Données projet'!$B$15,Paramètres!$A$1:$I$89,3,0)*0.475*44/12</f>
        <v>1.3528575629982993</v>
      </c>
      <c r="EW83" s="21">
        <f>EXP(-LN(2)/25)*EW82+(1-EXP(-LN(2)/25))/(LN(2)/25)*Calculateur!ER83*Calculateur!ET83*VLOOKUP('Données projet'!$B$15,Paramètres!$A$1:$I$89,3,0)*0.475*44/12</f>
        <v>10.110899683238154</v>
      </c>
      <c r="EX83" s="21">
        <f>EXP(-LN(2)/2)*EX82+(1-EXP(-LN(2)/2))/(LN(2)/2)*ER83*EU83*VLOOKUP('Données projet'!$B$15,Paramètres!$A$1:$I$89,3,0)*0.475*44/12</f>
        <v>3.4276478518774272</v>
      </c>
      <c r="EY83" s="22">
        <f t="shared" si="75"/>
        <v>14.89140509811388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234</v>
      </c>
      <c r="FC83" s="12">
        <f>VLOOKUP(A83,'Données projet'!$A$217:$I$237,9,0)</f>
        <v>4.2</v>
      </c>
      <c r="FD83" s="12">
        <f t="array" ref="FD83">INDEX(FC:FC,MIN(IF(ISNUMBER(FC83:FC279),ROW(FC83:FC279),"")))</f>
        <v>4.2</v>
      </c>
      <c r="FE83" s="12">
        <f>IF('Données projet'!$A$218&gt;35,FE82+FD83-FM82,IF(A83&lt;'Données projet'!$A$218,$FB$205^A83,IF(A83='Données projet'!$A$218,'Données projet'!$B$218,FE82+FD83-FM82)))</f>
        <v>234.00000000000006</v>
      </c>
      <c r="FF83" s="17">
        <f>FE83*VLOOKUP('Données projet'!$B$16,Paramètres!$A$1:$I$89,3,0)*VLOOKUP('Données projet'!$B$16,Paramètres!$A$1:$I$89,5,0)</f>
        <v>189.82080000000005</v>
      </c>
      <c r="FG83" s="13">
        <f t="shared" si="101"/>
        <v>47.500332100049796</v>
      </c>
      <c r="FH83" s="20">
        <f t="shared" si="76"/>
        <v>413.33430507425345</v>
      </c>
      <c r="FI83" s="59">
        <f t="shared" si="77"/>
        <v>706.66763840758676</v>
      </c>
      <c r="FJ83" s="59">
        <f ca="1">AVERAGE(OFFSET($FI$3,0,0,'Données projet'!$E$16+1,1))-AVERAGE(OFFSET($H$3,0,0,'Données projet'!$E$16+1,1))</f>
        <v>272.90535195666996</v>
      </c>
      <c r="FK83" s="59">
        <f t="shared" si="102"/>
        <v>222.25422164416898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13</v>
      </c>
      <c r="FN83" s="16">
        <f>IF(ISNA(VLOOKUP(A83,'Données projet'!$A$217:$I$237,5,0)),0%,VLOOKUP(A83,'Données projet'!$A$217:$I$237,5,0)*VLOOKUP('Données projet'!$B$16,Paramètres!$A$1:$I$89,7,0))</f>
        <v>8.6000000000000007E-2</v>
      </c>
      <c r="FO83" s="16">
        <f>IF(ISNA(VLOOKUP(A83,'Données projet'!$A$217:$I$237,6,0)),0%,VLOOKUP(A83,'Données projet'!$A$217:$I$237,6,0)*VLOOKUP('Données projet'!$B$16,Paramètres!$A$1:$I$89,7,0))</f>
        <v>0.215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2.3354901417071661</v>
      </c>
      <c r="FR83" s="21">
        <f>EXP(-LN(2)/25)*FR82+(1-EXP(-LN(2)/25))/(LN(2)/25)*Calculateur!FM83*Calculateur!FO83*VLOOKUP('Données projet'!$B$16,Paramètres!$A$1:$I$89,3,0)*0.475*44/12</f>
        <v>10.950996208947291</v>
      </c>
      <c r="FS83" s="21">
        <f>EXP(-LN(2)/2)*FS82+(1-EXP(-LN(2)/2))/(LN(2)/2)*FM83*FP83*VLOOKUP('Données projet'!$B$16,Paramètres!$A$1:$I$89,3,0)*0.475*44/12</f>
        <v>2.680312763880206</v>
      </c>
      <c r="FT83" s="22">
        <f t="shared" si="78"/>
        <v>15.966799114534663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756.83989593593788</v>
      </c>
      <c r="S84" s="59">
        <f ca="1">AVERAGE(OFFSET($R$3,0,0,'Données projet'!$E$9+1,1))-AVERAGE(OFFSET($H$3,0,0,'Données projet'!$E$9+1,1))</f>
        <v>384.05928630855732</v>
      </c>
      <c r="T84" s="59">
        <f t="shared" si="88"/>
        <v>279.93992813630513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304.99999999999983</v>
      </c>
      <c r="AJ84" s="13">
        <f>AI84*VLOOKUP('Données projet'!$B$10,Paramètres!$A$1:$I$89,3,0)*VLOOKUP('Données projet'!$B$10,Paramètres!$A$1:$I$89,5,0)</f>
        <v>275.96399999999983</v>
      </c>
      <c r="AK84" s="13">
        <f t="shared" si="89"/>
        <v>66.113366665488854</v>
      </c>
      <c r="AL84" s="20">
        <f t="shared" si="58"/>
        <v>595.78474694239264</v>
      </c>
      <c r="AM84" s="59">
        <f t="shared" si="59"/>
        <v>889.11808027572602</v>
      </c>
      <c r="AN84" s="59">
        <f ca="1">AVERAGE(OFFSET($AM$3,0,0,'Données projet'!$E$10+1,1))-AVERAGE(OFFSET($H$3,0,0,'Données projet'!$E$10+1,1))</f>
        <v>366.69125512029831</v>
      </c>
      <c r="AO84" s="59">
        <f t="shared" si="90"/>
        <v>513.80016421153414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0.58866650591150671</v>
      </c>
      <c r="AV84" s="21">
        <f>EXP(-LN(2)/25)*AV83+(1-EXP(-LN(2)/25))/(LN(2)/25)*Calculateur!AQ84*Calculateur!AS84*VLOOKUP('Données projet'!$B$10,Paramètres!$A$1:$I$89,3,0)*0.475*44/12</f>
        <v>1.7952789280082968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2.3839454339198034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204.07296000000005</v>
      </c>
      <c r="BF84" s="13">
        <f t="shared" si="91"/>
        <v>50.638228095278635</v>
      </c>
      <c r="BG84" s="20">
        <f t="shared" si="61"/>
        <v>443.62198593261041</v>
      </c>
      <c r="BH84" s="59">
        <f t="shared" si="62"/>
        <v>736.95531926594367</v>
      </c>
      <c r="BI84" s="59">
        <f ca="1">AVERAGE(OFFSET($BH$3,0,0,'Données projet'!$E$11+1,1))-AVERAGE(OFFSET($H$3,0,0,'Données projet'!$E$11+1,1))</f>
        <v>354.24684313982857</v>
      </c>
      <c r="BJ84" s="59">
        <f t="shared" si="92"/>
        <v>322.65043486962185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22.669106464067749</v>
      </c>
      <c r="BQ84" s="21">
        <f>EXP(-LN(2)/25)*BQ83+(1-EXP(-LN(2)/25))/(LN(2)/25)*Calculateur!BL84*Calculateur!BN84*VLOOKUP('Données projet'!$B$11,Paramètres!$A$1:$I$89,3,0)*0.475*44/12</f>
        <v>18.22014693245854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40.889253396526286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7.4950142450142421</v>
      </c>
      <c r="BY84" s="12">
        <f>IF('Données projet'!$A$114&gt;35,BY83+BX84-CG83,IF(A84&lt;'Données projet'!$A$114,$BV$205^A84,IF(A84='Données projet'!$A$114,'Données projet'!$B$114,BY83+BX84-CG83)))</f>
        <v>235.89886039886062</v>
      </c>
      <c r="BZ84" s="13">
        <f>BY84*VLOOKUP('Données projet'!$B$12,Paramètres!$A$1:$I$89,3,0)*VLOOKUP('Données projet'!$B$12,Paramètres!$A$1:$I$89,5,0)</f>
        <v>228.161377777778</v>
      </c>
      <c r="CA84" s="13">
        <f t="shared" si="93"/>
        <v>55.884942905003825</v>
      </c>
      <c r="CB84" s="20">
        <f t="shared" si="64"/>
        <v>494.71400852251162</v>
      </c>
      <c r="CC84" s="59">
        <f t="shared" si="65"/>
        <v>788.04734185584493</v>
      </c>
      <c r="CD84" s="59">
        <f ca="1">AVERAGE(OFFSET($CC$3,0,0,'Données projet'!$E$12+1,1))-AVERAGE(OFFSET($H$3,0,0,'Données projet'!$E$12+1,1))</f>
        <v>407.73540492005355</v>
      </c>
      <c r="CE84" s="59">
        <f t="shared" si="94"/>
        <v>296.29416764204774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34.335765204647949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34.335765204647949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266.99999999999983</v>
      </c>
      <c r="CU84" s="17">
        <f>CT84*VLOOKUP('Données projet'!$B$13,Paramètres!$A$1:$I$89,3,0)*VLOOKUP('Données projet'!$B$13,Paramètres!$A$1:$I$89,5,0)</f>
        <v>212.42519999999985</v>
      </c>
      <c r="CV84" s="13">
        <f t="shared" si="95"/>
        <v>52.465198231787184</v>
      </c>
      <c r="CW84" s="20">
        <f t="shared" si="67"/>
        <v>461.35077692036231</v>
      </c>
      <c r="CX84" s="59">
        <f t="shared" si="68"/>
        <v>754.68411025369562</v>
      </c>
      <c r="CY84" s="59">
        <f ca="1">AVERAGE(OFFSET($CX$3,0,0,'Données projet'!$E$13+1,1))-AVERAGE(OFFSET($H$3,0,0,'Données projet'!$E$13+1,1))</f>
        <v>299.10536994156814</v>
      </c>
      <c r="CZ84" s="59">
        <f t="shared" si="96"/>
        <v>292.57799203101769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28.226741823532429</v>
      </c>
      <c r="DG84" s="21">
        <f>EXP(-LN(2)/25)*DG83+(1-EXP(-LN(2)/25))/(LN(2)/25)*Calculateur!DB84*Calculateur!DD84*VLOOKUP('Données projet'!$B$13,Paramètres!$A$1:$I$89,3,0)*0.475*44/12</f>
        <v>8.1011654535792221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36.327907277111649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266.99999999999983</v>
      </c>
      <c r="DP84" s="17">
        <f>DO84*VLOOKUP('Données projet'!$B$14,Paramètres!$A$1:$I$89,3,0)*VLOOKUP('Données projet'!$B$14,Paramètres!$A$1:$I$89,5,0)</f>
        <v>212.42519999999985</v>
      </c>
      <c r="DQ84" s="13">
        <f t="shared" si="97"/>
        <v>52.465198231787184</v>
      </c>
      <c r="DR84" s="20">
        <f t="shared" si="70"/>
        <v>461.35077692036231</v>
      </c>
      <c r="DS84" s="59">
        <f t="shared" si="71"/>
        <v>754.68411025369562</v>
      </c>
      <c r="DT84" s="59">
        <f ca="1">AVERAGE(OFFSET($DS$3,0,0,'Données projet'!$E$14+1,1))-AVERAGE(OFFSET($H$3,0,0,'Données projet'!$E$14+1,1))</f>
        <v>299.10536994156814</v>
      </c>
      <c r="DU84" s="59">
        <f t="shared" si="98"/>
        <v>292.57799203101769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28.226741823532429</v>
      </c>
      <c r="EB84" s="21">
        <f>EXP(-LN(2)/25)*EB83+(1-EXP(-LN(2)/25))/(LN(2)/25)*Calculateur!DW84*Calculateur!DY84*VLOOKUP('Données projet'!$B$14,Paramètres!$A$1:$I$89,3,0)*0.475*44/12</f>
        <v>8.1011654535792221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36.327907277111649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3.6</v>
      </c>
      <c r="EJ84" s="12">
        <f>IF('Données projet'!$A$192&gt;35,EJ83+EI84-ER83,IF(A84&lt;'Données projet'!$A$192,$EG$205^A84,IF(A84='Données projet'!$A$192,'Données projet'!$B$192,EJ83+EI84-ER83)))</f>
        <v>199.60000000000016</v>
      </c>
      <c r="EK84" s="17">
        <f>EJ84*VLOOKUP('Données projet'!$B$15,Paramètres!$A$1:$I$89,3,0)*VLOOKUP('Données projet'!$B$15,Paramètres!$A$1:$I$89,5,0)</f>
        <v>130.77792000000011</v>
      </c>
      <c r="EL84" s="13">
        <f t="shared" si="99"/>
        <v>34.176051340149542</v>
      </c>
      <c r="EM84" s="20">
        <f t="shared" si="73"/>
        <v>287.2948334174273</v>
      </c>
      <c r="EN84" s="59">
        <f t="shared" si="74"/>
        <v>580.62816675076056</v>
      </c>
      <c r="EO84" s="59">
        <f ca="1">AVERAGE(OFFSET($EN$3,0,0,'Données projet'!$E$15+1,1))-AVERAGE(OFFSET($H$3,0,0,'Données projet'!$E$15+1,1))</f>
        <v>230.58262378842818</v>
      </c>
      <c r="EP84" s="59">
        <f t="shared" si="100"/>
        <v>235.68746142880792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1.3263288513495382</v>
      </c>
      <c r="EW84" s="21">
        <f>EXP(-LN(2)/25)*EW83+(1-EXP(-LN(2)/25))/(LN(2)/25)*Calculateur!ER84*Calculateur!ET84*VLOOKUP('Données projet'!$B$15,Paramètres!$A$1:$I$89,3,0)*0.475*44/12</f>
        <v>9.8344165996909005</v>
      </c>
      <c r="EX84" s="21">
        <f>EXP(-LN(2)/2)*EX83+(1-EXP(-LN(2)/2))/(LN(2)/2)*ER84*EU84*VLOOKUP('Données projet'!$B$15,Paramètres!$A$1:$I$89,3,0)*0.475*44/12</f>
        <v>2.4237130395820317</v>
      </c>
      <c r="EY84" s="22">
        <f t="shared" si="75"/>
        <v>13.58445849062247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4</v>
      </c>
      <c r="FE84" s="12">
        <f>IF('Données projet'!$A$218&gt;35,FE83+FD84-FM83,IF(A84&lt;'Données projet'!$A$218,$FB$205^A84,IF(A84='Données projet'!$A$218,'Données projet'!$B$218,FE83+FD84-FM83)))</f>
        <v>225.00000000000006</v>
      </c>
      <c r="FF84" s="17">
        <f>FE84*VLOOKUP('Données projet'!$B$16,Paramètres!$A$1:$I$89,3,0)*VLOOKUP('Données projet'!$B$16,Paramètres!$A$1:$I$89,5,0)</f>
        <v>182.52000000000004</v>
      </c>
      <c r="FG84" s="13">
        <f t="shared" si="101"/>
        <v>45.882385280285632</v>
      </c>
      <c r="FH84" s="20">
        <f t="shared" si="76"/>
        <v>397.80082102983084</v>
      </c>
      <c r="FI84" s="59">
        <f t="shared" si="77"/>
        <v>691.13415436316416</v>
      </c>
      <c r="FJ84" s="59">
        <f ca="1">AVERAGE(OFFSET($FI$3,0,0,'Données projet'!$E$16+1,1))-AVERAGE(OFFSET($H$3,0,0,'Données projet'!$E$16+1,1))</f>
        <v>272.90535195666996</v>
      </c>
      <c r="FK84" s="59">
        <f t="shared" si="102"/>
        <v>222.25422164416898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2.2896926045366164</v>
      </c>
      <c r="FR84" s="21">
        <f>EXP(-LN(2)/25)*FR83+(1-EXP(-LN(2)/25))/(LN(2)/25)*Calculateur!FM84*Calculateur!FO84*VLOOKUP('Données projet'!$B$16,Paramètres!$A$1:$I$89,3,0)*0.475*44/12</f>
        <v>10.651540641725767</v>
      </c>
      <c r="FS84" s="21">
        <f>EXP(-LN(2)/2)*FS83+(1-EXP(-LN(2)/2))/(LN(2)/2)*FM84*FP84*VLOOKUP('Données projet'!$B$16,Paramètres!$A$1:$I$89,3,0)*0.475*44/12</f>
        <v>1.8952673310405515</v>
      </c>
      <c r="FT84" s="22">
        <f t="shared" si="78"/>
        <v>14.836500577302935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771.22242318070607</v>
      </c>
      <c r="S85" s="59">
        <f ca="1">AVERAGE(OFFSET($R$3,0,0,'Données projet'!$E$9+1,1))-AVERAGE(OFFSET($H$3,0,0,'Données projet'!$E$9+1,1))</f>
        <v>384.05928630855732</v>
      </c>
      <c r="T85" s="59">
        <f t="shared" si="88"/>
        <v>279.93992813630513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304.99999999999983</v>
      </c>
      <c r="AJ85" s="13">
        <f>AI85*VLOOKUP('Données projet'!$B$10,Paramètres!$A$1:$I$89,3,0)*VLOOKUP('Données projet'!$B$10,Paramètres!$A$1:$I$89,5,0)</f>
        <v>275.96399999999983</v>
      </c>
      <c r="AK85" s="13">
        <f t="shared" si="89"/>
        <v>66.113366665488854</v>
      </c>
      <c r="AL85" s="20">
        <f t="shared" si="58"/>
        <v>595.78474694239264</v>
      </c>
      <c r="AM85" s="59">
        <f t="shared" si="59"/>
        <v>889.11808027572602</v>
      </c>
      <c r="AN85" s="59">
        <f ca="1">AVERAGE(OFFSET($AM$3,0,0,'Données projet'!$E$10+1,1))-AVERAGE(OFFSET($H$3,0,0,'Données projet'!$E$10+1,1))</f>
        <v>366.69125512029831</v>
      </c>
      <c r="AO85" s="59">
        <f t="shared" si="90"/>
        <v>513.80016421153414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0.57712311478169731</v>
      </c>
      <c r="AV85" s="21">
        <f>EXP(-LN(2)/25)*AV84+(1-EXP(-LN(2)/25))/(LN(2)/25)*Calculateur!AQ85*Calculateur!AS85*VLOOKUP('Données projet'!$B$10,Paramètres!$A$1:$I$89,3,0)*0.475*44/12</f>
        <v>1.7461869313122942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2.3233100460939915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207.21792000000005</v>
      </c>
      <c r="BF85" s="13">
        <f t="shared" si="91"/>
        <v>51.327160141561521</v>
      </c>
      <c r="BG85" s="20">
        <f t="shared" si="61"/>
        <v>450.29934791321972</v>
      </c>
      <c r="BH85" s="59">
        <f t="shared" si="62"/>
        <v>743.63268124655303</v>
      </c>
      <c r="BI85" s="59">
        <f ca="1">AVERAGE(OFFSET($BH$3,0,0,'Données projet'!$E$11+1,1))-AVERAGE(OFFSET($H$3,0,0,'Données projet'!$E$11+1,1))</f>
        <v>354.24684313982857</v>
      </c>
      <c r="BJ85" s="59">
        <f t="shared" si="92"/>
        <v>322.65043486962185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22.22457911309704</v>
      </c>
      <c r="BQ85" s="21">
        <f>EXP(-LN(2)/25)*BQ84+(1-EXP(-LN(2)/25))/(LN(2)/25)*Calculateur!BL85*Calculateur!BN85*VLOOKUP('Données projet'!$B$11,Paramètres!$A$1:$I$89,3,0)*0.475*44/12</f>
        <v>17.721916056434576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39.946495169531616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7.4950142450142421</v>
      </c>
      <c r="BY85" s="12">
        <f>IF('Données projet'!$A$114&gt;35,BY84+BX85-CG84,IF(A85&lt;'Données projet'!$A$114,$BV$205^A85,IF(A85='Données projet'!$A$114,'Données projet'!$B$114,BY84+BX85-CG84)))</f>
        <v>243.39387464387485</v>
      </c>
      <c r="BZ85" s="13">
        <f>BY85*VLOOKUP('Données projet'!$B$12,Paramètres!$A$1:$I$89,3,0)*VLOOKUP('Données projet'!$B$12,Paramètres!$A$1:$I$89,5,0)</f>
        <v>235.41055555555573</v>
      </c>
      <c r="CA85" s="13">
        <f t="shared" si="93"/>
        <v>57.450982289271202</v>
      </c>
      <c r="CB85" s="20">
        <f t="shared" si="64"/>
        <v>510.06717841307358</v>
      </c>
      <c r="CC85" s="59">
        <f t="shared" si="65"/>
        <v>803.40051174640689</v>
      </c>
      <c r="CD85" s="59">
        <f ca="1">AVERAGE(OFFSET($CC$3,0,0,'Données projet'!$E$12+1,1))-AVERAGE(OFFSET($H$3,0,0,'Données projet'!$E$12+1,1))</f>
        <v>407.73540492005355</v>
      </c>
      <c r="CE85" s="59">
        <f t="shared" si="94"/>
        <v>296.29416764204774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33.662461791733655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33.662461791733655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266.99999999999983</v>
      </c>
      <c r="CU85" s="17">
        <f>CT85*VLOOKUP('Données projet'!$B$13,Paramètres!$A$1:$I$89,3,0)*VLOOKUP('Données projet'!$B$13,Paramètres!$A$1:$I$89,5,0)</f>
        <v>212.42519999999985</v>
      </c>
      <c r="CV85" s="13">
        <f t="shared" si="95"/>
        <v>52.465198231787184</v>
      </c>
      <c r="CW85" s="20">
        <f t="shared" si="67"/>
        <v>461.35077692036231</v>
      </c>
      <c r="CX85" s="59">
        <f t="shared" si="68"/>
        <v>754.68411025369562</v>
      </c>
      <c r="CY85" s="59">
        <f ca="1">AVERAGE(OFFSET($CX$3,0,0,'Données projet'!$E$13+1,1))-AVERAGE(OFFSET($H$3,0,0,'Données projet'!$E$13+1,1))</f>
        <v>299.10536994156814</v>
      </c>
      <c r="CZ85" s="59">
        <f t="shared" si="96"/>
        <v>292.57799203101769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27.673232632985471</v>
      </c>
      <c r="DG85" s="21">
        <f>EXP(-LN(2)/25)*DG84+(1-EXP(-LN(2)/25))/(LN(2)/25)*Calculateur!DB85*Calculateur!DD85*VLOOKUP('Données projet'!$B$13,Paramètres!$A$1:$I$89,3,0)*0.475*44/12</f>
        <v>7.8796386582293225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35.552871291214792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266.99999999999983</v>
      </c>
      <c r="DP85" s="17">
        <f>DO85*VLOOKUP('Données projet'!$B$14,Paramètres!$A$1:$I$89,3,0)*VLOOKUP('Données projet'!$B$14,Paramètres!$A$1:$I$89,5,0)</f>
        <v>212.42519999999985</v>
      </c>
      <c r="DQ85" s="13">
        <f t="shared" si="97"/>
        <v>52.465198231787184</v>
      </c>
      <c r="DR85" s="20">
        <f t="shared" si="70"/>
        <v>461.35077692036231</v>
      </c>
      <c r="DS85" s="59">
        <f t="shared" si="71"/>
        <v>754.68411025369562</v>
      </c>
      <c r="DT85" s="59">
        <f ca="1">AVERAGE(OFFSET($DS$3,0,0,'Données projet'!$E$14+1,1))-AVERAGE(OFFSET($H$3,0,0,'Données projet'!$E$14+1,1))</f>
        <v>299.10536994156814</v>
      </c>
      <c r="DU85" s="59">
        <f t="shared" si="98"/>
        <v>292.57799203101769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27.673232632985471</v>
      </c>
      <c r="EB85" s="21">
        <f>EXP(-LN(2)/25)*EB84+(1-EXP(-LN(2)/25))/(LN(2)/25)*Calculateur!DW85*Calculateur!DY85*VLOOKUP('Données projet'!$B$14,Paramètres!$A$1:$I$89,3,0)*0.475*44/12</f>
        <v>7.8796386582293225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35.552871291214792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3.6</v>
      </c>
      <c r="EJ85" s="12">
        <f>IF('Données projet'!$A$192&gt;35,EJ84+EI85-ER84,IF(A85&lt;'Données projet'!$A$192,$EG$205^A85,IF(A85='Données projet'!$A$192,'Données projet'!$B$192,EJ84+EI85-ER84)))</f>
        <v>203.20000000000016</v>
      </c>
      <c r="EK85" s="17">
        <f>EJ85*VLOOKUP('Données projet'!$B$15,Paramètres!$A$1:$I$89,3,0)*VLOOKUP('Données projet'!$B$15,Paramètres!$A$1:$I$89,5,0)</f>
        <v>133.13664000000011</v>
      </c>
      <c r="EL85" s="13">
        <f t="shared" si="99"/>
        <v>34.720135986247172</v>
      </c>
      <c r="EM85" s="20">
        <f t="shared" si="73"/>
        <v>292.35055150938069</v>
      </c>
      <c r="EN85" s="59">
        <f t="shared" si="74"/>
        <v>585.68388484271395</v>
      </c>
      <c r="EO85" s="59">
        <f ca="1">AVERAGE(OFFSET($EN$3,0,0,'Données projet'!$E$15+1,1))-AVERAGE(OFFSET($H$3,0,0,'Données projet'!$E$15+1,1))</f>
        <v>230.58262378842818</v>
      </c>
      <c r="EP85" s="59">
        <f t="shared" si="100"/>
        <v>235.68746142880792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1.3003203515552928</v>
      </c>
      <c r="EW85" s="21">
        <f>EXP(-LN(2)/25)*EW84+(1-EXP(-LN(2)/25))/(LN(2)/25)*Calculateur!ER85*Calculateur!ET85*VLOOKUP('Données projet'!$B$15,Paramètres!$A$1:$I$89,3,0)*0.475*44/12</f>
        <v>9.5654939606028613</v>
      </c>
      <c r="EX85" s="21">
        <f>EXP(-LN(2)/2)*EX84+(1-EXP(-LN(2)/2))/(LN(2)/2)*ER85*EU85*VLOOKUP('Données projet'!$B$15,Paramètres!$A$1:$I$89,3,0)*0.475*44/12</f>
        <v>1.7138239259387138</v>
      </c>
      <c r="EY85" s="22">
        <f t="shared" si="75"/>
        <v>12.579638238096868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4</v>
      </c>
      <c r="FE85" s="12">
        <f>IF('Données projet'!$A$218&gt;35,FE84+FD85-FM84,IF(A85&lt;'Données projet'!$A$218,$FB$205^A85,IF(A85='Données projet'!$A$218,'Données projet'!$B$218,FE84+FD85-FM84)))</f>
        <v>229.00000000000006</v>
      </c>
      <c r="FF85" s="17">
        <f>FE85*VLOOKUP('Données projet'!$B$16,Paramètres!$A$1:$I$89,3,0)*VLOOKUP('Données projet'!$B$16,Paramètres!$A$1:$I$89,5,0)</f>
        <v>185.76480000000004</v>
      </c>
      <c r="FG85" s="13">
        <f t="shared" si="101"/>
        <v>46.602385341463361</v>
      </c>
      <c r="FH85" s="20">
        <f t="shared" si="76"/>
        <v>404.7061811363821</v>
      </c>
      <c r="FI85" s="59">
        <f t="shared" si="77"/>
        <v>698.03951446971541</v>
      </c>
      <c r="FJ85" s="59">
        <f ca="1">AVERAGE(OFFSET($FI$3,0,0,'Données projet'!$E$16+1,1))-AVERAGE(OFFSET($H$3,0,0,'Données projet'!$E$16+1,1))</f>
        <v>272.90535195666996</v>
      </c>
      <c r="FK85" s="59">
        <f t="shared" si="102"/>
        <v>222.25422164416898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2.2447931291362417</v>
      </c>
      <c r="FR85" s="21">
        <f>EXP(-LN(2)/25)*FR84+(1-EXP(-LN(2)/25))/(LN(2)/25)*Calculateur!FM85*Calculateur!FO85*VLOOKUP('Données projet'!$B$16,Paramètres!$A$1:$I$89,3,0)*0.475*44/12</f>
        <v>10.360273702737597</v>
      </c>
      <c r="FS85" s="21">
        <f>EXP(-LN(2)/2)*FS84+(1-EXP(-LN(2)/2))/(LN(2)/2)*FM85*FP85*VLOOKUP('Données projet'!$B$16,Paramètres!$A$1:$I$89,3,0)*0.475*44/12</f>
        <v>1.3401563819401032</v>
      </c>
      <c r="FT85" s="22">
        <f t="shared" si="78"/>
        <v>13.945223213813941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785.59574835378646</v>
      </c>
      <c r="S86" s="59">
        <f ca="1">AVERAGE(OFFSET($R$3,0,0,'Données projet'!$E$9+1,1))-AVERAGE(OFFSET($H$3,0,0,'Données projet'!$E$9+1,1))</f>
        <v>384.05928630855732</v>
      </c>
      <c r="T86" s="59">
        <f t="shared" si="88"/>
        <v>279.93992813630513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304.99999999999983</v>
      </c>
      <c r="AJ86" s="13">
        <f>AI86*VLOOKUP('Données projet'!$B$10,Paramètres!$A$1:$I$89,3,0)*VLOOKUP('Données projet'!$B$10,Paramètres!$A$1:$I$89,5,0)</f>
        <v>275.96399999999983</v>
      </c>
      <c r="AK86" s="13">
        <f t="shared" si="89"/>
        <v>66.113366665488854</v>
      </c>
      <c r="AL86" s="20">
        <f t="shared" si="58"/>
        <v>595.78474694239264</v>
      </c>
      <c r="AM86" s="59">
        <f t="shared" si="59"/>
        <v>889.11808027572602</v>
      </c>
      <c r="AN86" s="59">
        <f ca="1">AVERAGE(OFFSET($AM$3,0,0,'Données projet'!$E$10+1,1))-AVERAGE(OFFSET($H$3,0,0,'Données projet'!$E$10+1,1))</f>
        <v>366.69125512029831</v>
      </c>
      <c r="AO86" s="59">
        <f t="shared" si="90"/>
        <v>513.80016421153414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0.56580608251117015</v>
      </c>
      <c r="AV86" s="21">
        <f>EXP(-LN(2)/25)*AV85+(1-EXP(-LN(2)/25))/(LN(2)/25)*Calculateur!AQ86*Calculateur!AS86*VLOOKUP('Données projet'!$B$10,Paramètres!$A$1:$I$89,3,0)*0.475*44/12</f>
        <v>1.6984373578475798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2.2642434403587499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210.36288000000002</v>
      </c>
      <c r="BF86" s="13">
        <f t="shared" si="91"/>
        <v>52.014876138342963</v>
      </c>
      <c r="BG86" s="20">
        <f t="shared" si="61"/>
        <v>456.97459194094728</v>
      </c>
      <c r="BH86" s="59">
        <f t="shared" si="62"/>
        <v>750.30792527428059</v>
      </c>
      <c r="BI86" s="59">
        <f ca="1">AVERAGE(OFFSET($BH$3,0,0,'Données projet'!$E$11+1,1))-AVERAGE(OFFSET($H$3,0,0,'Données projet'!$E$11+1,1))</f>
        <v>354.24684313982857</v>
      </c>
      <c r="BJ86" s="59">
        <f t="shared" si="92"/>
        <v>322.65043486962185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21.788768672343956</v>
      </c>
      <c r="BQ86" s="21">
        <f>EXP(-LN(2)/25)*BQ85+(1-EXP(-LN(2)/25))/(LN(2)/25)*Calculateur!BL86*Calculateur!BN86*VLOOKUP('Données projet'!$B$11,Paramètres!$A$1:$I$89,3,0)*0.475*44/12</f>
        <v>17.237309329916311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39.026078002260263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7.4950142450142421</v>
      </c>
      <c r="BY86" s="12">
        <f>IF('Données projet'!$A$114&gt;35,BY85+BX86-CG85,IF(A86&lt;'Données projet'!$A$114,$BV$205^A86,IF(A86='Données projet'!$A$114,'Données projet'!$B$114,BY85+BX86-CG85)))</f>
        <v>250.88888888888908</v>
      </c>
      <c r="BZ86" s="13">
        <f>BY86*VLOOKUP('Données projet'!$B$12,Paramètres!$A$1:$I$89,3,0)*VLOOKUP('Données projet'!$B$12,Paramètres!$A$1:$I$89,5,0)</f>
        <v>242.65973333333352</v>
      </c>
      <c r="CA86" s="13">
        <f t="shared" si="93"/>
        <v>59.011417482982459</v>
      </c>
      <c r="CB86" s="20">
        <f t="shared" si="64"/>
        <v>525.41058767175025</v>
      </c>
      <c r="CC86" s="59">
        <f t="shared" si="65"/>
        <v>818.74392100508362</v>
      </c>
      <c r="CD86" s="59">
        <f ca="1">AVERAGE(OFFSET($CC$3,0,0,'Données projet'!$E$12+1,1))-AVERAGE(OFFSET($H$3,0,0,'Données projet'!$E$12+1,1))</f>
        <v>407.73540492005355</v>
      </c>
      <c r="CE86" s="59">
        <f t="shared" si="94"/>
        <v>296.29416764204774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33.002361448072079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33.002361448072079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266.99999999999983</v>
      </c>
      <c r="CU86" s="17">
        <f>CT86*VLOOKUP('Données projet'!$B$13,Paramètres!$A$1:$I$89,3,0)*VLOOKUP('Données projet'!$B$13,Paramètres!$A$1:$I$89,5,0)</f>
        <v>212.42519999999985</v>
      </c>
      <c r="CV86" s="13">
        <f t="shared" si="95"/>
        <v>52.465198231787184</v>
      </c>
      <c r="CW86" s="20">
        <f t="shared" si="67"/>
        <v>461.35077692036231</v>
      </c>
      <c r="CX86" s="59">
        <f t="shared" si="68"/>
        <v>754.68411025369562</v>
      </c>
      <c r="CY86" s="59">
        <f ca="1">AVERAGE(OFFSET($CX$3,0,0,'Données projet'!$E$13+1,1))-AVERAGE(OFFSET($H$3,0,0,'Données projet'!$E$13+1,1))</f>
        <v>299.10536994156814</v>
      </c>
      <c r="CZ86" s="59">
        <f t="shared" si="96"/>
        <v>292.57799203101769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27.130577420057868</v>
      </c>
      <c r="DG86" s="21">
        <f>EXP(-LN(2)/25)*DG85+(1-EXP(-LN(2)/25))/(LN(2)/25)*Calculateur!DB86*Calculateur!DD86*VLOOKUP('Données projet'!$B$13,Paramètres!$A$1:$I$89,3,0)*0.475*44/12</f>
        <v>7.6641695247478534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34.794746944805723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266.99999999999983</v>
      </c>
      <c r="DP86" s="17">
        <f>DO86*VLOOKUP('Données projet'!$B$14,Paramètres!$A$1:$I$89,3,0)*VLOOKUP('Données projet'!$B$14,Paramètres!$A$1:$I$89,5,0)</f>
        <v>212.42519999999985</v>
      </c>
      <c r="DQ86" s="13">
        <f t="shared" si="97"/>
        <v>52.465198231787184</v>
      </c>
      <c r="DR86" s="20">
        <f t="shared" si="70"/>
        <v>461.35077692036231</v>
      </c>
      <c r="DS86" s="59">
        <f t="shared" si="71"/>
        <v>754.68411025369562</v>
      </c>
      <c r="DT86" s="59">
        <f ca="1">AVERAGE(OFFSET($DS$3,0,0,'Données projet'!$E$14+1,1))-AVERAGE(OFFSET($H$3,0,0,'Données projet'!$E$14+1,1))</f>
        <v>299.10536994156814</v>
      </c>
      <c r="DU86" s="59">
        <f t="shared" si="98"/>
        <v>292.57799203101769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27.130577420057868</v>
      </c>
      <c r="EB86" s="21">
        <f>EXP(-LN(2)/25)*EB85+(1-EXP(-LN(2)/25))/(LN(2)/25)*Calculateur!DW86*Calculateur!DY86*VLOOKUP('Données projet'!$B$14,Paramètres!$A$1:$I$89,3,0)*0.475*44/12</f>
        <v>7.6641695247478534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34.794746944805723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3.6</v>
      </c>
      <c r="EJ86" s="12">
        <f>IF('Données projet'!$A$192&gt;35,EJ85+EI86-ER85,IF(A86&lt;'Données projet'!$A$192,$EG$205^A86,IF(A86='Données projet'!$A$192,'Données projet'!$B$192,EJ85+EI86-ER85)))</f>
        <v>206.80000000000015</v>
      </c>
      <c r="EK86" s="17">
        <f>EJ86*VLOOKUP('Données projet'!$B$15,Paramètres!$A$1:$I$89,3,0)*VLOOKUP('Données projet'!$B$15,Paramètres!$A$1:$I$89,5,0)</f>
        <v>135.49536000000012</v>
      </c>
      <c r="EL86" s="13">
        <f t="shared" si="99"/>
        <v>35.263099712541788</v>
      </c>
      <c r="EM86" s="20">
        <f t="shared" si="73"/>
        <v>297.40431733267718</v>
      </c>
      <c r="EN86" s="59">
        <f t="shared" si="74"/>
        <v>590.7376506660105</v>
      </c>
      <c r="EO86" s="59">
        <f ca="1">AVERAGE(OFFSET($EN$3,0,0,'Données projet'!$E$15+1,1))-AVERAGE(OFFSET($H$3,0,0,'Données projet'!$E$15+1,1))</f>
        <v>230.58262378842818</v>
      </c>
      <c r="EP86" s="59">
        <f t="shared" si="100"/>
        <v>235.68746142880792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1.2748218625783942</v>
      </c>
      <c r="EW86" s="21">
        <f>EXP(-LN(2)/25)*EW85+(1-EXP(-LN(2)/25))/(LN(2)/25)*Calculateur!ER86*Calculateur!ET86*VLOOKUP('Données projet'!$B$15,Paramètres!$A$1:$I$89,3,0)*0.475*44/12</f>
        <v>9.3039250252227106</v>
      </c>
      <c r="EX86" s="21">
        <f>EXP(-LN(2)/2)*EX85+(1-EXP(-LN(2)/2))/(LN(2)/2)*ER86*EU86*VLOOKUP('Données projet'!$B$15,Paramètres!$A$1:$I$89,3,0)*0.475*44/12</f>
        <v>1.2118565197910161</v>
      </c>
      <c r="EY86" s="22">
        <f t="shared" si="75"/>
        <v>11.790603407592121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4</v>
      </c>
      <c r="FE86" s="12">
        <f>IF('Données projet'!$A$218&gt;35,FE85+FD86-FM85,IF(A86&lt;'Données projet'!$A$218,$FB$205^A86,IF(A86='Données projet'!$A$218,'Données projet'!$B$218,FE85+FD86-FM85)))</f>
        <v>233.00000000000006</v>
      </c>
      <c r="FF86" s="17">
        <f>FE86*VLOOKUP('Données projet'!$B$16,Paramètres!$A$1:$I$89,3,0)*VLOOKUP('Données projet'!$B$16,Paramètres!$A$1:$I$89,5,0)</f>
        <v>189.00960000000006</v>
      </c>
      <c r="FG86" s="13">
        <f t="shared" si="101"/>
        <v>47.320922915876508</v>
      </c>
      <c r="FH86" s="20">
        <f t="shared" si="76"/>
        <v>411.60899407848501</v>
      </c>
      <c r="FI86" s="59">
        <f t="shared" si="77"/>
        <v>704.94232741181827</v>
      </c>
      <c r="FJ86" s="59">
        <f ca="1">AVERAGE(OFFSET($FI$3,0,0,'Données projet'!$E$16+1,1))-AVERAGE(OFFSET($H$3,0,0,'Données projet'!$E$16+1,1))</f>
        <v>272.90535195666996</v>
      </c>
      <c r="FK86" s="59">
        <f t="shared" si="102"/>
        <v>222.25422164416898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2.2007741050624925</v>
      </c>
      <c r="FR86" s="21">
        <f>EXP(-LN(2)/25)*FR85+(1-EXP(-LN(2)/25))/(LN(2)/25)*Calculateur!FM86*Calculateur!FO86*VLOOKUP('Données projet'!$B$16,Paramètres!$A$1:$I$89,3,0)*0.475*44/12</f>
        <v>10.076971473513122</v>
      </c>
      <c r="FS86" s="21">
        <f>EXP(-LN(2)/2)*FS85+(1-EXP(-LN(2)/2))/(LN(2)/2)*FM86*FP86*VLOOKUP('Données projet'!$B$16,Paramètres!$A$1:$I$89,3,0)*0.475*44/12</f>
        <v>0.94763366552027584</v>
      </c>
      <c r="FT86" s="22">
        <f t="shared" si="78"/>
        <v>13.22537924409589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799.9601779143419</v>
      </c>
      <c r="S87" s="59">
        <f ca="1">AVERAGE(OFFSET($R$3,0,0,'Données projet'!$E$9+1,1))-AVERAGE(OFFSET($H$3,0,0,'Données projet'!$E$9+1,1))</f>
        <v>384.05928630855732</v>
      </c>
      <c r="T87" s="59">
        <f t="shared" si="88"/>
        <v>279.93992813630513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304.99999999999983</v>
      </c>
      <c r="AJ87" s="13">
        <f>AI87*VLOOKUP('Données projet'!$B$10,Paramètres!$A$1:$I$89,3,0)*VLOOKUP('Données projet'!$B$10,Paramètres!$A$1:$I$89,5,0)</f>
        <v>275.96399999999983</v>
      </c>
      <c r="AK87" s="13">
        <f t="shared" si="89"/>
        <v>66.113366665488854</v>
      </c>
      <c r="AL87" s="20">
        <f t="shared" si="58"/>
        <v>595.78474694239264</v>
      </c>
      <c r="AM87" s="59">
        <f t="shared" si="59"/>
        <v>889.11808027572602</v>
      </c>
      <c r="AN87" s="59">
        <f ca="1">AVERAGE(OFFSET($AM$3,0,0,'Données projet'!$E$10+1,1))-AVERAGE(OFFSET($H$3,0,0,'Données projet'!$E$10+1,1))</f>
        <v>366.69125512029831</v>
      </c>
      <c r="AO87" s="59">
        <f t="shared" si="90"/>
        <v>513.80016421153414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0.55471097034075989</v>
      </c>
      <c r="AV87" s="21">
        <f>EXP(-LN(2)/25)*AV86+(1-EXP(-LN(2)/25))/(LN(2)/25)*Calculateur!AQ87*Calculateur!AS87*VLOOKUP('Données projet'!$B$10,Paramètres!$A$1:$I$89,3,0)*0.475*44/12</f>
        <v>1.6519934989802989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2.2067044693210587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213.50784000000002</v>
      </c>
      <c r="BF87" s="13">
        <f t="shared" si="91"/>
        <v>52.701396365805124</v>
      </c>
      <c r="BG87" s="20">
        <f t="shared" si="61"/>
        <v>463.6477533371106</v>
      </c>
      <c r="BH87" s="59">
        <f t="shared" si="62"/>
        <v>756.98108667044391</v>
      </c>
      <c r="BI87" s="59">
        <f ca="1">AVERAGE(OFFSET($BH$3,0,0,'Données projet'!$E$11+1,1))-AVERAGE(OFFSET($H$3,0,0,'Données projet'!$E$11+1,1))</f>
        <v>354.24684313982857</v>
      </c>
      <c r="BJ87" s="59">
        <f t="shared" si="92"/>
        <v>322.65043486962185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21.361504208515917</v>
      </c>
      <c r="BQ87" s="21">
        <f>EXP(-LN(2)/25)*BQ86+(1-EXP(-LN(2)/25))/(LN(2)/25)*Calculateur!BL87*Calculateur!BN87*VLOOKUP('Données projet'!$B$11,Paramètres!$A$1:$I$89,3,0)*0.475*44/12</f>
        <v>16.765954199819049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38.127458408334967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7.4950142450142421</v>
      </c>
      <c r="BY87" s="12">
        <f>IF('Données projet'!$A$114&gt;35,BY86+BX87-CG86,IF(A87&lt;'Données projet'!$A$114,$BV$205^A87,IF(A87='Données projet'!$A$114,'Données projet'!$B$114,BY86+BX87-CG86)))</f>
        <v>258.38390313390335</v>
      </c>
      <c r="BZ87" s="13">
        <f>BY87*VLOOKUP('Données projet'!$B$12,Paramètres!$A$1:$I$89,3,0)*VLOOKUP('Données projet'!$B$12,Paramètres!$A$1:$I$89,5,0)</f>
        <v>249.90891111111134</v>
      </c>
      <c r="CA87" s="13">
        <f t="shared" si="93"/>
        <v>60.566435124060455</v>
      </c>
      <c r="CB87" s="20">
        <f t="shared" si="64"/>
        <v>540.74456135959088</v>
      </c>
      <c r="CC87" s="59">
        <f t="shared" si="65"/>
        <v>834.07789469292425</v>
      </c>
      <c r="CD87" s="59">
        <f ca="1">AVERAGE(OFFSET($CC$3,0,0,'Données projet'!$E$12+1,1))-AVERAGE(OFFSET($H$3,0,0,'Données projet'!$E$12+1,1))</f>
        <v>407.73540492005355</v>
      </c>
      <c r="CE87" s="59">
        <f t="shared" si="94"/>
        <v>296.29416764204774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32.355205269528248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32.355205269528248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266.99999999999983</v>
      </c>
      <c r="CU87" s="17">
        <f>CT87*VLOOKUP('Données projet'!$B$13,Paramètres!$A$1:$I$89,3,0)*VLOOKUP('Données projet'!$B$13,Paramètres!$A$1:$I$89,5,0)</f>
        <v>212.42519999999985</v>
      </c>
      <c r="CV87" s="13">
        <f t="shared" si="95"/>
        <v>52.465198231787184</v>
      </c>
      <c r="CW87" s="20">
        <f t="shared" si="67"/>
        <v>461.35077692036231</v>
      </c>
      <c r="CX87" s="59">
        <f t="shared" si="68"/>
        <v>754.68411025369562</v>
      </c>
      <c r="CY87" s="59">
        <f ca="1">AVERAGE(OFFSET($CX$3,0,0,'Données projet'!$E$13+1,1))-AVERAGE(OFFSET($H$3,0,0,'Données projet'!$E$13+1,1))</f>
        <v>299.10536994156814</v>
      </c>
      <c r="CZ87" s="59">
        <f t="shared" si="96"/>
        <v>292.57799203101769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26.598563344868779</v>
      </c>
      <c r="DG87" s="21">
        <f>EXP(-LN(2)/25)*DG86+(1-EXP(-LN(2)/25))/(LN(2)/25)*Calculateur!DB87*Calculateur!DD87*VLOOKUP('Données projet'!$B$13,Paramètres!$A$1:$I$89,3,0)*0.475*44/12</f>
        <v>7.4545924060524644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34.053155750921242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266.99999999999983</v>
      </c>
      <c r="DP87" s="17">
        <f>DO87*VLOOKUP('Données projet'!$B$14,Paramètres!$A$1:$I$89,3,0)*VLOOKUP('Données projet'!$B$14,Paramètres!$A$1:$I$89,5,0)</f>
        <v>212.42519999999985</v>
      </c>
      <c r="DQ87" s="13">
        <f t="shared" si="97"/>
        <v>52.465198231787184</v>
      </c>
      <c r="DR87" s="20">
        <f t="shared" si="70"/>
        <v>461.35077692036231</v>
      </c>
      <c r="DS87" s="59">
        <f t="shared" si="71"/>
        <v>754.68411025369562</v>
      </c>
      <c r="DT87" s="59">
        <f ca="1">AVERAGE(OFFSET($DS$3,0,0,'Données projet'!$E$14+1,1))-AVERAGE(OFFSET($H$3,0,0,'Données projet'!$E$14+1,1))</f>
        <v>299.10536994156814</v>
      </c>
      <c r="DU87" s="59">
        <f t="shared" si="98"/>
        <v>292.57799203101769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26.598563344868779</v>
      </c>
      <c r="EB87" s="21">
        <f>EXP(-LN(2)/25)*EB86+(1-EXP(-LN(2)/25))/(LN(2)/25)*Calculateur!DW87*Calculateur!DY87*VLOOKUP('Données projet'!$B$14,Paramètres!$A$1:$I$89,3,0)*0.475*44/12</f>
        <v>7.4545924060524644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34.053155750921242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3.6</v>
      </c>
      <c r="EJ87" s="12">
        <f>IF('Données projet'!$A$192&gt;35,EJ86+EI87-ER86,IF(A87&lt;'Données projet'!$A$192,$EG$205^A87,IF(A87='Données projet'!$A$192,'Données projet'!$B$192,EJ86+EI87-ER86)))</f>
        <v>210.40000000000015</v>
      </c>
      <c r="EK87" s="17">
        <f>EJ87*VLOOKUP('Données projet'!$B$15,Paramètres!$A$1:$I$89,3,0)*VLOOKUP('Données projet'!$B$15,Paramètres!$A$1:$I$89,5,0)</f>
        <v>137.8540800000001</v>
      </c>
      <c r="EL87" s="13">
        <f t="shared" si="99"/>
        <v>35.804964283629992</v>
      </c>
      <c r="EM87" s="20">
        <f t="shared" si="73"/>
        <v>302.45616879398909</v>
      </c>
      <c r="EN87" s="59">
        <f t="shared" si="74"/>
        <v>595.78950212732241</v>
      </c>
      <c r="EO87" s="59">
        <f ca="1">AVERAGE(OFFSET($EN$3,0,0,'Données projet'!$E$15+1,1))-AVERAGE(OFFSET($H$3,0,0,'Données projet'!$E$15+1,1))</f>
        <v>230.58262378842818</v>
      </c>
      <c r="EP87" s="59">
        <f t="shared" si="100"/>
        <v>235.68746142880792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1.2498233834177901</v>
      </c>
      <c r="EW87" s="21">
        <f>EXP(-LN(2)/25)*EW86+(1-EXP(-LN(2)/25))/(LN(2)/25)*Calculateur!ER87*Calculateur!ET87*VLOOKUP('Données projet'!$B$15,Paramètres!$A$1:$I$89,3,0)*0.475*44/12</f>
        <v>9.0495087061358426</v>
      </c>
      <c r="EX87" s="21">
        <f>EXP(-LN(2)/2)*EX86+(1-EXP(-LN(2)/2))/(LN(2)/2)*ER87*EU87*VLOOKUP('Données projet'!$B$15,Paramètres!$A$1:$I$89,3,0)*0.475*44/12</f>
        <v>0.85691196296935701</v>
      </c>
      <c r="EY87" s="22">
        <f t="shared" si="75"/>
        <v>11.156244052522991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4</v>
      </c>
      <c r="FE87" s="12">
        <f>IF('Données projet'!$A$218&gt;35,FE86+FD87-FM86,IF(A87&lt;'Données projet'!$A$218,$FB$205^A87,IF(A87='Données projet'!$A$218,'Données projet'!$B$218,FE86+FD87-FM86)))</f>
        <v>237.00000000000006</v>
      </c>
      <c r="FF87" s="17">
        <f>FE87*VLOOKUP('Données projet'!$B$16,Paramètres!$A$1:$I$89,3,0)*VLOOKUP('Données projet'!$B$16,Paramètres!$A$1:$I$89,5,0)</f>
        <v>192.25440000000006</v>
      </c>
      <c r="FG87" s="13">
        <f t="shared" si="101"/>
        <v>48.038026007842433</v>
      </c>
      <c r="FH87" s="20">
        <f t="shared" si="76"/>
        <v>418.50930863032568</v>
      </c>
      <c r="FI87" s="59">
        <f t="shared" si="77"/>
        <v>711.84264196365893</v>
      </c>
      <c r="FJ87" s="59">
        <f ca="1">AVERAGE(OFFSET($FI$3,0,0,'Données projet'!$E$16+1,1))-AVERAGE(OFFSET($H$3,0,0,'Données projet'!$E$16+1,1))</f>
        <v>272.90535195666996</v>
      </c>
      <c r="FK87" s="59">
        <f t="shared" si="102"/>
        <v>222.25422164416898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2.157618267201876</v>
      </c>
      <c r="FR87" s="21">
        <f>EXP(-LN(2)/25)*FR86+(1-EXP(-LN(2)/25))/(LN(2)/25)*Calculateur!FM87*Calculateur!FO87*VLOOKUP('Données projet'!$B$16,Paramètres!$A$1:$I$89,3,0)*0.475*44/12</f>
        <v>9.8014161586450079</v>
      </c>
      <c r="FS87" s="21">
        <f>EXP(-LN(2)/2)*FS86+(1-EXP(-LN(2)/2))/(LN(2)/2)*FM87*FP87*VLOOKUP('Données projet'!$B$16,Paramètres!$A$1:$I$89,3,0)*0.475*44/12</f>
        <v>0.67007819097005172</v>
      </c>
      <c r="FT87" s="22">
        <f t="shared" si="78"/>
        <v>12.629112616816936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814.31599953144814</v>
      </c>
      <c r="S88" s="59">
        <f ca="1">AVERAGE(OFFSET($R$3,0,0,'Données projet'!$E$9+1,1))-AVERAGE(OFFSET($H$3,0,0,'Données projet'!$E$9+1,1))</f>
        <v>384.05928630855732</v>
      </c>
      <c r="T88" s="59">
        <f t="shared" si="88"/>
        <v>279.93992813630513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304.99999999999983</v>
      </c>
      <c r="AJ88" s="13">
        <f>AI88*VLOOKUP('Données projet'!$B$10,Paramètres!$A$1:$I$89,3,0)*VLOOKUP('Données projet'!$B$10,Paramètres!$A$1:$I$89,5,0)</f>
        <v>275.96399999999983</v>
      </c>
      <c r="AK88" s="13">
        <f t="shared" si="89"/>
        <v>66.113366665488854</v>
      </c>
      <c r="AL88" s="20">
        <f t="shared" si="58"/>
        <v>595.78474694239264</v>
      </c>
      <c r="AM88" s="59">
        <f t="shared" si="59"/>
        <v>889.11808027572602</v>
      </c>
      <c r="AN88" s="59">
        <f ca="1">AVERAGE(OFFSET($AM$3,0,0,'Données projet'!$E$10+1,1))-AVERAGE(OFFSET($H$3,0,0,'Données projet'!$E$10+1,1))</f>
        <v>366.69125512029831</v>
      </c>
      <c r="AO88" s="59">
        <f t="shared" si="90"/>
        <v>513.80016421153414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0.5438334265526612</v>
      </c>
      <c r="AV88" s="21">
        <f>EXP(-LN(2)/25)*AV87+(1-EXP(-LN(2)/25))/(LN(2)/25)*Calculateur!AQ88*Calculateur!AS88*VLOOKUP('Données projet'!$B$10,Paramètres!$A$1:$I$89,3,0)*0.475*44/12</f>
        <v>1.6068196498761202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2.1506530764287817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216.65280000000004</v>
      </c>
      <c r="BF88" s="13">
        <f t="shared" si="91"/>
        <v>53.38674047237982</v>
      </c>
      <c r="BG88" s="20">
        <f t="shared" si="61"/>
        <v>470.3188663227283</v>
      </c>
      <c r="BH88" s="59">
        <f t="shared" si="62"/>
        <v>763.65219965606161</v>
      </c>
      <c r="BI88" s="59">
        <f ca="1">AVERAGE(OFFSET($BH$3,0,0,'Données projet'!$E$11+1,1))-AVERAGE(OFFSET($H$3,0,0,'Données projet'!$E$11+1,1))</f>
        <v>354.24684313982857</v>
      </c>
      <c r="BJ88" s="59">
        <f t="shared" si="92"/>
        <v>322.65043486962185</v>
      </c>
      <c r="BK88" s="15">
        <f>IF(ISNA(VLOOKUP(A88,'Données projet'!$A$87:$I$107,3,0)),0,VLOOKUP(A88,'Données projet'!$A$87:$I$107,3,0))</f>
        <v>14</v>
      </c>
      <c r="BL88" s="15" t="str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0.129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24.430867132116624</v>
      </c>
      <c r="BQ88" s="21">
        <f>EXP(-LN(2)/25)*BQ87+(1-EXP(-LN(2)/25))/(LN(2)/25)*Calculateur!BL88*Calculateur!BN88*VLOOKUP('Données projet'!$B$11,Paramètres!$A$1:$I$89,3,0)*0.475*44/12</f>
        <v>18.044745513787031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42.475612645903652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7.4950142450142421</v>
      </c>
      <c r="BY88" s="12">
        <f>IF('Données projet'!$A$114&gt;35,BY87+BX88-CG87,IF(A88&lt;'Données projet'!$A$114,$BV$205^A88,IF(A88='Données projet'!$A$114,'Données projet'!$B$114,BY87+BX88-CG87)))</f>
        <v>265.87891737891761</v>
      </c>
      <c r="BZ88" s="13">
        <f>BY88*VLOOKUP('Données projet'!$B$12,Paramètres!$A$1:$I$89,3,0)*VLOOKUP('Données projet'!$B$12,Paramètres!$A$1:$I$89,5,0)</f>
        <v>257.1580888888891</v>
      </c>
      <c r="CA88" s="13">
        <f t="shared" si="93"/>
        <v>62.116210407002008</v>
      </c>
      <c r="CB88" s="20">
        <f t="shared" si="64"/>
        <v>556.06940460701037</v>
      </c>
      <c r="CC88" s="59">
        <f t="shared" si="65"/>
        <v>849.40273794034374</v>
      </c>
      <c r="CD88" s="59">
        <f ca="1">AVERAGE(OFFSET($CC$3,0,0,'Données projet'!$E$12+1,1))-AVERAGE(OFFSET($H$3,0,0,'Données projet'!$E$12+1,1))</f>
        <v>407.73540492005355</v>
      </c>
      <c r="CE88" s="59">
        <f t="shared" si="94"/>
        <v>296.29416764204774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31.720739428919373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31.720739428919373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266.99999999999983</v>
      </c>
      <c r="CU88" s="17">
        <f>CT88*VLOOKUP('Données projet'!$B$13,Paramètres!$A$1:$I$89,3,0)*VLOOKUP('Données projet'!$B$13,Paramètres!$A$1:$I$89,5,0)</f>
        <v>212.42519999999985</v>
      </c>
      <c r="CV88" s="13">
        <f t="shared" si="95"/>
        <v>52.465198231787184</v>
      </c>
      <c r="CW88" s="20">
        <f t="shared" si="67"/>
        <v>461.35077692036231</v>
      </c>
      <c r="CX88" s="59">
        <f t="shared" si="68"/>
        <v>754.68411025369562</v>
      </c>
      <c r="CY88" s="59">
        <f ca="1">AVERAGE(OFFSET($CX$3,0,0,'Données projet'!$E$13+1,1))-AVERAGE(OFFSET($H$3,0,0,'Données projet'!$E$13+1,1))</f>
        <v>299.10536994156814</v>
      </c>
      <c r="CZ88" s="59">
        <f t="shared" si="96"/>
        <v>292.57799203101769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26.076981741197603</v>
      </c>
      <c r="DG88" s="21">
        <f>EXP(-LN(2)/25)*DG87+(1-EXP(-LN(2)/25))/(LN(2)/25)*Calculateur!DB88*Calculateur!DD88*VLOOKUP('Données projet'!$B$13,Paramètres!$A$1:$I$89,3,0)*0.475*44/12</f>
        <v>7.2507461846889827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33.327727925886585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266.99999999999983</v>
      </c>
      <c r="DP88" s="17">
        <f>DO88*VLOOKUP('Données projet'!$B$14,Paramètres!$A$1:$I$89,3,0)*VLOOKUP('Données projet'!$B$14,Paramètres!$A$1:$I$89,5,0)</f>
        <v>212.42519999999985</v>
      </c>
      <c r="DQ88" s="13">
        <f t="shared" si="97"/>
        <v>52.465198231787184</v>
      </c>
      <c r="DR88" s="20">
        <f t="shared" si="70"/>
        <v>461.35077692036231</v>
      </c>
      <c r="DS88" s="59">
        <f t="shared" si="71"/>
        <v>754.68411025369562</v>
      </c>
      <c r="DT88" s="59">
        <f ca="1">AVERAGE(OFFSET($DS$3,0,0,'Données projet'!$E$14+1,1))-AVERAGE(OFFSET($H$3,0,0,'Données projet'!$E$14+1,1))</f>
        <v>299.10536994156814</v>
      </c>
      <c r="DU88" s="59">
        <f t="shared" si="98"/>
        <v>292.57799203101769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26.076981741197603</v>
      </c>
      <c r="EB88" s="21">
        <f>EXP(-LN(2)/25)*EB87+(1-EXP(-LN(2)/25))/(LN(2)/25)*Calculateur!DW88*Calculateur!DY88*VLOOKUP('Données projet'!$B$14,Paramètres!$A$1:$I$89,3,0)*0.475*44/12</f>
        <v>7.2507461846889827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33.327727925886585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214</v>
      </c>
      <c r="EH88" s="12">
        <f>VLOOKUP(A88,'Données projet'!$A$191:$I$211,9,0)</f>
        <v>3.6</v>
      </c>
      <c r="EI88" s="12">
        <f t="array" ref="EI88">INDEX(EH:EH,MIN(IF(ISNUMBER(EH88:EH284),ROW(EH88:EH284),"")))</f>
        <v>3.6</v>
      </c>
      <c r="EJ88" s="12">
        <f>IF('Données projet'!$A$192&gt;35,EJ87+EI88-ER87,IF(A88&lt;'Données projet'!$A$192,$EG$205^A88,IF(A88='Données projet'!$A$192,'Données projet'!$B$192,EJ87+EI88-ER87)))</f>
        <v>214.00000000000014</v>
      </c>
      <c r="EK88" s="17">
        <f>EJ88*VLOOKUP('Données projet'!$B$15,Paramètres!$A$1:$I$89,3,0)*VLOOKUP('Données projet'!$B$15,Paramètres!$A$1:$I$89,5,0)</f>
        <v>140.21280000000007</v>
      </c>
      <c r="EL88" s="13">
        <f t="shared" si="99"/>
        <v>36.345750676634587</v>
      </c>
      <c r="EM88" s="20">
        <f t="shared" si="73"/>
        <v>307.50614242847206</v>
      </c>
      <c r="EN88" s="59">
        <f t="shared" si="74"/>
        <v>600.83947576180537</v>
      </c>
      <c r="EO88" s="59">
        <f ca="1">AVERAGE(OFFSET($EN$3,0,0,'Données projet'!$E$15+1,1))-AVERAGE(OFFSET($H$3,0,0,'Données projet'!$E$15+1,1))</f>
        <v>230.58262378842818</v>
      </c>
      <c r="EP88" s="59">
        <f t="shared" si="100"/>
        <v>235.68746142880792</v>
      </c>
      <c r="EQ88" s="15">
        <f>IF(ISNA(VLOOKUP(A88,'Données projet'!$A$191:$I$211,3,0)),0,VLOOKUP(A88,'Données projet'!$A$191:$I$211,3,0))</f>
        <v>16</v>
      </c>
      <c r="ER88" s="15">
        <f>IF(ISNA(VLOOKUP(A88,'Données projet'!$A$191:$I$211,4,0)),0,VLOOKUP(A88,'Données projet'!$A$191:$I$211,4,0))</f>
        <v>14</v>
      </c>
      <c r="ES88" s="16">
        <f>IF(ISNA(VLOOKUP(A88,'Données projet'!$A$191:$I$211,5,0)),0%,VLOOKUP(A88,'Données projet'!$A$191:$I$211,5,0)*VLOOKUP('Données projet'!$B$15,Paramètres!$A$1:$I$89,7,0))</f>
        <v>4.3000000000000003E-2</v>
      </c>
      <c r="ET88" s="16">
        <f>IF(ISNA(VLOOKUP(A88,'Données projet'!$A$191:$I$211,6,0)),0%,VLOOKUP(A88,'Données projet'!$A$191:$I$211,6,0)*VLOOKUP('Données projet'!$B$15,Paramètres!$A$1:$I$89,7,0))</f>
        <v>0.17200000000000001</v>
      </c>
      <c r="EU88" s="16">
        <f>IF(ISNA(VLOOKUP(A88,'Données projet'!$A$191:$I$211,7,0)),0%,VLOOKUP(A88,'Données projet'!$A$191:$I$211,7,0))</f>
        <v>0.3</v>
      </c>
      <c r="EV88" s="21">
        <f>EXP(-LN(2)/35)*EV87+(1-EXP(-LN(2)/35))/(LN(2)/35)*ER88*ES88*VLOOKUP('Données projet'!$B$15,Paramètres!$A$1:$I$89,3,0)*0.475*44/12</f>
        <v>1.661346233173292</v>
      </c>
      <c r="EW88" s="21">
        <f>EXP(-LN(2)/25)*EW87+(1-EXP(-LN(2)/25))/(LN(2)/25)*Calculateur!ER88*Calculateur!ET88*VLOOKUP('Données projet'!$B$15,Paramètres!$A$1:$I$89,3,0)*0.475*44/12</f>
        <v>10.539306627918824</v>
      </c>
      <c r="EX88" s="21">
        <f>EXP(-LN(2)/2)*EX87+(1-EXP(-LN(2)/2))/(LN(2)/2)*ER88*EU88*VLOOKUP('Données projet'!$B$15,Paramètres!$A$1:$I$89,3,0)*0.475*44/12</f>
        <v>3.2023633645831997</v>
      </c>
      <c r="EY88" s="22">
        <f t="shared" si="75"/>
        <v>15.403016225675316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241</v>
      </c>
      <c r="FC88" s="12">
        <f>VLOOKUP(A88,'Données projet'!$A$217:$I$237,9,0)</f>
        <v>4</v>
      </c>
      <c r="FD88" s="12">
        <f t="array" ref="FD88">INDEX(FC:FC,MIN(IF(ISNUMBER(FC88:FC284),ROW(FC88:FC284),"")))</f>
        <v>4</v>
      </c>
      <c r="FE88" s="12">
        <f>IF('Données projet'!$A$218&gt;35,FE87+FD88-FM87,IF(A88&lt;'Données projet'!$A$218,$FB$205^A88,IF(A88='Données projet'!$A$218,'Données projet'!$B$218,FE87+FD88-FM87)))</f>
        <v>241.00000000000006</v>
      </c>
      <c r="FF88" s="17">
        <f>FE88*VLOOKUP('Données projet'!$B$16,Paramètres!$A$1:$I$89,3,0)*VLOOKUP('Données projet'!$B$16,Paramètres!$A$1:$I$89,5,0)</f>
        <v>195.49920000000006</v>
      </c>
      <c r="FG88" s="13">
        <f t="shared" si="101"/>
        <v>48.753721622209305</v>
      </c>
      <c r="FH88" s="20">
        <f t="shared" si="76"/>
        <v>425.40717182534792</v>
      </c>
      <c r="FI88" s="59">
        <f t="shared" si="77"/>
        <v>718.74050515868123</v>
      </c>
      <c r="FJ88" s="59">
        <f ca="1">AVERAGE(OFFSET($FI$3,0,0,'Données projet'!$E$16+1,1))-AVERAGE(OFFSET($H$3,0,0,'Données projet'!$E$16+1,1))</f>
        <v>272.90535195666996</v>
      </c>
      <c r="FK88" s="59">
        <f t="shared" si="102"/>
        <v>222.25422164416898</v>
      </c>
      <c r="FL88" s="15">
        <f>IF(ISNA(VLOOKUP(A88,'Données projet'!$A$217:$I$237,3,0)),0,VLOOKUP(A88,'Données projet'!$A$217:$I$237,3,0))</f>
        <v>14</v>
      </c>
      <c r="FM88" s="15">
        <f>IF(ISNA(VLOOKUP(A88,'Données projet'!$A$217:$I$237,4,0)),0,VLOOKUP(A88,'Données projet'!$A$217:$I$237,4,0))</f>
        <v>13</v>
      </c>
      <c r="FN88" s="16">
        <f>IF(ISNA(VLOOKUP(A88,'Données projet'!$A$217:$I$237,5,0)),0%,VLOOKUP(A88,'Données projet'!$A$217:$I$237,5,0)*VLOOKUP('Données projet'!$B$16,Paramètres!$A$1:$I$89,7,0))</f>
        <v>8.6000000000000007E-2</v>
      </c>
      <c r="FO88" s="16">
        <f>IF(ISNA(VLOOKUP(A88,'Données projet'!$A$217:$I$237,6,0)),0%,VLOOKUP(A88,'Données projet'!$A$217:$I$237,6,0)*VLOOKUP('Données projet'!$B$16,Paramètres!$A$1:$I$89,7,0))</f>
        <v>0.215</v>
      </c>
      <c r="FP88" s="16">
        <f>IF(ISNA(VLOOKUP(A88,'Données projet'!$A$217:$I$237,7,0)),0%,VLOOKUP(A88,'Données projet'!$A$217:$I$237,7,0))</f>
        <v>0.2</v>
      </c>
      <c r="FQ88" s="21">
        <f>EXP(-LN(2)/35)*FQ87+(1-EXP(-LN(2)/35))/(LN(2)/35)*FM88*FN88*VLOOKUP('Données projet'!$B$16,Paramètres!$A$1:$I$89,3,0)*0.475*44/12</f>
        <v>3.117883654357875</v>
      </c>
      <c r="FR88" s="21">
        <f>EXP(-LN(2)/25)*FR87+(1-EXP(-LN(2)/25))/(LN(2)/25)*Calculateur!FM88*Calculateur!FO88*VLOOKUP('Données projet'!$B$16,Paramètres!$A$1:$I$89,3,0)*0.475*44/12</f>
        <v>12.029964532625293</v>
      </c>
      <c r="FS88" s="21">
        <f>EXP(-LN(2)/2)*FS87+(1-EXP(-LN(2)/2))/(LN(2)/2)*FM88*FP88*VLOOKUP('Données projet'!$B$16,Paramètres!$A$1:$I$89,3,0)*0.475*44/12</f>
        <v>2.4638283188926549</v>
      </c>
      <c r="FT88" s="22">
        <f t="shared" si="78"/>
        <v>17.611676505875824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828.66348373298297</v>
      </c>
      <c r="S89" s="59">
        <f ca="1">AVERAGE(OFFSET($R$3,0,0,'Données projet'!$E$9+1,1))-AVERAGE(OFFSET($H$3,0,0,'Données projet'!$E$9+1,1))</f>
        <v>384.05928630855732</v>
      </c>
      <c r="T89" s="59">
        <f t="shared" si="88"/>
        <v>279.93992813630513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304.99999999999983</v>
      </c>
      <c r="AJ89" s="13">
        <f>AI89*VLOOKUP('Données projet'!$B$10,Paramètres!$A$1:$I$89,3,0)*VLOOKUP('Données projet'!$B$10,Paramètres!$A$1:$I$89,5,0)</f>
        <v>275.96399999999983</v>
      </c>
      <c r="AK89" s="13">
        <f t="shared" si="89"/>
        <v>66.113366665488854</v>
      </c>
      <c r="AL89" s="20">
        <f t="shared" si="58"/>
        <v>595.78474694239264</v>
      </c>
      <c r="AM89" s="59">
        <f t="shared" si="59"/>
        <v>889.11808027572602</v>
      </c>
      <c r="AN89" s="59">
        <f ca="1">AVERAGE(OFFSET($AM$3,0,0,'Données projet'!$E$10+1,1))-AVERAGE(OFFSET($H$3,0,0,'Données projet'!$E$10+1,1))</f>
        <v>366.69125512029831</v>
      </c>
      <c r="AO89" s="59">
        <f t="shared" si="90"/>
        <v>513.80016421153414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0.53316918476360053</v>
      </c>
      <c r="AV89" s="21">
        <f>EXP(-LN(2)/25)*AV88+(1-EXP(-LN(2)/25))/(LN(2)/25)*Calculateur!AQ89*Calculateur!AS89*VLOOKUP('Données projet'!$B$10,Paramètres!$A$1:$I$89,3,0)*0.475*44/12</f>
        <v>1.5628810820512848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2.0960502668148853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207.04320000000001</v>
      </c>
      <c r="BF89" s="13">
        <f t="shared" si="91"/>
        <v>51.288918231806321</v>
      </c>
      <c r="BG89" s="20">
        <f t="shared" si="61"/>
        <v>449.92843925372944</v>
      </c>
      <c r="BH89" s="59">
        <f t="shared" si="62"/>
        <v>743.26177258706275</v>
      </c>
      <c r="BI89" s="59">
        <f ca="1">AVERAGE(OFFSET($BH$3,0,0,'Données projet'!$E$11+1,1))-AVERAGE(OFFSET($H$3,0,0,'Données projet'!$E$11+1,1))</f>
        <v>354.24684313982857</v>
      </c>
      <c r="BJ89" s="59">
        <f t="shared" si="92"/>
        <v>322.65043486962185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23.951792729013381</v>
      </c>
      <c r="BQ89" s="21">
        <f>EXP(-LN(2)/25)*BQ88+(1-EXP(-LN(2)/25))/(LN(2)/25)*Calculateur!BL89*Calculateur!BN89*VLOOKUP('Données projet'!$B$11,Paramètres!$A$1:$I$89,3,0)*0.475*44/12</f>
        <v>17.5513109987806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41.503103727793984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7.4950142450142421</v>
      </c>
      <c r="BY89" s="12">
        <f>IF('Données projet'!$A$114&gt;35,BY88+BX89-CG88,IF(A89&lt;'Données projet'!$A$114,$BV$205^A89,IF(A89='Données projet'!$A$114,'Données projet'!$B$114,BY88+BX89-CG88)))</f>
        <v>273.37393162393187</v>
      </c>
      <c r="BZ89" s="13">
        <f>BY89*VLOOKUP('Données projet'!$B$12,Paramètres!$A$1:$I$89,3,0)*VLOOKUP('Données projet'!$B$12,Paramètres!$A$1:$I$89,5,0)</f>
        <v>264.40726666666689</v>
      </c>
      <c r="CA89" s="13">
        <f t="shared" si="93"/>
        <v>63.660908087074027</v>
      </c>
      <c r="CB89" s="20">
        <f t="shared" si="64"/>
        <v>571.38540436276537</v>
      </c>
      <c r="CC89" s="59">
        <f t="shared" si="65"/>
        <v>864.71873769609874</v>
      </c>
      <c r="CD89" s="59">
        <f ca="1">AVERAGE(OFFSET($CC$3,0,0,'Données projet'!$E$12+1,1))-AVERAGE(OFFSET($H$3,0,0,'Données projet'!$E$12+1,1))</f>
        <v>407.73540492005355</v>
      </c>
      <c r="CE89" s="59">
        <f t="shared" si="94"/>
        <v>296.29416764204774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31.098715076458884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31.098715076458884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266.99999999999983</v>
      </c>
      <c r="CU89" s="17">
        <f>CT89*VLOOKUP('Données projet'!$B$13,Paramètres!$A$1:$I$89,3,0)*VLOOKUP('Données projet'!$B$13,Paramètres!$A$1:$I$89,5,0)</f>
        <v>212.42519999999985</v>
      </c>
      <c r="CV89" s="13">
        <f t="shared" si="95"/>
        <v>52.465198231787184</v>
      </c>
      <c r="CW89" s="20">
        <f t="shared" si="67"/>
        <v>461.35077692036231</v>
      </c>
      <c r="CX89" s="59">
        <f t="shared" si="68"/>
        <v>754.68411025369562</v>
      </c>
      <c r="CY89" s="59">
        <f ca="1">AVERAGE(OFFSET($CX$3,0,0,'Données projet'!$E$13+1,1))-AVERAGE(OFFSET($H$3,0,0,'Données projet'!$E$13+1,1))</f>
        <v>299.10536994156814</v>
      </c>
      <c r="CZ89" s="59">
        <f t="shared" si="96"/>
        <v>292.57799203101769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25.565628034641055</v>
      </c>
      <c r="DG89" s="21">
        <f>EXP(-LN(2)/25)*DG88+(1-EXP(-LN(2)/25))/(LN(2)/25)*Calculateur!DB89*Calculateur!DD89*VLOOKUP('Données projet'!$B$13,Paramètres!$A$1:$I$89,3,0)*0.475*44/12</f>
        <v>7.0524741489684928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32.618102183609551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266.99999999999983</v>
      </c>
      <c r="DP89" s="17">
        <f>DO89*VLOOKUP('Données projet'!$B$14,Paramètres!$A$1:$I$89,3,0)*VLOOKUP('Données projet'!$B$14,Paramètres!$A$1:$I$89,5,0)</f>
        <v>212.42519999999985</v>
      </c>
      <c r="DQ89" s="13">
        <f t="shared" si="97"/>
        <v>52.465198231787184</v>
      </c>
      <c r="DR89" s="20">
        <f t="shared" si="70"/>
        <v>461.35077692036231</v>
      </c>
      <c r="DS89" s="59">
        <f t="shared" si="71"/>
        <v>754.68411025369562</v>
      </c>
      <c r="DT89" s="59">
        <f ca="1">AVERAGE(OFFSET($DS$3,0,0,'Données projet'!$E$14+1,1))-AVERAGE(OFFSET($H$3,0,0,'Données projet'!$E$14+1,1))</f>
        <v>299.10536994156814</v>
      </c>
      <c r="DU89" s="59">
        <f t="shared" si="98"/>
        <v>292.57799203101769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25.565628034641055</v>
      </c>
      <c r="EB89" s="21">
        <f>EXP(-LN(2)/25)*EB88+(1-EXP(-LN(2)/25))/(LN(2)/25)*Calculateur!DW89*Calculateur!DY89*VLOOKUP('Données projet'!$B$14,Paramètres!$A$1:$I$89,3,0)*0.475*44/12</f>
        <v>7.0524741489684928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32.618102183609551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3.4</v>
      </c>
      <c r="EJ89" s="12">
        <f>IF('Données projet'!$A$192&gt;35,EJ88+EI89-ER88,IF(A89&lt;'Données projet'!$A$192,$EG$205^A89,IF(A89='Données projet'!$A$192,'Données projet'!$B$192,EJ88+EI89-ER88)))</f>
        <v>203.40000000000015</v>
      </c>
      <c r="EK89" s="17">
        <f>EJ89*VLOOKUP('Données projet'!$B$15,Paramètres!$A$1:$I$89,3,0)*VLOOKUP('Données projet'!$B$15,Paramètres!$A$1:$I$89,5,0)</f>
        <v>133.2676800000001</v>
      </c>
      <c r="EL89" s="13">
        <f t="shared" si="99"/>
        <v>34.750329840004937</v>
      </c>
      <c r="EM89" s="20">
        <f t="shared" si="73"/>
        <v>292.63136713800878</v>
      </c>
      <c r="EN89" s="59">
        <f t="shared" si="74"/>
        <v>585.9647004713421</v>
      </c>
      <c r="EO89" s="59">
        <f ca="1">AVERAGE(OFFSET($EN$3,0,0,'Données projet'!$E$15+1,1))-AVERAGE(OFFSET($H$3,0,0,'Données projet'!$E$15+1,1))</f>
        <v>230.58262378842818</v>
      </c>
      <c r="EP89" s="59">
        <f t="shared" si="100"/>
        <v>235.68746142880792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1.6287682468619089</v>
      </c>
      <c r="EW89" s="21">
        <f>EXP(-LN(2)/25)*EW88+(1-EXP(-LN(2)/25))/(LN(2)/25)*Calculateur!ER89*Calculateur!ET89*VLOOKUP('Données projet'!$B$15,Paramètres!$A$1:$I$89,3,0)*0.475*44/12</f>
        <v>10.251108733940336</v>
      </c>
      <c r="EX89" s="21">
        <f>EXP(-LN(2)/2)*EX88+(1-EXP(-LN(2)/2))/(LN(2)/2)*ER89*EU89*VLOOKUP('Données projet'!$B$15,Paramètres!$A$1:$I$89,3,0)*0.475*44/12</f>
        <v>2.2644128509201487</v>
      </c>
      <c r="EY89" s="22">
        <f t="shared" si="75"/>
        <v>14.144289831722395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3.6</v>
      </c>
      <c r="FE89" s="12">
        <f>IF('Données projet'!$A$218&gt;35,FE88+FD89-FM88,IF(A89&lt;'Données projet'!$A$218,$FB$205^A89,IF(A89='Données projet'!$A$218,'Données projet'!$B$218,FE88+FD89-FM88)))</f>
        <v>231.60000000000005</v>
      </c>
      <c r="FF89" s="17">
        <f>FE89*VLOOKUP('Données projet'!$B$16,Paramètres!$A$1:$I$89,3,0)*VLOOKUP('Données projet'!$B$16,Paramètres!$A$1:$I$89,5,0)</f>
        <v>187.87392000000006</v>
      </c>
      <c r="FG89" s="13">
        <f t="shared" si="101"/>
        <v>47.069599349044694</v>
      </c>
      <c r="FH89" s="20">
        <f t="shared" si="76"/>
        <v>409.19329619958626</v>
      </c>
      <c r="FI89" s="59">
        <f t="shared" si="77"/>
        <v>702.52662953291951</v>
      </c>
      <c r="FJ89" s="59">
        <f ca="1">AVERAGE(OFFSET($FI$3,0,0,'Données projet'!$E$16+1,1))-AVERAGE(OFFSET($H$3,0,0,'Données projet'!$E$16+1,1))</f>
        <v>272.90535195666996</v>
      </c>
      <c r="FK89" s="59">
        <f t="shared" si="102"/>
        <v>222.25422164416898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3.0567438576171666</v>
      </c>
      <c r="FR89" s="21">
        <f>EXP(-LN(2)/25)*FR88+(1-EXP(-LN(2)/25))/(LN(2)/25)*Calculateur!FM89*Calculateur!FO89*VLOOKUP('Données projet'!$B$16,Paramètres!$A$1:$I$89,3,0)*0.475*44/12</f>
        <v>11.701004519852315</v>
      </c>
      <c r="FS89" s="21">
        <f>EXP(-LN(2)/2)*FS88+(1-EXP(-LN(2)/2))/(LN(2)/2)*FM89*FP89*VLOOKUP('Données projet'!$B$16,Paramètres!$A$1:$I$89,3,0)*0.475*44/12</f>
        <v>1.742189711968448</v>
      </c>
      <c r="FT89" s="22">
        <f t="shared" si="78"/>
        <v>16.499938089437929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843.00288536860285</v>
      </c>
      <c r="S90" s="59">
        <f ca="1">AVERAGE(OFFSET($R$3,0,0,'Données projet'!$E$9+1,1))-AVERAGE(OFFSET($H$3,0,0,'Données projet'!$E$9+1,1))</f>
        <v>384.05928630855732</v>
      </c>
      <c r="T90" s="59">
        <f t="shared" si="88"/>
        <v>279.93992813630513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304.99999999999983</v>
      </c>
      <c r="AJ90" s="13">
        <f>AI90*VLOOKUP('Données projet'!$B$10,Paramètres!$A$1:$I$89,3,0)*VLOOKUP('Données projet'!$B$10,Paramètres!$A$1:$I$89,5,0)</f>
        <v>275.96399999999983</v>
      </c>
      <c r="AK90" s="13">
        <f t="shared" si="89"/>
        <v>66.113366665488854</v>
      </c>
      <c r="AL90" s="20">
        <f t="shared" si="58"/>
        <v>595.78474694239264</v>
      </c>
      <c r="AM90" s="59">
        <f t="shared" si="59"/>
        <v>889.11808027572602</v>
      </c>
      <c r="AN90" s="59">
        <f ca="1">AVERAGE(OFFSET($AM$3,0,0,'Données projet'!$E$10+1,1))-AVERAGE(OFFSET($H$3,0,0,'Données projet'!$E$10+1,1))</f>
        <v>366.69125512029831</v>
      </c>
      <c r="AO90" s="59">
        <f t="shared" si="90"/>
        <v>513.80016421153414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0.5227140622514781</v>
      </c>
      <c r="AV90" s="21">
        <f>EXP(-LN(2)/25)*AV89+(1-EXP(-LN(2)/25))/(LN(2)/25)*Calculateur!AQ90*Calculateur!AS90*VLOOKUP('Données projet'!$B$10,Paramètres!$A$1:$I$89,3,0)*0.475*44/12</f>
        <v>1.5201440166742484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2.0428580789257262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209.66400000000002</v>
      </c>
      <c r="BF90" s="13">
        <f t="shared" si="91"/>
        <v>51.862154403304537</v>
      </c>
      <c r="BG90" s="20">
        <f t="shared" si="61"/>
        <v>455.49138558575538</v>
      </c>
      <c r="BH90" s="59">
        <f t="shared" si="62"/>
        <v>748.8247189190887</v>
      </c>
      <c r="BI90" s="59">
        <f ca="1">AVERAGE(OFFSET($BH$3,0,0,'Données projet'!$E$11+1,1))-AVERAGE(OFFSET($H$3,0,0,'Données projet'!$E$11+1,1))</f>
        <v>354.24684313982857</v>
      </c>
      <c r="BJ90" s="59">
        <f t="shared" si="92"/>
        <v>322.65043486962185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23.482112682748458</v>
      </c>
      <c r="BQ90" s="21">
        <f>EXP(-LN(2)/25)*BQ89+(1-EXP(-LN(2)/25))/(LN(2)/25)*Calculateur!BL90*Calculateur!BN90*VLOOKUP('Données projet'!$B$11,Paramètres!$A$1:$I$89,3,0)*0.475*44/12</f>
        <v>17.071369476535615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40.553482159284073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7.4950142450142421</v>
      </c>
      <c r="BY90" s="12">
        <f>IF('Données projet'!$A$114&gt;35,BY89+BX90-CG89,IF(A90&lt;'Données projet'!$A$114,$BV$205^A90,IF(A90='Données projet'!$A$114,'Données projet'!$B$114,BY89+BX90-CG89)))</f>
        <v>280.86894586894613</v>
      </c>
      <c r="BZ90" s="13">
        <f>BY90*VLOOKUP('Données projet'!$B$12,Paramètres!$A$1:$I$89,3,0)*VLOOKUP('Données projet'!$B$12,Paramètres!$A$1:$I$89,5,0)</f>
        <v>271.65644444444473</v>
      </c>
      <c r="CA90" s="13">
        <f t="shared" si="93"/>
        <v>65.200683371286829</v>
      </c>
      <c r="CB90" s="20">
        <f t="shared" si="64"/>
        <v>586.69283094573245</v>
      </c>
      <c r="CC90" s="59">
        <f t="shared" si="65"/>
        <v>880.02616427906582</v>
      </c>
      <c r="CD90" s="59">
        <f ca="1">AVERAGE(OFFSET($CC$3,0,0,'Données projet'!$E$12+1,1))-AVERAGE(OFFSET($H$3,0,0,'Données projet'!$E$12+1,1))</f>
        <v>407.73540492005355</v>
      </c>
      <c r="CE90" s="59">
        <f t="shared" si="94"/>
        <v>296.29416764204774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30.488888242152754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30.488888242152754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266.99999999999983</v>
      </c>
      <c r="CU90" s="17">
        <f>CT90*VLOOKUP('Données projet'!$B$13,Paramètres!$A$1:$I$89,3,0)*VLOOKUP('Données projet'!$B$13,Paramètres!$A$1:$I$89,5,0)</f>
        <v>212.42519999999985</v>
      </c>
      <c r="CV90" s="13">
        <f t="shared" si="95"/>
        <v>52.465198231787184</v>
      </c>
      <c r="CW90" s="20">
        <f t="shared" si="67"/>
        <v>461.35077692036231</v>
      </c>
      <c r="CX90" s="59">
        <f t="shared" si="68"/>
        <v>754.68411025369562</v>
      </c>
      <c r="CY90" s="59">
        <f ca="1">AVERAGE(OFFSET($CX$3,0,0,'Données projet'!$E$13+1,1))-AVERAGE(OFFSET($H$3,0,0,'Données projet'!$E$13+1,1))</f>
        <v>299.10536994156814</v>
      </c>
      <c r="CZ90" s="59">
        <f t="shared" si="96"/>
        <v>292.57799203101769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25.064301662375115</v>
      </c>
      <c r="DG90" s="21">
        <f>EXP(-LN(2)/25)*DG89+(1-EXP(-LN(2)/25))/(LN(2)/25)*Calculateur!DB90*Calculateur!DD90*VLOOKUP('Données projet'!$B$13,Paramètres!$A$1:$I$89,3,0)*0.475*44/12</f>
        <v>6.8596238724914524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31.923925534866569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266.99999999999983</v>
      </c>
      <c r="DP90" s="17">
        <f>DO90*VLOOKUP('Données projet'!$B$14,Paramètres!$A$1:$I$89,3,0)*VLOOKUP('Données projet'!$B$14,Paramètres!$A$1:$I$89,5,0)</f>
        <v>212.42519999999985</v>
      </c>
      <c r="DQ90" s="13">
        <f t="shared" si="97"/>
        <v>52.465198231787184</v>
      </c>
      <c r="DR90" s="20">
        <f t="shared" si="70"/>
        <v>461.35077692036231</v>
      </c>
      <c r="DS90" s="59">
        <f t="shared" si="71"/>
        <v>754.68411025369562</v>
      </c>
      <c r="DT90" s="59">
        <f ca="1">AVERAGE(OFFSET($DS$3,0,0,'Données projet'!$E$14+1,1))-AVERAGE(OFFSET($H$3,0,0,'Données projet'!$E$14+1,1))</f>
        <v>299.10536994156814</v>
      </c>
      <c r="DU90" s="59">
        <f t="shared" si="98"/>
        <v>292.57799203101769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25.064301662375115</v>
      </c>
      <c r="EB90" s="21">
        <f>EXP(-LN(2)/25)*EB89+(1-EXP(-LN(2)/25))/(LN(2)/25)*Calculateur!DW90*Calculateur!DY90*VLOOKUP('Données projet'!$B$14,Paramètres!$A$1:$I$89,3,0)*0.475*44/12</f>
        <v>6.8596238724914524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31.923925534866569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3.4</v>
      </c>
      <c r="EJ90" s="12">
        <f>IF('Données projet'!$A$192&gt;35,EJ89+EI90-ER89,IF(A90&lt;'Données projet'!$A$192,$EG$205^A90,IF(A90='Données projet'!$A$192,'Données projet'!$B$192,EJ89+EI90-ER89)))</f>
        <v>206.80000000000015</v>
      </c>
      <c r="EK90" s="17">
        <f>EJ90*VLOOKUP('Données projet'!$B$15,Paramètres!$A$1:$I$89,3,0)*VLOOKUP('Données projet'!$B$15,Paramètres!$A$1:$I$89,5,0)</f>
        <v>135.49536000000012</v>
      </c>
      <c r="EL90" s="13">
        <f t="shared" si="99"/>
        <v>35.263099712541788</v>
      </c>
      <c r="EM90" s="20">
        <f t="shared" si="73"/>
        <v>297.40431733267718</v>
      </c>
      <c r="EN90" s="59">
        <f t="shared" si="74"/>
        <v>590.7376506660105</v>
      </c>
      <c r="EO90" s="59">
        <f ca="1">AVERAGE(OFFSET($EN$3,0,0,'Données projet'!$E$15+1,1))-AVERAGE(OFFSET($H$3,0,0,'Données projet'!$E$15+1,1))</f>
        <v>230.58262378842818</v>
      </c>
      <c r="EP90" s="59">
        <f t="shared" si="100"/>
        <v>235.68746142880792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1.5968290949914823</v>
      </c>
      <c r="EW90" s="21">
        <f>EXP(-LN(2)/25)*EW89+(1-EXP(-LN(2)/25))/(LN(2)/25)*Calculateur!ER90*Calculateur!ET90*VLOOKUP('Données projet'!$B$15,Paramètres!$A$1:$I$89,3,0)*0.475*44/12</f>
        <v>9.9707916265283583</v>
      </c>
      <c r="EX90" s="21">
        <f>EXP(-LN(2)/2)*EX89+(1-EXP(-LN(2)/2))/(LN(2)/2)*ER90*EU90*VLOOKUP('Données projet'!$B$15,Paramètres!$A$1:$I$89,3,0)*0.475*44/12</f>
        <v>1.6011816822915999</v>
      </c>
      <c r="EY90" s="22">
        <f t="shared" si="75"/>
        <v>13.168802403811441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3.6</v>
      </c>
      <c r="FE90" s="12">
        <f>IF('Données projet'!$A$218&gt;35,FE89+FD90-FM89,IF(A90&lt;'Données projet'!$A$218,$FB$205^A90,IF(A90='Données projet'!$A$218,'Données projet'!$B$218,FE89+FD90-FM89)))</f>
        <v>235.20000000000005</v>
      </c>
      <c r="FF90" s="17">
        <f>FE90*VLOOKUP('Données projet'!$B$16,Paramètres!$A$1:$I$89,3,0)*VLOOKUP('Données projet'!$B$16,Paramètres!$A$1:$I$89,5,0)</f>
        <v>190.79424000000006</v>
      </c>
      <c r="FG90" s="13">
        <f t="shared" si="101"/>
        <v>47.715505384501149</v>
      </c>
      <c r="FH90" s="20">
        <f t="shared" si="76"/>
        <v>415.40447321133956</v>
      </c>
      <c r="FI90" s="59">
        <f t="shared" si="77"/>
        <v>708.73780654467282</v>
      </c>
      <c r="FJ90" s="59">
        <f ca="1">AVERAGE(OFFSET($FI$3,0,0,'Données projet'!$E$16+1,1))-AVERAGE(OFFSET($H$3,0,0,'Données projet'!$E$16+1,1))</f>
        <v>272.90535195666996</v>
      </c>
      <c r="FK90" s="59">
        <f t="shared" si="102"/>
        <v>222.25422164416898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2.9968029749989498</v>
      </c>
      <c r="FR90" s="21">
        <f>EXP(-LN(2)/25)*FR89+(1-EXP(-LN(2)/25))/(LN(2)/25)*Calculateur!FM90*Calculateur!FO90*VLOOKUP('Données projet'!$B$16,Paramètres!$A$1:$I$89,3,0)*0.475*44/12</f>
        <v>11.38103993592787</v>
      </c>
      <c r="FS90" s="21">
        <f>EXP(-LN(2)/2)*FS89+(1-EXP(-LN(2)/2))/(LN(2)/2)*FM90*FP90*VLOOKUP('Données projet'!$B$16,Paramètres!$A$1:$I$89,3,0)*0.475*44/12</f>
        <v>1.2319141594463277</v>
      </c>
      <c r="FT90" s="22">
        <f t="shared" si="78"/>
        <v>15.609757070373147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857.33444491216642</v>
      </c>
      <c r="S91" s="59">
        <f ca="1">AVERAGE(OFFSET($R$3,0,0,'Données projet'!$E$9+1,1))-AVERAGE(OFFSET($H$3,0,0,'Données projet'!$E$9+1,1))</f>
        <v>384.05928630855732</v>
      </c>
      <c r="T91" s="59">
        <f t="shared" si="88"/>
        <v>279.93992813630513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304.99999999999983</v>
      </c>
      <c r="AJ91" s="13">
        <f>AI91*VLOOKUP('Données projet'!$B$10,Paramètres!$A$1:$I$89,3,0)*VLOOKUP('Données projet'!$B$10,Paramètres!$A$1:$I$89,5,0)</f>
        <v>275.96399999999983</v>
      </c>
      <c r="AK91" s="13">
        <f t="shared" si="89"/>
        <v>66.113366665488854</v>
      </c>
      <c r="AL91" s="20">
        <f t="shared" si="58"/>
        <v>595.78474694239264</v>
      </c>
      <c r="AM91" s="59">
        <f t="shared" si="59"/>
        <v>889.11808027572602</v>
      </c>
      <c r="AN91" s="59">
        <f ca="1">AVERAGE(OFFSET($AM$3,0,0,'Données projet'!$E$10+1,1))-AVERAGE(OFFSET($H$3,0,0,'Données projet'!$E$10+1,1))</f>
        <v>366.69125512029831</v>
      </c>
      <c r="AO91" s="59">
        <f t="shared" si="90"/>
        <v>513.80016421153414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0.51246395831482328</v>
      </c>
      <c r="AV91" s="21">
        <f>EXP(-LN(2)/25)*AV90+(1-EXP(-LN(2)/25))/(LN(2)/25)*Calculateur!AQ91*Calculateur!AS91*VLOOKUP('Données projet'!$B$10,Paramètres!$A$1:$I$89,3,0)*0.475*44/12</f>
        <v>1.4785755985973916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1.9910395569122148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212.28480000000002</v>
      </c>
      <c r="BF91" s="13">
        <f t="shared" si="91"/>
        <v>52.434557099704193</v>
      </c>
      <c r="BG91" s="20">
        <f t="shared" si="61"/>
        <v>461.05288028198476</v>
      </c>
      <c r="BH91" s="59">
        <f t="shared" si="62"/>
        <v>754.38621361531807</v>
      </c>
      <c r="BI91" s="59">
        <f ca="1">AVERAGE(OFFSET($BH$3,0,0,'Données projet'!$E$11+1,1))-AVERAGE(OFFSET($H$3,0,0,'Données projet'!$E$11+1,1))</f>
        <v>354.24684313982857</v>
      </c>
      <c r="BJ91" s="59">
        <f t="shared" si="92"/>
        <v>322.65043486962185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23.021642775714252</v>
      </c>
      <c r="BQ91" s="21">
        <f>EXP(-LN(2)/25)*BQ90+(1-EXP(-LN(2)/25))/(LN(2)/25)*Calculateur!BL91*Calculateur!BN91*VLOOKUP('Données projet'!$B$11,Paramètres!$A$1:$I$89,3,0)*0.475*44/12</f>
        <v>16.604551980455444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39.626194756169696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7.4950142450142421</v>
      </c>
      <c r="BY91" s="12">
        <f>IF('Données projet'!$A$114&gt;35,BY90+BX91-CG90,IF(A91&lt;'Données projet'!$A$114,$BV$205^A91,IF(A91='Données projet'!$A$114,'Données projet'!$B$114,BY90+BX91-CG90)))</f>
        <v>288.36396011396039</v>
      </c>
      <c r="BZ91" s="13">
        <f>BY91*VLOOKUP('Données projet'!$B$12,Paramètres!$A$1:$I$89,3,0)*VLOOKUP('Données projet'!$B$12,Paramètres!$A$1:$I$89,5,0)</f>
        <v>278.90562222222252</v>
      </c>
      <c r="CA91" s="13">
        <f t="shared" si="93"/>
        <v>66.735682711589348</v>
      </c>
      <c r="CB91" s="20">
        <f t="shared" si="64"/>
        <v>601.99193942638897</v>
      </c>
      <c r="CC91" s="59">
        <f t="shared" si="65"/>
        <v>895.32527275972234</v>
      </c>
      <c r="CD91" s="59">
        <f ca="1">AVERAGE(OFFSET($CC$3,0,0,'Données projet'!$E$12+1,1))-AVERAGE(OFFSET($H$3,0,0,'Données projet'!$E$12+1,1))</f>
        <v>407.73540492005355</v>
      </c>
      <c r="CE91" s="59">
        <f t="shared" si="94"/>
        <v>296.29416764204774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29.891019740109726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29.891019740109726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266.99999999999983</v>
      </c>
      <c r="CU91" s="17">
        <f>CT91*VLOOKUP('Données projet'!$B$13,Paramètres!$A$1:$I$89,3,0)*VLOOKUP('Données projet'!$B$13,Paramètres!$A$1:$I$89,5,0)</f>
        <v>212.42519999999985</v>
      </c>
      <c r="CV91" s="13">
        <f t="shared" si="95"/>
        <v>52.465198231787184</v>
      </c>
      <c r="CW91" s="20">
        <f t="shared" si="67"/>
        <v>461.35077692036231</v>
      </c>
      <c r="CX91" s="59">
        <f t="shared" si="68"/>
        <v>754.68411025369562</v>
      </c>
      <c r="CY91" s="59">
        <f ca="1">AVERAGE(OFFSET($CX$3,0,0,'Données projet'!$E$13+1,1))-AVERAGE(OFFSET($H$3,0,0,'Données projet'!$E$13+1,1))</f>
        <v>299.10536994156814</v>
      </c>
      <c r="CZ91" s="59">
        <f t="shared" si="96"/>
        <v>292.57799203101769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24.572805994490416</v>
      </c>
      <c r="DG91" s="21">
        <f>EXP(-LN(2)/25)*DG90+(1-EXP(-LN(2)/25))/(LN(2)/25)*Calculateur!DB91*Calculateur!DD91*VLOOKUP('Données projet'!$B$13,Paramètres!$A$1:$I$89,3,0)*0.475*44/12</f>
        <v>6.6720470969662324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31.244853091456648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266.99999999999983</v>
      </c>
      <c r="DP91" s="17">
        <f>DO91*VLOOKUP('Données projet'!$B$14,Paramètres!$A$1:$I$89,3,0)*VLOOKUP('Données projet'!$B$14,Paramètres!$A$1:$I$89,5,0)</f>
        <v>212.42519999999985</v>
      </c>
      <c r="DQ91" s="13">
        <f t="shared" si="97"/>
        <v>52.465198231787184</v>
      </c>
      <c r="DR91" s="20">
        <f t="shared" si="70"/>
        <v>461.35077692036231</v>
      </c>
      <c r="DS91" s="59">
        <f t="shared" si="71"/>
        <v>754.68411025369562</v>
      </c>
      <c r="DT91" s="59">
        <f ca="1">AVERAGE(OFFSET($DS$3,0,0,'Données projet'!$E$14+1,1))-AVERAGE(OFFSET($H$3,0,0,'Données projet'!$E$14+1,1))</f>
        <v>299.10536994156814</v>
      </c>
      <c r="DU91" s="59">
        <f t="shared" si="98"/>
        <v>292.57799203101769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24.572805994490416</v>
      </c>
      <c r="EB91" s="21">
        <f>EXP(-LN(2)/25)*EB90+(1-EXP(-LN(2)/25))/(LN(2)/25)*Calculateur!DW91*Calculateur!DY91*VLOOKUP('Données projet'!$B$14,Paramètres!$A$1:$I$89,3,0)*0.475*44/12</f>
        <v>6.6720470969662324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31.244853091456648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3.4</v>
      </c>
      <c r="EJ91" s="12">
        <f>IF('Données projet'!$A$192&gt;35,EJ90+EI91-ER90,IF(A91&lt;'Données projet'!$A$192,$EG$205^A91,IF(A91='Données projet'!$A$192,'Données projet'!$B$192,EJ90+EI91-ER90)))</f>
        <v>210.20000000000016</v>
      </c>
      <c r="EK91" s="17">
        <f>EJ91*VLOOKUP('Données projet'!$B$15,Paramètres!$A$1:$I$89,3,0)*VLOOKUP('Données projet'!$B$15,Paramètres!$A$1:$I$89,5,0)</f>
        <v>137.72304000000011</v>
      </c>
      <c r="EL91" s="13">
        <f t="shared" si="99"/>
        <v>35.774889172094717</v>
      </c>
      <c r="EM91" s="20">
        <f t="shared" si="73"/>
        <v>302.17555997473181</v>
      </c>
      <c r="EN91" s="59">
        <f t="shared" si="74"/>
        <v>595.50889330806513</v>
      </c>
      <c r="EO91" s="59">
        <f ca="1">AVERAGE(OFFSET($EN$3,0,0,'Données projet'!$E$15+1,1))-AVERAGE(OFFSET($H$3,0,0,'Données projet'!$E$15+1,1))</f>
        <v>230.58262378842818</v>
      </c>
      <c r="EP91" s="59">
        <f t="shared" si="100"/>
        <v>235.68746142880792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1.5655162504082758</v>
      </c>
      <c r="EW91" s="21">
        <f>EXP(-LN(2)/25)*EW90+(1-EXP(-LN(2)/25))/(LN(2)/25)*Calculateur!ER91*Calculateur!ET91*VLOOKUP('Données projet'!$B$15,Paramètres!$A$1:$I$89,3,0)*0.475*44/12</f>
        <v>9.6981398051597978</v>
      </c>
      <c r="EX91" s="21">
        <f>EXP(-LN(2)/2)*EX90+(1-EXP(-LN(2)/2))/(LN(2)/2)*ER91*EU91*VLOOKUP('Données projet'!$B$15,Paramètres!$A$1:$I$89,3,0)*0.475*44/12</f>
        <v>1.1322064254600743</v>
      </c>
      <c r="EY91" s="22">
        <f t="shared" si="75"/>
        <v>12.395862481028148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3.6</v>
      </c>
      <c r="FE91" s="12">
        <f>IF('Données projet'!$A$218&gt;35,FE90+FD91-FM90,IF(A91&lt;'Données projet'!$A$218,$FB$205^A91,IF(A91='Données projet'!$A$218,'Données projet'!$B$218,FE90+FD91-FM90)))</f>
        <v>238.80000000000004</v>
      </c>
      <c r="FF91" s="17">
        <f>FE91*VLOOKUP('Données projet'!$B$16,Paramètres!$A$1:$I$89,3,0)*VLOOKUP('Données projet'!$B$16,Paramètres!$A$1:$I$89,5,0)</f>
        <v>193.71456000000006</v>
      </c>
      <c r="FG91" s="13">
        <f t="shared" si="101"/>
        <v>48.360261629719496</v>
      </c>
      <c r="FH91" s="20">
        <f t="shared" si="76"/>
        <v>421.61364767176156</v>
      </c>
      <c r="FI91" s="59">
        <f t="shared" si="77"/>
        <v>714.94698100509481</v>
      </c>
      <c r="FJ91" s="59">
        <f ca="1">AVERAGE(OFFSET($FI$3,0,0,'Données projet'!$E$16+1,1))-AVERAGE(OFFSET($H$3,0,0,'Données projet'!$E$16+1,1))</f>
        <v>272.90535195666996</v>
      </c>
      <c r="FK91" s="59">
        <f t="shared" si="102"/>
        <v>222.25422164416898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2.9380374965285481</v>
      </c>
      <c r="FR91" s="21">
        <f>EXP(-LN(2)/25)*FR90+(1-EXP(-LN(2)/25))/(LN(2)/25)*Calculateur!FM91*Calculateur!FO91*VLOOKUP('Données projet'!$B$16,Paramètres!$A$1:$I$89,3,0)*0.475*44/12</f>
        <v>11.069824800377043</v>
      </c>
      <c r="FS91" s="21">
        <f>EXP(-LN(2)/2)*FS90+(1-EXP(-LN(2)/2))/(LN(2)/2)*FM91*FP91*VLOOKUP('Données projet'!$B$16,Paramètres!$A$1:$I$89,3,0)*0.475*44/12</f>
        <v>0.87109485598422409</v>
      </c>
      <c r="FT91" s="22">
        <f t="shared" si="78"/>
        <v>14.878957152889814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384.05928630855732</v>
      </c>
      <c r="T92" s="59">
        <f t="shared" si="88"/>
        <v>279.93992813630513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304.99999999999983</v>
      </c>
      <c r="AJ92" s="13">
        <f>AI92*VLOOKUP('Données projet'!$B$10,Paramètres!$A$1:$I$89,3,0)*VLOOKUP('Données projet'!$B$10,Paramètres!$A$1:$I$89,5,0)</f>
        <v>275.96399999999983</v>
      </c>
      <c r="AK92" s="13">
        <f t="shared" si="89"/>
        <v>66.113366665488854</v>
      </c>
      <c r="AL92" s="20">
        <f t="shared" si="58"/>
        <v>595.78474694239264</v>
      </c>
      <c r="AM92" s="59">
        <f t="shared" si="59"/>
        <v>889.11808027572602</v>
      </c>
      <c r="AN92" s="59">
        <f ca="1">AVERAGE(OFFSET($AM$3,0,0,'Données projet'!$E$10+1,1))-AVERAGE(OFFSET($H$3,0,0,'Données projet'!$E$10+1,1))</f>
        <v>366.69125512029831</v>
      </c>
      <c r="AO92" s="59">
        <f t="shared" si="90"/>
        <v>513.80016421153414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0.50241485266442021</v>
      </c>
      <c r="AV92" s="21">
        <f>EXP(-LN(2)/25)*AV91+(1-EXP(-LN(2)/25))/(LN(2)/25)*Calculateur!AQ92*Calculateur!AS92*VLOOKUP('Données projet'!$B$10,Paramètres!$A$1:$I$89,3,0)*0.475*44/12</f>
        <v>1.4381438710988346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1.9405587237632549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214.90560000000005</v>
      </c>
      <c r="BF92" s="13">
        <f t="shared" si="91"/>
        <v>53.006137800892326</v>
      </c>
      <c r="BG92" s="20">
        <f t="shared" si="61"/>
        <v>466.61294333655422</v>
      </c>
      <c r="BH92" s="59">
        <f t="shared" si="62"/>
        <v>759.94627666988754</v>
      </c>
      <c r="BI92" s="59">
        <f ca="1">AVERAGE(OFFSET($BH$3,0,0,'Données projet'!$E$11+1,1))-AVERAGE(OFFSET($H$3,0,0,'Données projet'!$E$11+1,1))</f>
        <v>354.24684313982857</v>
      </c>
      <c r="BJ92" s="59">
        <f t="shared" si="92"/>
        <v>322.65043486962185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22.570202402698076</v>
      </c>
      <c r="BQ92" s="21">
        <f>EXP(-LN(2)/25)*BQ91+(1-EXP(-LN(2)/25))/(LN(2)/25)*Calculateur!BL92*Calculateur!BN92*VLOOKUP('Données projet'!$B$11,Paramètres!$A$1:$I$89,3,0)*0.475*44/12</f>
        <v>16.15049963335445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38.720702036052529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>
        <f>VLOOKUP(A92,'Données projet'!$A$113:$I$133,2,0)</f>
        <v>295.85897435897436</v>
      </c>
      <c r="BW92" s="12">
        <f>VLOOKUP(A92,'Données projet'!$A$113:$I$133,9,0)</f>
        <v>7.4950142450142421</v>
      </c>
      <c r="BX92" s="12">
        <f t="array" ref="BX92">INDEX(BW:BW,MIN(IF(ISNUMBER(BW92:BW288),ROW(BW92:BW288),"")))</f>
        <v>7.4950142450142421</v>
      </c>
      <c r="BY92" s="12">
        <f>IF('Données projet'!$A$114&gt;35,BY91+BX92-CG91,IF(A92&lt;'Données projet'!$A$114,$BV$205^A92,IF(A92='Données projet'!$A$114,'Données projet'!$B$114,BY91+BX92-CG91)))</f>
        <v>295.85897435897465</v>
      </c>
      <c r="BZ92" s="13">
        <f>BY92*VLOOKUP('Données projet'!$B$12,Paramètres!$A$1:$I$89,3,0)*VLOOKUP('Données projet'!$B$12,Paramètres!$A$1:$I$89,5,0)</f>
        <v>286.15480000000025</v>
      </c>
      <c r="CA92" s="13">
        <f t="shared" si="93"/>
        <v>68.266044513279169</v>
      </c>
      <c r="CB92" s="20">
        <f t="shared" si="64"/>
        <v>617.28297086062821</v>
      </c>
      <c r="CC92" s="59">
        <f t="shared" si="65"/>
        <v>910.61630419396147</v>
      </c>
      <c r="CD92" s="59">
        <f ca="1">AVERAGE(OFFSET($CC$3,0,0,'Données projet'!$E$12+1,1))-AVERAGE(OFFSET($H$3,0,0,'Données projet'!$E$12+1,1))</f>
        <v>407.73540492005355</v>
      </c>
      <c r="CE92" s="59">
        <f t="shared" si="94"/>
        <v>296.29416764204774</v>
      </c>
      <c r="CF92" s="15">
        <f>IF(ISNA(VLOOKUP(A92,'Données projet'!$A$113:$I$133,3,0)),0,VLOOKUP(A92,'Données projet'!$A$113:$I$133,3,0))</f>
        <v>8</v>
      </c>
      <c r="CG92" s="15">
        <f>IF(ISNA(VLOOKUP(A92,'Données projet'!$A$113:$I$133,4,0)),0,VLOOKUP(A92,'Données projet'!$A$113:$I$133,4,0))</f>
        <v>49.391025641025635</v>
      </c>
      <c r="CH92" s="16">
        <f>IF(ISNA(VLOOKUP(A92,'Données projet'!$A$113:$I$133,5,0)),0%,VLOOKUP(A92,'Données projet'!$A$113:$I$133,5,0)*VLOOKUP('Données projet'!$B$12,Paramètres!$A$1:$I$89,7,0))</f>
        <v>0.30099999999999999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45.200512150429219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45.200512150429219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266.99999999999983</v>
      </c>
      <c r="CU92" s="17">
        <f>CT92*VLOOKUP('Données projet'!$B$13,Paramètres!$A$1:$I$89,3,0)*VLOOKUP('Données projet'!$B$13,Paramètres!$A$1:$I$89,5,0)</f>
        <v>212.42519999999985</v>
      </c>
      <c r="CV92" s="13">
        <f t="shared" si="95"/>
        <v>52.465198231787184</v>
      </c>
      <c r="CW92" s="20">
        <f t="shared" si="67"/>
        <v>461.35077692036231</v>
      </c>
      <c r="CX92" s="59">
        <f t="shared" si="68"/>
        <v>754.68411025369562</v>
      </c>
      <c r="CY92" s="59">
        <f ca="1">AVERAGE(OFFSET($CX$3,0,0,'Données projet'!$E$13+1,1))-AVERAGE(OFFSET($H$3,0,0,'Données projet'!$E$13+1,1))</f>
        <v>299.10536994156814</v>
      </c>
      <c r="CZ92" s="59">
        <f t="shared" si="96"/>
        <v>292.57799203101769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24.090948256870181</v>
      </c>
      <c r="DG92" s="21">
        <f>EXP(-LN(2)/25)*DG91+(1-EXP(-LN(2)/25))/(LN(2)/25)*Calculateur!DB92*Calculateur!DD92*VLOOKUP('Données projet'!$B$13,Paramètres!$A$1:$I$89,3,0)*0.475*44/12</f>
        <v>6.4895996182319831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30.580547875102162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266.99999999999983</v>
      </c>
      <c r="DP92" s="17">
        <f>DO92*VLOOKUP('Données projet'!$B$14,Paramètres!$A$1:$I$89,3,0)*VLOOKUP('Données projet'!$B$14,Paramètres!$A$1:$I$89,5,0)</f>
        <v>212.42519999999985</v>
      </c>
      <c r="DQ92" s="13">
        <f t="shared" si="97"/>
        <v>52.465198231787184</v>
      </c>
      <c r="DR92" s="20">
        <f t="shared" si="70"/>
        <v>461.35077692036231</v>
      </c>
      <c r="DS92" s="59">
        <f t="shared" si="71"/>
        <v>754.68411025369562</v>
      </c>
      <c r="DT92" s="59">
        <f ca="1">AVERAGE(OFFSET($DS$3,0,0,'Données projet'!$E$14+1,1))-AVERAGE(OFFSET($H$3,0,0,'Données projet'!$E$14+1,1))</f>
        <v>299.10536994156814</v>
      </c>
      <c r="DU92" s="59">
        <f t="shared" si="98"/>
        <v>292.57799203101769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24.090948256870181</v>
      </c>
      <c r="EB92" s="21">
        <f>EXP(-LN(2)/25)*EB91+(1-EXP(-LN(2)/25))/(LN(2)/25)*Calculateur!DW92*Calculateur!DY92*VLOOKUP('Données projet'!$B$14,Paramètres!$A$1:$I$89,3,0)*0.475*44/12</f>
        <v>6.4895996182319831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30.580547875102162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3.4</v>
      </c>
      <c r="EJ92" s="12">
        <f>IF('Données projet'!$A$192&gt;35,EJ91+EI92-ER91,IF(A92&lt;'Données projet'!$A$192,$EG$205^A92,IF(A92='Données projet'!$A$192,'Données projet'!$B$192,EJ91+EI92-ER91)))</f>
        <v>213.60000000000016</v>
      </c>
      <c r="EK92" s="17">
        <f>EJ92*VLOOKUP('Données projet'!$B$15,Paramètres!$A$1:$I$89,3,0)*VLOOKUP('Données projet'!$B$15,Paramètres!$A$1:$I$89,5,0)</f>
        <v>139.9507200000001</v>
      </c>
      <c r="EL92" s="13">
        <f t="shared" si="99"/>
        <v>36.285715907711953</v>
      </c>
      <c r="EM92" s="20">
        <f t="shared" si="73"/>
        <v>306.94512587259851</v>
      </c>
      <c r="EN92" s="59">
        <f t="shared" si="74"/>
        <v>600.27845920593177</v>
      </c>
      <c r="EO92" s="59">
        <f ca="1">AVERAGE(OFFSET($EN$3,0,0,'Données projet'!$E$15+1,1))-AVERAGE(OFFSET($H$3,0,0,'Données projet'!$E$15+1,1))</f>
        <v>230.58262378842818</v>
      </c>
      <c r="EP92" s="59">
        <f t="shared" si="100"/>
        <v>235.68746142880792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1.5348174316083967</v>
      </c>
      <c r="EW92" s="21">
        <f>EXP(-LN(2)/25)*EW91+(1-EXP(-LN(2)/25))/(LN(2)/25)*Calculateur!ER92*Calculateur!ET92*VLOOKUP('Données projet'!$B$15,Paramètres!$A$1:$I$89,3,0)*0.475*44/12</f>
        <v>9.4329436621846963</v>
      </c>
      <c r="EX92" s="21">
        <f>EXP(-LN(2)/2)*EX91+(1-EXP(-LN(2)/2))/(LN(2)/2)*ER92*EU92*VLOOKUP('Données projet'!$B$15,Paramètres!$A$1:$I$89,3,0)*0.475*44/12</f>
        <v>0.80059084114579993</v>
      </c>
      <c r="EY92" s="22">
        <f t="shared" si="75"/>
        <v>11.768351934938893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3.6</v>
      </c>
      <c r="FE92" s="12">
        <f>IF('Données projet'!$A$218&gt;35,FE91+FD92-FM91,IF(A92&lt;'Données projet'!$A$218,$FB$205^A92,IF(A92='Données projet'!$A$218,'Données projet'!$B$218,FE91+FD92-FM91)))</f>
        <v>242.40000000000003</v>
      </c>
      <c r="FF92" s="17">
        <f>FE92*VLOOKUP('Données projet'!$B$16,Paramètres!$A$1:$I$89,3,0)*VLOOKUP('Données projet'!$B$16,Paramètres!$A$1:$I$89,5,0)</f>
        <v>196.63488000000004</v>
      </c>
      <c r="FG92" s="13">
        <f t="shared" si="101"/>
        <v>49.003887420349095</v>
      </c>
      <c r="FH92" s="20">
        <f t="shared" si="76"/>
        <v>427.82085325710801</v>
      </c>
      <c r="FI92" s="59">
        <f t="shared" si="77"/>
        <v>721.15418659044133</v>
      </c>
      <c r="FJ92" s="59">
        <f ca="1">AVERAGE(OFFSET($FI$3,0,0,'Données projet'!$E$16+1,1))-AVERAGE(OFFSET($H$3,0,0,'Données projet'!$E$16+1,1))</f>
        <v>272.90535195666996</v>
      </c>
      <c r="FK92" s="59">
        <f t="shared" si="102"/>
        <v>222.25422164416898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2.8804243732475481</v>
      </c>
      <c r="FR92" s="21">
        <f>EXP(-LN(2)/25)*FR91+(1-EXP(-LN(2)/25))/(LN(2)/25)*Calculateur!FM92*Calculateur!FO92*VLOOKUP('Données projet'!$B$16,Paramètres!$A$1:$I$89,3,0)*0.475*44/12</f>
        <v>10.767119859073947</v>
      </c>
      <c r="FS92" s="21">
        <f>EXP(-LN(2)/2)*FS91+(1-EXP(-LN(2)/2))/(LN(2)/2)*FM92*FP92*VLOOKUP('Données projet'!$B$16,Paramètres!$A$1:$I$89,3,0)*0.475*44/12</f>
        <v>0.61595707972316394</v>
      </c>
      <c r="FT92" s="22">
        <f t="shared" si="78"/>
        <v>14.26350131204466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790.88115168016611</v>
      </c>
      <c r="S93" s="59">
        <f ca="1">AVERAGE(OFFSET($R$3,0,0,'Données projet'!$E$9+1,1))-AVERAGE(OFFSET($H$3,0,0,'Données projet'!$E$9+1,1))</f>
        <v>384.05928630855732</v>
      </c>
      <c r="T93" s="59">
        <f t="shared" si="88"/>
        <v>279.93992813630513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304.99999999999983</v>
      </c>
      <c r="AJ93" s="13">
        <f>AI93*VLOOKUP('Données projet'!$B$10,Paramètres!$A$1:$I$89,3,0)*VLOOKUP('Données projet'!$B$10,Paramètres!$A$1:$I$89,5,0)</f>
        <v>275.96399999999983</v>
      </c>
      <c r="AK93" s="13">
        <f t="shared" si="89"/>
        <v>66.113366665488854</v>
      </c>
      <c r="AL93" s="20">
        <f t="shared" si="58"/>
        <v>595.78474694239264</v>
      </c>
      <c r="AM93" s="59">
        <f t="shared" si="59"/>
        <v>889.11808027572602</v>
      </c>
      <c r="AN93" s="59">
        <f ca="1">AVERAGE(OFFSET($AM$3,0,0,'Données projet'!$E$10+1,1))-AVERAGE(OFFSET($H$3,0,0,'Données projet'!$E$10+1,1))</f>
        <v>366.69125512029831</v>
      </c>
      <c r="AO93" s="59">
        <f t="shared" si="90"/>
        <v>513.80016421153414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0.49256280384647233</v>
      </c>
      <c r="AV93" s="21">
        <f>EXP(-LN(2)/25)*AV92+(1-EXP(-LN(2)/25))/(LN(2)/25)*Calculateur!AQ93*Calculateur!AS93*VLOOKUP('Données projet'!$B$10,Paramètres!$A$1:$I$89,3,0)*0.475*44/12</f>
        <v>1.3988177513149376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1.89138055516141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217.52640000000005</v>
      </c>
      <c r="BF93" s="13">
        <f t="shared" si="91"/>
        <v>53.576907690651254</v>
      </c>
      <c r="BG93" s="20">
        <f t="shared" si="61"/>
        <v>472.17159422788433</v>
      </c>
      <c r="BH93" s="59">
        <f t="shared" si="62"/>
        <v>765.50492756121764</v>
      </c>
      <c r="BI93" s="59">
        <f ca="1">AVERAGE(OFFSET($BH$3,0,0,'Données projet'!$E$11+1,1))-AVERAGE(OFFSET($H$3,0,0,'Données projet'!$E$11+1,1))</f>
        <v>354.24684313982857</v>
      </c>
      <c r="BJ93" s="59">
        <f t="shared" si="92"/>
        <v>322.65043486962185</v>
      </c>
      <c r="BK93" s="15">
        <f>IF(ISNA(VLOOKUP(A93,'Données projet'!$A$87:$I$107,3,0)),0,VLOOKUP(A93,'Données projet'!$A$87:$I$107,3,0))</f>
        <v>15</v>
      </c>
      <c r="BL93" s="15" t="str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0.25800000000000001</v>
      </c>
      <c r="BN93" s="16">
        <f>IF(ISNA(VLOOKUP(A93,'Données projet'!$A$87:$I$107,6,0)),0%,VLOOKUP(A93,'Données projet'!$A$87:$I$107,6,0)*VLOOKUP('Données projet'!$B$11,Paramètres!$A$1:$I$89,7,0))</f>
        <v>0.129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25.117542207387022</v>
      </c>
      <c r="BQ93" s="21">
        <f>EXP(-LN(2)/25)*BQ92+(1-EXP(-LN(2)/25))/(LN(2)/25)*Calculateur!BL93*Calculateur!BN93*VLOOKUP('Données projet'!$B$11,Paramètres!$A$1:$I$89,3,0)*0.475*44/12</f>
        <v>17.197940982915579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42.315483190302601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7.1782051282051267</v>
      </c>
      <c r="BY93" s="12">
        <f>IF('Données projet'!$A$114&gt;35,BY92+BX93-CG92,IF(A93&lt;'Données projet'!$A$114,$BV$205^A93,IF(A93='Données projet'!$A$114,'Données projet'!$B$114,BY92+BX93-CG92)))</f>
        <v>253.64615384615416</v>
      </c>
      <c r="BZ93" s="13">
        <f>BY93*VLOOKUP('Données projet'!$B$12,Paramètres!$A$1:$I$89,3,0)*VLOOKUP('Données projet'!$B$12,Paramètres!$A$1:$I$89,5,0)</f>
        <v>245.32656000000034</v>
      </c>
      <c r="CA93" s="13">
        <f t="shared" si="93"/>
        <v>59.584097575246503</v>
      </c>
      <c r="CB93" s="20">
        <f t="shared" si="64"/>
        <v>531.05272861022161</v>
      </c>
      <c r="CC93" s="59">
        <f t="shared" si="65"/>
        <v>824.38606194355498</v>
      </c>
      <c r="CD93" s="59">
        <f ca="1">AVERAGE(OFFSET($CC$3,0,0,'Données projet'!$E$12+1,1))-AVERAGE(OFFSET($H$3,0,0,'Données projet'!$E$12+1,1))</f>
        <v>407.73540492005355</v>
      </c>
      <c r="CE93" s="59">
        <f t="shared" si="94"/>
        <v>296.29416764204774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44.314157676749446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44.314157676749446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266.99999999999983</v>
      </c>
      <c r="CU93" s="17">
        <f>CT93*VLOOKUP('Données projet'!$B$13,Paramètres!$A$1:$I$89,3,0)*VLOOKUP('Données projet'!$B$13,Paramètres!$A$1:$I$89,5,0)</f>
        <v>212.42519999999985</v>
      </c>
      <c r="CV93" s="13">
        <f t="shared" si="95"/>
        <v>52.465198231787184</v>
      </c>
      <c r="CW93" s="20">
        <f t="shared" si="67"/>
        <v>461.35077692036231</v>
      </c>
      <c r="CX93" s="59">
        <f t="shared" si="68"/>
        <v>754.68411025369562</v>
      </c>
      <c r="CY93" s="59">
        <f ca="1">AVERAGE(OFFSET($CX$3,0,0,'Données projet'!$E$13+1,1))-AVERAGE(OFFSET($H$3,0,0,'Données projet'!$E$13+1,1))</f>
        <v>299.10536994156814</v>
      </c>
      <c r="CZ93" s="59">
        <f t="shared" si="96"/>
        <v>292.57799203101769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23.618539455580478</v>
      </c>
      <c r="DG93" s="21">
        <f>EXP(-LN(2)/25)*DG92+(1-EXP(-LN(2)/25))/(LN(2)/25)*Calculateur!DB93*Calculateur!DD93*VLOOKUP('Données projet'!$B$13,Paramètres!$A$1:$I$89,3,0)*0.475*44/12</f>
        <v>6.3121411753982182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29.930680630978696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266.99999999999983</v>
      </c>
      <c r="DP93" s="17">
        <f>DO93*VLOOKUP('Données projet'!$B$14,Paramètres!$A$1:$I$89,3,0)*VLOOKUP('Données projet'!$B$14,Paramètres!$A$1:$I$89,5,0)</f>
        <v>212.42519999999985</v>
      </c>
      <c r="DQ93" s="13">
        <f t="shared" si="97"/>
        <v>52.465198231787184</v>
      </c>
      <c r="DR93" s="20">
        <f t="shared" si="70"/>
        <v>461.35077692036231</v>
      </c>
      <c r="DS93" s="59">
        <f t="shared" si="71"/>
        <v>754.68411025369562</v>
      </c>
      <c r="DT93" s="59">
        <f ca="1">AVERAGE(OFFSET($DS$3,0,0,'Données projet'!$E$14+1,1))-AVERAGE(OFFSET($H$3,0,0,'Données projet'!$E$14+1,1))</f>
        <v>299.10536994156814</v>
      </c>
      <c r="DU93" s="59">
        <f t="shared" si="98"/>
        <v>292.57799203101769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23.618539455580478</v>
      </c>
      <c r="EB93" s="21">
        <f>EXP(-LN(2)/25)*EB92+(1-EXP(-LN(2)/25))/(LN(2)/25)*Calculateur!DW93*Calculateur!DY93*VLOOKUP('Données projet'!$B$14,Paramètres!$A$1:$I$89,3,0)*0.475*44/12</f>
        <v>6.3121411753982182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29.930680630978696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217</v>
      </c>
      <c r="EH93" s="12">
        <f>VLOOKUP(A93,'Données projet'!$A$191:$I$211,9,0)</f>
        <v>3.4</v>
      </c>
      <c r="EI93" s="12">
        <f t="array" ref="EI93">INDEX(EH:EH,MIN(IF(ISNUMBER(EH93:EH289),ROW(EH93:EH289),"")))</f>
        <v>3.4</v>
      </c>
      <c r="EJ93" s="12">
        <f>IF('Données projet'!$A$192&gt;35,EJ92+EI93-ER92,IF(A93&lt;'Données projet'!$A$192,$EG$205^A93,IF(A93='Données projet'!$A$192,'Données projet'!$B$192,EJ92+EI93-ER92)))</f>
        <v>217.00000000000017</v>
      </c>
      <c r="EK93" s="17">
        <f>EJ93*VLOOKUP('Données projet'!$B$15,Paramètres!$A$1:$I$89,3,0)*VLOOKUP('Données projet'!$B$15,Paramètres!$A$1:$I$89,5,0)</f>
        <v>142.17840000000012</v>
      </c>
      <c r="EL93" s="13">
        <f t="shared" si="99"/>
        <v>36.795597013009385</v>
      </c>
      <c r="EM93" s="20">
        <f t="shared" si="73"/>
        <v>311.71304479765826</v>
      </c>
      <c r="EN93" s="59">
        <f t="shared" si="74"/>
        <v>605.04637813099157</v>
      </c>
      <c r="EO93" s="59">
        <f ca="1">AVERAGE(OFFSET($EN$3,0,0,'Données projet'!$E$15+1,1))-AVERAGE(OFFSET($H$3,0,0,'Données projet'!$E$15+1,1))</f>
        <v>230.58262378842818</v>
      </c>
      <c r="EP93" s="59">
        <f t="shared" si="100"/>
        <v>235.68746142880792</v>
      </c>
      <c r="EQ93" s="15">
        <f>IF(ISNA(VLOOKUP(A93,'Données projet'!$A$191:$I$211,3,0)),0,VLOOKUP(A93,'Données projet'!$A$191:$I$211,3,0))</f>
        <v>17</v>
      </c>
      <c r="ER93" s="15">
        <f>IF(ISNA(VLOOKUP(A93,'Données projet'!$A$191:$I$211,4,0)),0,VLOOKUP(A93,'Données projet'!$A$191:$I$211,4,0))</f>
        <v>13</v>
      </c>
      <c r="ES93" s="16">
        <f>IF(ISNA(VLOOKUP(A93,'Données projet'!$A$191:$I$211,5,0)),0%,VLOOKUP(A93,'Données projet'!$A$191:$I$211,5,0)*VLOOKUP('Données projet'!$B$15,Paramètres!$A$1:$I$89,7,0))</f>
        <v>4.3000000000000003E-2</v>
      </c>
      <c r="ET93" s="16">
        <f>IF(ISNA(VLOOKUP(A93,'Données projet'!$A$191:$I$211,6,0)),0%,VLOOKUP(A93,'Données projet'!$A$191:$I$211,6,0)*VLOOKUP('Données projet'!$B$15,Paramètres!$A$1:$I$89,7,0))</f>
        <v>0.17200000000000001</v>
      </c>
      <c r="EU93" s="16">
        <f>IF(ISNA(VLOOKUP(A93,'Données projet'!$A$191:$I$211,7,0)),0%,VLOOKUP(A93,'Données projet'!$A$191:$I$211,7,0))</f>
        <v>0.3</v>
      </c>
      <c r="EV93" s="21">
        <f>EXP(-LN(2)/35)*EV92+(1-EXP(-LN(2)/35))/(LN(2)/35)*ER93*ES93*VLOOKUP('Données projet'!$B$15,Paramètres!$A$1:$I$89,3,0)*0.475*44/12</f>
        <v>1.9096066416232764</v>
      </c>
      <c r="EW93" s="21">
        <f>EXP(-LN(2)/25)*EW92+(1-EXP(-LN(2)/25))/(LN(2)/25)*Calculateur!ER93*Calculateur!ET93*VLOOKUP('Données projet'!$B$15,Paramètres!$A$1:$I$89,3,0)*0.475*44/12</f>
        <v>10.788166733984465</v>
      </c>
      <c r="EX93" s="21">
        <f>EXP(-LN(2)/2)*EX92+(1-EXP(-LN(2)/2))/(LN(2)/2)*ER93*EU93*VLOOKUP('Données projet'!$B$15,Paramètres!$A$1:$I$89,3,0)*0.475*44/12</f>
        <v>2.9770786670828935</v>
      </c>
      <c r="EY93" s="22">
        <f t="shared" si="75"/>
        <v>15.674852042690635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246</v>
      </c>
      <c r="FC93" s="12">
        <f>VLOOKUP(A93,'Données projet'!$A$217:$I$237,9,0)</f>
        <v>3.6</v>
      </c>
      <c r="FD93" s="12">
        <f t="array" ref="FD93">INDEX(FC:FC,MIN(IF(ISNUMBER(FC93:FC289),ROW(FC93:FC289),"")))</f>
        <v>3.6</v>
      </c>
      <c r="FE93" s="12">
        <f>IF('Données projet'!$A$218&gt;35,FE92+FD93-FM92,IF(A93&lt;'Données projet'!$A$218,$FB$205^A93,IF(A93='Données projet'!$A$218,'Données projet'!$B$218,FE92+FD93-FM92)))</f>
        <v>246.00000000000003</v>
      </c>
      <c r="FF93" s="17">
        <f>FE93*VLOOKUP('Données projet'!$B$16,Paramètres!$A$1:$I$89,3,0)*VLOOKUP('Données projet'!$B$16,Paramètres!$A$1:$I$89,5,0)</f>
        <v>199.55520000000004</v>
      </c>
      <c r="FG93" s="13">
        <f t="shared" si="101"/>
        <v>49.646401484745567</v>
      </c>
      <c r="FH93" s="20">
        <f t="shared" si="76"/>
        <v>434.02612258593189</v>
      </c>
      <c r="FI93" s="59">
        <f t="shared" si="77"/>
        <v>727.3594559192652</v>
      </c>
      <c r="FJ93" s="59">
        <f ca="1">AVERAGE(OFFSET($FI$3,0,0,'Données projet'!$E$16+1,1))-AVERAGE(OFFSET($H$3,0,0,'Données projet'!$E$16+1,1))</f>
        <v>272.90535195666996</v>
      </c>
      <c r="FK93" s="59">
        <f t="shared" si="102"/>
        <v>222.25422164416898</v>
      </c>
      <c r="FL93" s="15">
        <f>IF(ISNA(VLOOKUP(A93,'Données projet'!$A$217:$I$237,3,0)),0,VLOOKUP(A93,'Données projet'!$A$217:$I$237,3,0))</f>
        <v>15</v>
      </c>
      <c r="FM93" s="15">
        <f>IF(ISNA(VLOOKUP(A93,'Données projet'!$A$217:$I$237,4,0)),0,VLOOKUP(A93,'Données projet'!$A$217:$I$237,4,0))</f>
        <v>12</v>
      </c>
      <c r="FN93" s="16">
        <f>IF(ISNA(VLOOKUP(A93,'Données projet'!$A$217:$I$237,5,0)),0%,VLOOKUP(A93,'Données projet'!$A$217:$I$237,5,0)*VLOOKUP('Données projet'!$B$16,Paramètres!$A$1:$I$89,7,0))</f>
        <v>0.17200000000000001</v>
      </c>
      <c r="FO93" s="16">
        <f>IF(ISNA(VLOOKUP(A93,'Données projet'!$A$217:$I$237,6,0)),0%,VLOOKUP(A93,'Données projet'!$A$217:$I$237,6,0)*VLOOKUP('Données projet'!$B$16,Paramètres!$A$1:$I$89,7,0))</f>
        <v>0.17200000000000001</v>
      </c>
      <c r="FP93" s="16">
        <f>IF(ISNA(VLOOKUP(A93,'Données projet'!$A$217:$I$237,7,0)),0%,VLOOKUP(A93,'Données projet'!$A$217:$I$237,7,0))</f>
        <v>0.1</v>
      </c>
      <c r="FQ93" s="21">
        <f>EXP(-LN(2)/35)*FQ92+(1-EXP(-LN(2)/35))/(LN(2)/35)*FM93*FN93*VLOOKUP('Données projet'!$B$16,Paramètres!$A$1:$I$89,3,0)*0.475*44/12</f>
        <v>4.6748486365279485</v>
      </c>
      <c r="FR93" s="21">
        <f>EXP(-LN(2)/25)*FR92+(1-EXP(-LN(2)/25))/(LN(2)/25)*Calculateur!FM93*Calculateur!FO93*VLOOKUP('Données projet'!$B$16,Paramètres!$A$1:$I$89,3,0)*0.475*44/12</f>
        <v>12.316312300079812</v>
      </c>
      <c r="FS93" s="21">
        <f>EXP(-LN(2)/2)*FS92+(1-EXP(-LN(2)/2))/(LN(2)/2)*FM93*FP93*VLOOKUP('Données projet'!$B$16,Paramètres!$A$1:$I$89,3,0)*0.475*44/12</f>
        <v>1.3540142677455811</v>
      </c>
      <c r="FT93" s="22">
        <f t="shared" si="78"/>
        <v>18.345175204353339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804.63551677934674</v>
      </c>
      <c r="S94" s="59">
        <f ca="1">AVERAGE(OFFSET($R$3,0,0,'Données projet'!$E$9+1,1))-AVERAGE(OFFSET($H$3,0,0,'Données projet'!$E$9+1,1))</f>
        <v>384.05928630855732</v>
      </c>
      <c r="T94" s="59">
        <f t="shared" si="88"/>
        <v>279.93992813630513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304.99999999999983</v>
      </c>
      <c r="AJ94" s="13">
        <f>AI94*VLOOKUP('Données projet'!$B$10,Paramètres!$A$1:$I$89,3,0)*VLOOKUP('Données projet'!$B$10,Paramètres!$A$1:$I$89,5,0)</f>
        <v>275.96399999999983</v>
      </c>
      <c r="AK94" s="13">
        <f t="shared" si="89"/>
        <v>66.113366665488854</v>
      </c>
      <c r="AL94" s="20">
        <f t="shared" si="58"/>
        <v>595.78474694239264</v>
      </c>
      <c r="AM94" s="59">
        <f t="shared" si="59"/>
        <v>889.11808027572602</v>
      </c>
      <c r="AN94" s="59">
        <f ca="1">AVERAGE(OFFSET($AM$3,0,0,'Données projet'!$E$10+1,1))-AVERAGE(OFFSET($H$3,0,0,'Données projet'!$E$10+1,1))</f>
        <v>366.69125512029831</v>
      </c>
      <c r="AO94" s="59">
        <f t="shared" si="90"/>
        <v>513.80016421153414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0.48290394769668799</v>
      </c>
      <c r="AV94" s="21">
        <f>EXP(-LN(2)/25)*AV93+(1-EXP(-LN(2)/25))/(LN(2)/25)*Calculateur!AQ94*Calculateur!AS94*VLOOKUP('Données projet'!$B$10,Paramètres!$A$1:$I$89,3,0)*0.475*44/12</f>
        <v>1.360567006344602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1.8434709540412899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209.66400000000002</v>
      </c>
      <c r="BF94" s="13">
        <f t="shared" si="91"/>
        <v>51.862154403304537</v>
      </c>
      <c r="BG94" s="20">
        <f t="shared" si="61"/>
        <v>455.49138558575538</v>
      </c>
      <c r="BH94" s="59">
        <f t="shared" si="62"/>
        <v>748.8247189190887</v>
      </c>
      <c r="BI94" s="59">
        <f ca="1">AVERAGE(OFFSET($BH$3,0,0,'Données projet'!$E$11+1,1))-AVERAGE(OFFSET($H$3,0,0,'Données projet'!$E$11+1,1))</f>
        <v>354.24684313982857</v>
      </c>
      <c r="BJ94" s="59">
        <f t="shared" si="92"/>
        <v>322.65043486962185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24.625002524888167</v>
      </c>
      <c r="BQ94" s="21">
        <f>EXP(-LN(2)/25)*BQ93+(1-EXP(-LN(2)/25))/(LN(2)/25)*Calculateur!BL94*Calculateur!BN94*VLOOKUP('Données projet'!$B$11,Paramètres!$A$1:$I$89,3,0)*0.475*44/12</f>
        <v>16.727662382337343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41.35266490722551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7.1782051282051267</v>
      </c>
      <c r="BY94" s="12">
        <f>IF('Données projet'!$A$114&gt;35,BY93+BX94-CG93,IF(A94&lt;'Données projet'!$A$114,$BV$205^A94,IF(A94='Données projet'!$A$114,'Données projet'!$B$114,BY93+BX94-CG93)))</f>
        <v>260.82435897435931</v>
      </c>
      <c r="BZ94" s="13">
        <f>BY94*VLOOKUP('Données projet'!$B$12,Paramètres!$A$1:$I$89,3,0)*VLOOKUP('Données projet'!$B$12,Paramètres!$A$1:$I$89,5,0)</f>
        <v>252.26932000000031</v>
      </c>
      <c r="CA94" s="13">
        <f t="shared" si="93"/>
        <v>61.071625717288512</v>
      </c>
      <c r="CB94" s="20">
        <f t="shared" si="64"/>
        <v>545.7354804576114</v>
      </c>
      <c r="CC94" s="59">
        <f t="shared" si="65"/>
        <v>839.06881379094466</v>
      </c>
      <c r="CD94" s="59">
        <f ca="1">AVERAGE(OFFSET($CC$3,0,0,'Données projet'!$E$12+1,1))-AVERAGE(OFFSET($H$3,0,0,'Données projet'!$E$12+1,1))</f>
        <v>407.73540492005355</v>
      </c>
      <c r="CE94" s="59">
        <f t="shared" si="94"/>
        <v>296.29416764204774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43.445184073675684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43.445184073675684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266.99999999999983</v>
      </c>
      <c r="CU94" s="17">
        <f>CT94*VLOOKUP('Données projet'!$B$13,Paramètres!$A$1:$I$89,3,0)*VLOOKUP('Données projet'!$B$13,Paramètres!$A$1:$I$89,5,0)</f>
        <v>212.42519999999985</v>
      </c>
      <c r="CV94" s="13">
        <f t="shared" si="95"/>
        <v>52.465198231787184</v>
      </c>
      <c r="CW94" s="20">
        <f t="shared" si="67"/>
        <v>461.35077692036231</v>
      </c>
      <c r="CX94" s="59">
        <f t="shared" si="68"/>
        <v>754.68411025369562</v>
      </c>
      <c r="CY94" s="59">
        <f ca="1">AVERAGE(OFFSET($CX$3,0,0,'Données projet'!$E$13+1,1))-AVERAGE(OFFSET($H$3,0,0,'Données projet'!$E$13+1,1))</f>
        <v>299.10536994156814</v>
      </c>
      <c r="CZ94" s="59">
        <f t="shared" si="96"/>
        <v>292.57799203101769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23.155394302743151</v>
      </c>
      <c r="DG94" s="21">
        <f>EXP(-LN(2)/25)*DG93+(1-EXP(-LN(2)/25))/(LN(2)/25)*Calculateur!DB94*Calculateur!DD94*VLOOKUP('Données projet'!$B$13,Paramètres!$A$1:$I$89,3,0)*0.475*44/12</f>
        <v>6.1395353430158757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29.294929645759026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266.99999999999983</v>
      </c>
      <c r="DP94" s="17">
        <f>DO94*VLOOKUP('Données projet'!$B$14,Paramètres!$A$1:$I$89,3,0)*VLOOKUP('Données projet'!$B$14,Paramètres!$A$1:$I$89,5,0)</f>
        <v>212.42519999999985</v>
      </c>
      <c r="DQ94" s="13">
        <f t="shared" si="97"/>
        <v>52.465198231787184</v>
      </c>
      <c r="DR94" s="20">
        <f t="shared" si="70"/>
        <v>461.35077692036231</v>
      </c>
      <c r="DS94" s="59">
        <f t="shared" si="71"/>
        <v>754.68411025369562</v>
      </c>
      <c r="DT94" s="59">
        <f ca="1">AVERAGE(OFFSET($DS$3,0,0,'Données projet'!$E$14+1,1))-AVERAGE(OFFSET($H$3,0,0,'Données projet'!$E$14+1,1))</f>
        <v>299.10536994156814</v>
      </c>
      <c r="DU94" s="59">
        <f t="shared" si="98"/>
        <v>292.57799203101769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23.155394302743151</v>
      </c>
      <c r="EB94" s="21">
        <f>EXP(-LN(2)/25)*EB93+(1-EXP(-LN(2)/25))/(LN(2)/25)*Calculateur!DW94*Calculateur!DY94*VLOOKUP('Données projet'!$B$14,Paramètres!$A$1:$I$89,3,0)*0.475*44/12</f>
        <v>6.1395353430158757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29.294929645759026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204.00000000000017</v>
      </c>
      <c r="EK94" s="17">
        <f>EJ94*VLOOKUP('Données projet'!$B$15,Paramètres!$A$1:$I$89,3,0)*VLOOKUP('Données projet'!$B$15,Paramètres!$A$1:$I$89,5,0)</f>
        <v>133.66080000000011</v>
      </c>
      <c r="EL94" s="13">
        <f t="shared" si="99"/>
        <v>34.840890682716783</v>
      </c>
      <c r="EM94" s="20">
        <f t="shared" si="73"/>
        <v>293.4737779390652</v>
      </c>
      <c r="EN94" s="59">
        <f t="shared" si="74"/>
        <v>586.80711127239852</v>
      </c>
      <c r="EO94" s="59">
        <f ca="1">AVERAGE(OFFSET($EN$3,0,0,'Données projet'!$E$15+1,1))-AVERAGE(OFFSET($H$3,0,0,'Données projet'!$E$15+1,1))</f>
        <v>230.58262378842818</v>
      </c>
      <c r="EP94" s="59">
        <f t="shared" si="100"/>
        <v>235.68746142880792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1.8721604201260864</v>
      </c>
      <c r="EW94" s="21">
        <f>EXP(-LN(2)/25)*EW93+(1-EXP(-LN(2)/25))/(LN(2)/25)*Calculateur!ER94*Calculateur!ET94*VLOOKUP('Données projet'!$B$15,Paramètres!$A$1:$I$89,3,0)*0.475*44/12</f>
        <v>10.493163747318627</v>
      </c>
      <c r="EX94" s="21">
        <f>EXP(-LN(2)/2)*EX93+(1-EXP(-LN(2)/2))/(LN(2)/2)*ER94*EU94*VLOOKUP('Données projet'!$B$15,Paramètres!$A$1:$I$89,3,0)*0.475*44/12</f>
        <v>2.1051125136201221</v>
      </c>
      <c r="EY94" s="22">
        <f t="shared" si="75"/>
        <v>14.470436681064836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234.00000000000003</v>
      </c>
      <c r="FF94" s="17">
        <f>FE94*VLOOKUP('Données projet'!$B$16,Paramètres!$A$1:$I$89,3,0)*VLOOKUP('Données projet'!$B$16,Paramètres!$A$1:$I$89,5,0)</f>
        <v>189.82080000000005</v>
      </c>
      <c r="FG94" s="13">
        <f t="shared" si="101"/>
        <v>47.500332100049796</v>
      </c>
      <c r="FH94" s="20">
        <f t="shared" si="76"/>
        <v>413.33430507425345</v>
      </c>
      <c r="FI94" s="59">
        <f t="shared" si="77"/>
        <v>706.66763840758676</v>
      </c>
      <c r="FJ94" s="59">
        <f ca="1">AVERAGE(OFFSET($FI$3,0,0,'Données projet'!$E$16+1,1))-AVERAGE(OFFSET($H$3,0,0,'Données projet'!$E$16+1,1))</f>
        <v>272.90535195666996</v>
      </c>
      <c r="FK94" s="59">
        <f t="shared" si="102"/>
        <v>222.25422164416898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4.583177706141754</v>
      </c>
      <c r="FR94" s="21">
        <f>EXP(-LN(2)/25)*FR93+(1-EXP(-LN(2)/25))/(LN(2)/25)*Calculateur!FM94*Calculateur!FO94*VLOOKUP('Données projet'!$B$16,Paramètres!$A$1:$I$89,3,0)*0.475*44/12</f>
        <v>11.979522092547414</v>
      </c>
      <c r="FS94" s="21">
        <f>EXP(-LN(2)/2)*FS93+(1-EXP(-LN(2)/2))/(LN(2)/2)*FM94*FP94*VLOOKUP('Données projet'!$B$16,Paramètres!$A$1:$I$89,3,0)*0.475*44/12</f>
        <v>0.95743267054623804</v>
      </c>
      <c r="FT94" s="22">
        <f t="shared" si="78"/>
        <v>17.520132469235406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818.3820688195508</v>
      </c>
      <c r="S95" s="59">
        <f ca="1">AVERAGE(OFFSET($R$3,0,0,'Données projet'!$E$9+1,1))-AVERAGE(OFFSET($H$3,0,0,'Données projet'!$E$9+1,1))</f>
        <v>384.05928630855732</v>
      </c>
      <c r="T95" s="59">
        <f t="shared" si="88"/>
        <v>279.93992813630513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304.99999999999983</v>
      </c>
      <c r="AJ95" s="13">
        <f>AI95*VLOOKUP('Données projet'!$B$10,Paramètres!$A$1:$I$89,3,0)*VLOOKUP('Données projet'!$B$10,Paramètres!$A$1:$I$89,5,0)</f>
        <v>275.96399999999983</v>
      </c>
      <c r="AK95" s="13">
        <f t="shared" si="89"/>
        <v>66.113366665488854</v>
      </c>
      <c r="AL95" s="20">
        <f t="shared" si="58"/>
        <v>595.78474694239264</v>
      </c>
      <c r="AM95" s="59">
        <f t="shared" si="59"/>
        <v>889.11808027572602</v>
      </c>
      <c r="AN95" s="59">
        <f ca="1">AVERAGE(OFFSET($AM$3,0,0,'Données projet'!$E$10+1,1))-AVERAGE(OFFSET($H$3,0,0,'Données projet'!$E$10+1,1))</f>
        <v>366.69125512029831</v>
      </c>
      <c r="AO95" s="59">
        <f t="shared" si="90"/>
        <v>513.80016421153414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0.47343449582468039</v>
      </c>
      <c r="AV95" s="21">
        <f>EXP(-LN(2)/25)*AV94+(1-EXP(-LN(2)/25))/(LN(2)/25)*Calculateur!AQ95*Calculateur!AS95*VLOOKUP('Données projet'!$B$10,Paramètres!$A$1:$I$89,3,0)*0.475*44/12</f>
        <v>1.3233622300069996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1.7967967258316799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212.28480000000002</v>
      </c>
      <c r="BF95" s="13">
        <f t="shared" si="91"/>
        <v>52.434557099704193</v>
      </c>
      <c r="BG95" s="20">
        <f t="shared" si="61"/>
        <v>461.05288028198476</v>
      </c>
      <c r="BH95" s="59">
        <f t="shared" si="62"/>
        <v>754.38621361531807</v>
      </c>
      <c r="BI95" s="59">
        <f ca="1">AVERAGE(OFFSET($BH$3,0,0,'Données projet'!$E$11+1,1))-AVERAGE(OFFSET($H$3,0,0,'Données projet'!$E$11+1,1))</f>
        <v>354.24684313982857</v>
      </c>
      <c r="BJ95" s="59">
        <f t="shared" si="92"/>
        <v>322.65043486962185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24.142121245143571</v>
      </c>
      <c r="BQ95" s="21">
        <f>EXP(-LN(2)/25)*BQ94+(1-EXP(-LN(2)/25))/(LN(2)/25)*Calculateur!BL95*Calculateur!BN95*VLOOKUP('Données projet'!$B$11,Paramètres!$A$1:$I$89,3,0)*0.475*44/12</f>
        <v>16.270243574822796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40.412364819966371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7.1782051282051267</v>
      </c>
      <c r="BY95" s="12">
        <f>IF('Données projet'!$A$114&gt;35,BY94+BX95-CG94,IF(A95&lt;'Données projet'!$A$114,$BV$205^A95,IF(A95='Données projet'!$A$114,'Données projet'!$B$114,BY94+BX95-CG94)))</f>
        <v>268.00256410256446</v>
      </c>
      <c r="BZ95" s="13">
        <f>BY95*VLOOKUP('Données projet'!$B$12,Paramètres!$A$1:$I$89,3,0)*VLOOKUP('Données projet'!$B$12,Paramètres!$A$1:$I$89,5,0)</f>
        <v>259.21208000000036</v>
      </c>
      <c r="CA95" s="13">
        <f t="shared" si="93"/>
        <v>62.554395596972348</v>
      </c>
      <c r="CB95" s="20">
        <f t="shared" si="64"/>
        <v>560.40994499806072</v>
      </c>
      <c r="CC95" s="59">
        <f t="shared" si="65"/>
        <v>853.74327833139409</v>
      </c>
      <c r="CD95" s="59">
        <f ca="1">AVERAGE(OFFSET($CC$3,0,0,'Données projet'!$E$12+1,1))-AVERAGE(OFFSET($H$3,0,0,'Données projet'!$E$12+1,1))</f>
        <v>407.73540492005355</v>
      </c>
      <c r="CE95" s="59">
        <f t="shared" si="94"/>
        <v>296.29416764204774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42.593250512936635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42.593250512936635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266.99999999999983</v>
      </c>
      <c r="CU95" s="17">
        <f>CT95*VLOOKUP('Données projet'!$B$13,Paramètres!$A$1:$I$89,3,0)*VLOOKUP('Données projet'!$B$13,Paramètres!$A$1:$I$89,5,0)</f>
        <v>212.42519999999985</v>
      </c>
      <c r="CV95" s="13">
        <f t="shared" si="95"/>
        <v>52.465198231787184</v>
      </c>
      <c r="CW95" s="20">
        <f t="shared" si="67"/>
        <v>461.35077692036231</v>
      </c>
      <c r="CX95" s="59">
        <f t="shared" si="68"/>
        <v>754.68411025369562</v>
      </c>
      <c r="CY95" s="59">
        <f ca="1">AVERAGE(OFFSET($CX$3,0,0,'Données projet'!$E$13+1,1))-AVERAGE(OFFSET($H$3,0,0,'Données projet'!$E$13+1,1))</f>
        <v>299.10536994156814</v>
      </c>
      <c r="CZ95" s="59">
        <f t="shared" si="96"/>
        <v>292.57799203101769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22.701331143862312</v>
      </c>
      <c r="DG95" s="21">
        <f>EXP(-LN(2)/25)*DG94+(1-EXP(-LN(2)/25))/(LN(2)/25)*Calculateur!DB95*Calculateur!DD95*VLOOKUP('Données projet'!$B$13,Paramètres!$A$1:$I$89,3,0)*0.475*44/12</f>
        <v>5.9716494261969748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28.672980570059288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266.99999999999983</v>
      </c>
      <c r="DP95" s="17">
        <f>DO95*VLOOKUP('Données projet'!$B$14,Paramètres!$A$1:$I$89,3,0)*VLOOKUP('Données projet'!$B$14,Paramètres!$A$1:$I$89,5,0)</f>
        <v>212.42519999999985</v>
      </c>
      <c r="DQ95" s="13">
        <f t="shared" si="97"/>
        <v>52.465198231787184</v>
      </c>
      <c r="DR95" s="20">
        <f t="shared" si="70"/>
        <v>461.35077692036231</v>
      </c>
      <c r="DS95" s="59">
        <f t="shared" si="71"/>
        <v>754.68411025369562</v>
      </c>
      <c r="DT95" s="59">
        <f ca="1">AVERAGE(OFFSET($DS$3,0,0,'Données projet'!$E$14+1,1))-AVERAGE(OFFSET($H$3,0,0,'Données projet'!$E$14+1,1))</f>
        <v>299.10536994156814</v>
      </c>
      <c r="DU95" s="59">
        <f t="shared" si="98"/>
        <v>292.57799203101769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22.701331143862312</v>
      </c>
      <c r="EB95" s="21">
        <f>EXP(-LN(2)/25)*EB94+(1-EXP(-LN(2)/25))/(LN(2)/25)*Calculateur!DW95*Calculateur!DY95*VLOOKUP('Données projet'!$B$14,Paramètres!$A$1:$I$89,3,0)*0.475*44/12</f>
        <v>5.9716494261969748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28.672980570059288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204.00000000000017</v>
      </c>
      <c r="EK95" s="17">
        <f>EJ95*VLOOKUP('Données projet'!$B$15,Paramètres!$A$1:$I$89,3,0)*VLOOKUP('Données projet'!$B$15,Paramètres!$A$1:$I$89,5,0)</f>
        <v>133.66080000000011</v>
      </c>
      <c r="EL95" s="13">
        <f t="shared" si="99"/>
        <v>34.840890682716783</v>
      </c>
      <c r="EM95" s="20">
        <f t="shared" si="73"/>
        <v>293.4737779390652</v>
      </c>
      <c r="EN95" s="59">
        <f t="shared" si="74"/>
        <v>586.80711127239852</v>
      </c>
      <c r="EO95" s="59">
        <f ca="1">AVERAGE(OFFSET($EN$3,0,0,'Données projet'!$E$15+1,1))-AVERAGE(OFFSET($H$3,0,0,'Données projet'!$E$15+1,1))</f>
        <v>230.58262378842818</v>
      </c>
      <c r="EP95" s="59">
        <f t="shared" si="100"/>
        <v>235.68746142880792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1.8354484961925164</v>
      </c>
      <c r="EW95" s="21">
        <f>EXP(-LN(2)/25)*EW94+(1-EXP(-LN(2)/25))/(LN(2)/25)*Calculateur!ER95*Calculateur!ET95*VLOOKUP('Données projet'!$B$15,Paramètres!$A$1:$I$89,3,0)*0.475*44/12</f>
        <v>10.206227632836701</v>
      </c>
      <c r="EX95" s="21">
        <f>EXP(-LN(2)/2)*EX94+(1-EXP(-LN(2)/2))/(LN(2)/2)*ER95*EU95*VLOOKUP('Données projet'!$B$15,Paramètres!$A$1:$I$89,3,0)*0.475*44/12</f>
        <v>1.4885393335414467</v>
      </c>
      <c r="EY95" s="22">
        <f t="shared" si="75"/>
        <v>13.530215462570663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234.00000000000003</v>
      </c>
      <c r="FF95" s="17">
        <f>FE95*VLOOKUP('Données projet'!$B$16,Paramètres!$A$1:$I$89,3,0)*VLOOKUP('Données projet'!$B$16,Paramètres!$A$1:$I$89,5,0)</f>
        <v>189.82080000000005</v>
      </c>
      <c r="FG95" s="13">
        <f t="shared" si="101"/>
        <v>47.500332100049796</v>
      </c>
      <c r="FH95" s="20">
        <f t="shared" si="76"/>
        <v>413.33430507425345</v>
      </c>
      <c r="FI95" s="59">
        <f t="shared" si="77"/>
        <v>706.66763840758676</v>
      </c>
      <c r="FJ95" s="59">
        <f ca="1">AVERAGE(OFFSET($FI$3,0,0,'Données projet'!$E$16+1,1))-AVERAGE(OFFSET($H$3,0,0,'Données projet'!$E$16+1,1))</f>
        <v>272.90535195666996</v>
      </c>
      <c r="FK95" s="59">
        <f t="shared" si="102"/>
        <v>222.25422164416898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4.4933043867866864</v>
      </c>
      <c r="FR95" s="21">
        <f>EXP(-LN(2)/25)*FR94+(1-EXP(-LN(2)/25))/(LN(2)/25)*Calculateur!FM95*Calculateur!FO95*VLOOKUP('Données projet'!$B$16,Paramètres!$A$1:$I$89,3,0)*0.475*44/12</f>
        <v>11.651941430951018</v>
      </c>
      <c r="FS95" s="21">
        <f>EXP(-LN(2)/2)*FS94+(1-EXP(-LN(2)/2))/(LN(2)/2)*FM95*FP95*VLOOKUP('Données projet'!$B$16,Paramètres!$A$1:$I$89,3,0)*0.475*44/12</f>
        <v>0.67700713387279066</v>
      </c>
      <c r="FT95" s="22">
        <f t="shared" si="78"/>
        <v>16.822252951610494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832.12104111766848</v>
      </c>
      <c r="S96" s="59">
        <f ca="1">AVERAGE(OFFSET($R$3,0,0,'Données projet'!$E$9+1,1))-AVERAGE(OFFSET($H$3,0,0,'Données projet'!$E$9+1,1))</f>
        <v>384.05928630855732</v>
      </c>
      <c r="T96" s="59">
        <f t="shared" si="88"/>
        <v>279.93992813630513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304.99999999999983</v>
      </c>
      <c r="AJ96" s="13">
        <f>AI96*VLOOKUP('Données projet'!$B$10,Paramètres!$A$1:$I$89,3,0)*VLOOKUP('Données projet'!$B$10,Paramètres!$A$1:$I$89,5,0)</f>
        <v>275.96399999999983</v>
      </c>
      <c r="AK96" s="13">
        <f t="shared" si="89"/>
        <v>66.113366665488854</v>
      </c>
      <c r="AL96" s="20">
        <f t="shared" si="58"/>
        <v>595.78474694239264</v>
      </c>
      <c r="AM96" s="59">
        <f t="shared" si="59"/>
        <v>889.11808027572602</v>
      </c>
      <c r="AN96" s="59">
        <f ca="1">AVERAGE(OFFSET($AM$3,0,0,'Données projet'!$E$10+1,1))-AVERAGE(OFFSET($H$3,0,0,'Données projet'!$E$10+1,1))</f>
        <v>366.69125512029831</v>
      </c>
      <c r="AO96" s="59">
        <f t="shared" si="90"/>
        <v>513.80016421153414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0.46415073412808755</v>
      </c>
      <c r="AV96" s="21">
        <f>EXP(-LN(2)/25)*AV95+(1-EXP(-LN(2)/25))/(LN(2)/25)*Calculateur!AQ96*Calculateur!AS96*VLOOKUP('Données projet'!$B$10,Paramètres!$A$1:$I$89,3,0)*0.475*44/12</f>
        <v>1.2871748202348632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1.7513255543629507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214.90560000000005</v>
      </c>
      <c r="BF96" s="13">
        <f t="shared" si="91"/>
        <v>53.006137800892326</v>
      </c>
      <c r="BG96" s="20">
        <f t="shared" si="61"/>
        <v>466.61294333655422</v>
      </c>
      <c r="BH96" s="59">
        <f t="shared" si="62"/>
        <v>759.94627666988754</v>
      </c>
      <c r="BI96" s="59">
        <f ca="1">AVERAGE(OFFSET($BH$3,0,0,'Données projet'!$E$11+1,1))-AVERAGE(OFFSET($H$3,0,0,'Données projet'!$E$11+1,1))</f>
        <v>354.24684313982857</v>
      </c>
      <c r="BJ96" s="59">
        <f t="shared" si="92"/>
        <v>322.65043486962185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23.668708972766268</v>
      </c>
      <c r="BQ96" s="21">
        <f>EXP(-LN(2)/25)*BQ95+(1-EXP(-LN(2)/25))/(LN(2)/25)*Calculateur!BL96*Calculateur!BN96*VLOOKUP('Données projet'!$B$11,Paramètres!$A$1:$I$89,3,0)*0.475*44/12</f>
        <v>15.825332908654344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39.494041881420614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7.1782051282051267</v>
      </c>
      <c r="BY96" s="12">
        <f>IF('Données projet'!$A$114&gt;35,BY95+BX96-CG95,IF(A96&lt;'Données projet'!$A$114,$BV$205^A96,IF(A96='Données projet'!$A$114,'Données projet'!$B$114,BY95+BX96-CG95)))</f>
        <v>275.18076923076961</v>
      </c>
      <c r="BZ96" s="13">
        <f>BY96*VLOOKUP('Données projet'!$B$12,Paramètres!$A$1:$I$89,3,0)*VLOOKUP('Données projet'!$B$12,Paramètres!$A$1:$I$89,5,0)</f>
        <v>266.15484000000038</v>
      </c>
      <c r="CA96" s="13">
        <f t="shared" si="93"/>
        <v>64.03254930755206</v>
      </c>
      <c r="CB96" s="20">
        <f t="shared" si="64"/>
        <v>575.07636971065381</v>
      </c>
      <c r="CC96" s="59">
        <f t="shared" si="65"/>
        <v>868.40970304398707</v>
      </c>
      <c r="CD96" s="59">
        <f ca="1">AVERAGE(OFFSET($CC$3,0,0,'Données projet'!$E$12+1,1))-AVERAGE(OFFSET($H$3,0,0,'Données projet'!$E$12+1,1))</f>
        <v>407.73540492005355</v>
      </c>
      <c r="CE96" s="59">
        <f t="shared" si="94"/>
        <v>296.29416764204774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41.758022849695514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41.758022849695514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266.99999999999983</v>
      </c>
      <c r="CU96" s="17">
        <f>CT96*VLOOKUP('Données projet'!$B$13,Paramètres!$A$1:$I$89,3,0)*VLOOKUP('Données projet'!$B$13,Paramètres!$A$1:$I$89,5,0)</f>
        <v>212.42519999999985</v>
      </c>
      <c r="CV96" s="13">
        <f t="shared" si="95"/>
        <v>52.465198231787184</v>
      </c>
      <c r="CW96" s="20">
        <f t="shared" si="67"/>
        <v>461.35077692036231</v>
      </c>
      <c r="CX96" s="59">
        <f t="shared" si="68"/>
        <v>754.68411025369562</v>
      </c>
      <c r="CY96" s="59">
        <f ca="1">AVERAGE(OFFSET($CX$3,0,0,'Données projet'!$E$13+1,1))-AVERAGE(OFFSET($H$3,0,0,'Données projet'!$E$13+1,1))</f>
        <v>299.10536994156814</v>
      </c>
      <c r="CZ96" s="59">
        <f t="shared" si="96"/>
        <v>292.57799203101769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22.256171886575945</v>
      </c>
      <c r="DG96" s="21">
        <f>EXP(-LN(2)/25)*DG95+(1-EXP(-LN(2)/25))/(LN(2)/25)*Calculateur!DB96*Calculateur!DD96*VLOOKUP('Données projet'!$B$13,Paramètres!$A$1:$I$89,3,0)*0.475*44/12</f>
        <v>5.8083543586022239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28.064526245178168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266.99999999999983</v>
      </c>
      <c r="DP96" s="17">
        <f>DO96*VLOOKUP('Données projet'!$B$14,Paramètres!$A$1:$I$89,3,0)*VLOOKUP('Données projet'!$B$14,Paramètres!$A$1:$I$89,5,0)</f>
        <v>212.42519999999985</v>
      </c>
      <c r="DQ96" s="13">
        <f t="shared" si="97"/>
        <v>52.465198231787184</v>
      </c>
      <c r="DR96" s="20">
        <f t="shared" si="70"/>
        <v>461.35077692036231</v>
      </c>
      <c r="DS96" s="59">
        <f t="shared" si="71"/>
        <v>754.68411025369562</v>
      </c>
      <c r="DT96" s="59">
        <f ca="1">AVERAGE(OFFSET($DS$3,0,0,'Données projet'!$E$14+1,1))-AVERAGE(OFFSET($H$3,0,0,'Données projet'!$E$14+1,1))</f>
        <v>299.10536994156814</v>
      </c>
      <c r="DU96" s="59">
        <f t="shared" si="98"/>
        <v>292.57799203101769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22.256171886575945</v>
      </c>
      <c r="EB96" s="21">
        <f>EXP(-LN(2)/25)*EB95+(1-EXP(-LN(2)/25))/(LN(2)/25)*Calculateur!DW96*Calculateur!DY96*VLOOKUP('Données projet'!$B$14,Paramètres!$A$1:$I$89,3,0)*0.475*44/12</f>
        <v>5.8083543586022239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28.064526245178168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204.00000000000017</v>
      </c>
      <c r="EK96" s="17">
        <f>EJ96*VLOOKUP('Données projet'!$B$15,Paramètres!$A$1:$I$89,3,0)*VLOOKUP('Données projet'!$B$15,Paramètres!$A$1:$I$89,5,0)</f>
        <v>133.66080000000011</v>
      </c>
      <c r="EL96" s="13">
        <f t="shared" si="99"/>
        <v>34.840890682716783</v>
      </c>
      <c r="EM96" s="20">
        <f t="shared" si="73"/>
        <v>293.4737779390652</v>
      </c>
      <c r="EN96" s="59">
        <f t="shared" si="74"/>
        <v>586.80711127239852</v>
      </c>
      <c r="EO96" s="59">
        <f ca="1">AVERAGE(OFFSET($EN$3,0,0,'Données projet'!$E$15+1,1))-AVERAGE(OFFSET($H$3,0,0,'Données projet'!$E$15+1,1))</f>
        <v>230.58262378842818</v>
      </c>
      <c r="EP96" s="59">
        <f t="shared" si="100"/>
        <v>235.68746142880792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1.799456470695221</v>
      </c>
      <c r="EW96" s="21">
        <f>EXP(-LN(2)/25)*EW95+(1-EXP(-LN(2)/25))/(LN(2)/25)*Calculateur!ER96*Calculateur!ET96*VLOOKUP('Données projet'!$B$15,Paramètres!$A$1:$I$89,3,0)*0.475*44/12</f>
        <v>9.927137801494597</v>
      </c>
      <c r="EX96" s="21">
        <f>EXP(-LN(2)/2)*EX95+(1-EXP(-LN(2)/2))/(LN(2)/2)*ER96*EU96*VLOOKUP('Données projet'!$B$15,Paramètres!$A$1:$I$89,3,0)*0.475*44/12</f>
        <v>1.052556256810061</v>
      </c>
      <c r="EY96" s="22">
        <f t="shared" si="75"/>
        <v>12.779150528999878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234.00000000000003</v>
      </c>
      <c r="FF96" s="17">
        <f>FE96*VLOOKUP('Données projet'!$B$16,Paramètres!$A$1:$I$89,3,0)*VLOOKUP('Données projet'!$B$16,Paramètres!$A$1:$I$89,5,0)</f>
        <v>189.82080000000005</v>
      </c>
      <c r="FG96" s="13">
        <f t="shared" si="101"/>
        <v>47.500332100049796</v>
      </c>
      <c r="FH96" s="20">
        <f t="shared" si="76"/>
        <v>413.33430507425345</v>
      </c>
      <c r="FI96" s="59">
        <f t="shared" si="77"/>
        <v>706.66763840758676</v>
      </c>
      <c r="FJ96" s="59">
        <f ca="1">AVERAGE(OFFSET($FI$3,0,0,'Données projet'!$E$16+1,1))-AVERAGE(OFFSET($H$3,0,0,'Données projet'!$E$16+1,1))</f>
        <v>272.90535195666996</v>
      </c>
      <c r="FK96" s="59">
        <f t="shared" si="102"/>
        <v>222.25422164416898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4.405193428406859</v>
      </c>
      <c r="FR96" s="21">
        <f>EXP(-LN(2)/25)*FR95+(1-EXP(-LN(2)/25))/(LN(2)/25)*Calculateur!FM96*Calculateur!FO96*VLOOKUP('Données projet'!$B$16,Paramètres!$A$1:$I$89,3,0)*0.475*44/12</f>
        <v>11.333318479772693</v>
      </c>
      <c r="FS96" s="21">
        <f>EXP(-LN(2)/2)*FS95+(1-EXP(-LN(2)/2))/(LN(2)/2)*FM96*FP96*VLOOKUP('Données projet'!$B$16,Paramètres!$A$1:$I$89,3,0)*0.475*44/12</f>
        <v>0.47871633527311908</v>
      </c>
      <c r="FT96" s="22">
        <f t="shared" si="78"/>
        <v>16.21722824345267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845.85265412495482</v>
      </c>
      <c r="S97" s="59">
        <f ca="1">AVERAGE(OFFSET($R$3,0,0,'Données projet'!$E$9+1,1))-AVERAGE(OFFSET($H$3,0,0,'Données projet'!$E$9+1,1))</f>
        <v>384.05928630855732</v>
      </c>
      <c r="T97" s="59">
        <f t="shared" si="88"/>
        <v>279.93992813630513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304.99999999999983</v>
      </c>
      <c r="AJ97" s="13">
        <f>AI97*VLOOKUP('Données projet'!$B$10,Paramètres!$A$1:$I$89,3,0)*VLOOKUP('Données projet'!$B$10,Paramètres!$A$1:$I$89,5,0)</f>
        <v>275.96399999999983</v>
      </c>
      <c r="AK97" s="13">
        <f t="shared" si="89"/>
        <v>66.113366665488854</v>
      </c>
      <c r="AL97" s="20">
        <f t="shared" si="58"/>
        <v>595.78474694239264</v>
      </c>
      <c r="AM97" s="59">
        <f t="shared" si="59"/>
        <v>889.11808027572602</v>
      </c>
      <c r="AN97" s="59">
        <f ca="1">AVERAGE(OFFSET($AM$3,0,0,'Données projet'!$E$10+1,1))-AVERAGE(OFFSET($H$3,0,0,'Données projet'!$E$10+1,1))</f>
        <v>366.69125512029831</v>
      </c>
      <c r="AO97" s="59">
        <f t="shared" si="90"/>
        <v>513.80016421153414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0.45504902133582936</v>
      </c>
      <c r="AV97" s="21">
        <f>EXP(-LN(2)/25)*AV96+(1-EXP(-LN(2)/25))/(LN(2)/25)*Calculateur!AQ97*Calculateur!AS97*VLOOKUP('Données projet'!$B$10,Paramètres!$A$1:$I$89,3,0)*0.475*44/12</f>
        <v>1.2519769570859589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1.7070259784217883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217.52640000000005</v>
      </c>
      <c r="BF97" s="13">
        <f t="shared" si="91"/>
        <v>53.576907690651254</v>
      </c>
      <c r="BG97" s="20">
        <f t="shared" si="61"/>
        <v>472.17159422788433</v>
      </c>
      <c r="BH97" s="59">
        <f t="shared" si="62"/>
        <v>765.50492756121764</v>
      </c>
      <c r="BI97" s="59">
        <f ca="1">AVERAGE(OFFSET($BH$3,0,0,'Données projet'!$E$11+1,1))-AVERAGE(OFFSET($H$3,0,0,'Données projet'!$E$11+1,1))</f>
        <v>354.24684313982857</v>
      </c>
      <c r="BJ97" s="59">
        <f t="shared" si="92"/>
        <v>322.65043486962185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23.204580026297311</v>
      </c>
      <c r="BQ97" s="21">
        <f>EXP(-LN(2)/25)*BQ96+(1-EXP(-LN(2)/25))/(LN(2)/25)*Calculateur!BL97*Calculateur!BN97*VLOOKUP('Données projet'!$B$11,Paramètres!$A$1:$I$89,3,0)*0.475*44/12</f>
        <v>15.392588348049102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38.59716837434641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7.1782051282051267</v>
      </c>
      <c r="BY97" s="12">
        <f>IF('Données projet'!$A$114&gt;35,BY96+BX97-CG96,IF(A97&lt;'Données projet'!$A$114,$BV$205^A97,IF(A97='Données projet'!$A$114,'Données projet'!$B$114,BY96+BX97-CG96)))</f>
        <v>282.35897435897476</v>
      </c>
      <c r="BZ97" s="13">
        <f>BY97*VLOOKUP('Données projet'!$B$12,Paramètres!$A$1:$I$89,3,0)*VLOOKUP('Données projet'!$B$12,Paramètres!$A$1:$I$89,5,0)</f>
        <v>273.0976000000004</v>
      </c>
      <c r="CA97" s="13">
        <f t="shared" si="93"/>
        <v>65.506221106930056</v>
      </c>
      <c r="CB97" s="20">
        <f t="shared" si="64"/>
        <v>589.73498842790389</v>
      </c>
      <c r="CC97" s="59">
        <f t="shared" si="65"/>
        <v>883.06832176123726</v>
      </c>
      <c r="CD97" s="59">
        <f ca="1">AVERAGE(OFFSET($CC$3,0,0,'Données projet'!$E$12+1,1))-AVERAGE(OFFSET($H$3,0,0,'Données projet'!$E$12+1,1))</f>
        <v>407.73540492005355</v>
      </c>
      <c r="CE97" s="59">
        <f t="shared" si="94"/>
        <v>296.29416764204774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40.939173491491985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40.939173491491985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266.99999999999983</v>
      </c>
      <c r="CU97" s="17">
        <f>CT97*VLOOKUP('Données projet'!$B$13,Paramètres!$A$1:$I$89,3,0)*VLOOKUP('Données projet'!$B$13,Paramètres!$A$1:$I$89,5,0)</f>
        <v>212.42519999999985</v>
      </c>
      <c r="CV97" s="13">
        <f t="shared" si="95"/>
        <v>52.465198231787184</v>
      </c>
      <c r="CW97" s="20">
        <f t="shared" si="67"/>
        <v>461.35077692036231</v>
      </c>
      <c r="CX97" s="59">
        <f t="shared" si="68"/>
        <v>754.68411025369562</v>
      </c>
      <c r="CY97" s="59">
        <f ca="1">AVERAGE(OFFSET($CX$3,0,0,'Données projet'!$E$13+1,1))-AVERAGE(OFFSET($H$3,0,0,'Données projet'!$E$13+1,1))</f>
        <v>299.10536994156814</v>
      </c>
      <c r="CZ97" s="59">
        <f t="shared" si="96"/>
        <v>292.57799203101769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21.819741930804629</v>
      </c>
      <c r="DG97" s="21">
        <f>EXP(-LN(2)/25)*DG96+(1-EXP(-LN(2)/25))/(LN(2)/25)*Calculateur!DB97*Calculateur!DD97*VLOOKUP('Données projet'!$B$13,Paramètres!$A$1:$I$89,3,0)*0.475*44/12</f>
        <v>5.6495246032181656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27.469266534022793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266.99999999999983</v>
      </c>
      <c r="DP97" s="17">
        <f>DO97*VLOOKUP('Données projet'!$B$14,Paramètres!$A$1:$I$89,3,0)*VLOOKUP('Données projet'!$B$14,Paramètres!$A$1:$I$89,5,0)</f>
        <v>212.42519999999985</v>
      </c>
      <c r="DQ97" s="13">
        <f t="shared" si="97"/>
        <v>52.465198231787184</v>
      </c>
      <c r="DR97" s="20">
        <f t="shared" si="70"/>
        <v>461.35077692036231</v>
      </c>
      <c r="DS97" s="59">
        <f t="shared" si="71"/>
        <v>754.68411025369562</v>
      </c>
      <c r="DT97" s="59">
        <f ca="1">AVERAGE(OFFSET($DS$3,0,0,'Données projet'!$E$14+1,1))-AVERAGE(OFFSET($H$3,0,0,'Données projet'!$E$14+1,1))</f>
        <v>299.10536994156814</v>
      </c>
      <c r="DU97" s="59">
        <f t="shared" si="98"/>
        <v>292.57799203101769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21.819741930804629</v>
      </c>
      <c r="EB97" s="21">
        <f>EXP(-LN(2)/25)*EB96+(1-EXP(-LN(2)/25))/(LN(2)/25)*Calculateur!DW97*Calculateur!DY97*VLOOKUP('Données projet'!$B$14,Paramètres!$A$1:$I$89,3,0)*0.475*44/12</f>
        <v>5.6495246032181656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27.469266534022793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204.00000000000017</v>
      </c>
      <c r="EK97" s="17">
        <f>EJ97*VLOOKUP('Données projet'!$B$15,Paramètres!$A$1:$I$89,3,0)*VLOOKUP('Données projet'!$B$15,Paramètres!$A$1:$I$89,5,0)</f>
        <v>133.66080000000011</v>
      </c>
      <c r="EL97" s="13">
        <f t="shared" si="99"/>
        <v>34.840890682716783</v>
      </c>
      <c r="EM97" s="20">
        <f t="shared" si="73"/>
        <v>293.4737779390652</v>
      </c>
      <c r="EN97" s="59">
        <f t="shared" si="74"/>
        <v>586.80711127239852</v>
      </c>
      <c r="EO97" s="59">
        <f ca="1">AVERAGE(OFFSET($EN$3,0,0,'Données projet'!$E$15+1,1))-AVERAGE(OFFSET($H$3,0,0,'Données projet'!$E$15+1,1))</f>
        <v>230.58262378842818</v>
      </c>
      <c r="EP97" s="59">
        <f t="shared" si="100"/>
        <v>235.68746142880792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1.7641702268649597</v>
      </c>
      <c r="EW97" s="21">
        <f>EXP(-LN(2)/25)*EW96+(1-EXP(-LN(2)/25))/(LN(2)/25)*Calculateur!ER97*Calculateur!ET97*VLOOKUP('Données projet'!$B$15,Paramètres!$A$1:$I$89,3,0)*0.475*44/12</f>
        <v>9.6556796962672387</v>
      </c>
      <c r="EX97" s="21">
        <f>EXP(-LN(2)/2)*EX96+(1-EXP(-LN(2)/2))/(LN(2)/2)*ER97*EU97*VLOOKUP('Données projet'!$B$15,Paramètres!$A$1:$I$89,3,0)*0.475*44/12</f>
        <v>0.74426966677072337</v>
      </c>
      <c r="EY97" s="22">
        <f t="shared" si="75"/>
        <v>12.164119589902921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234.00000000000003</v>
      </c>
      <c r="FF97" s="17">
        <f>FE97*VLOOKUP('Données projet'!$B$16,Paramètres!$A$1:$I$89,3,0)*VLOOKUP('Données projet'!$B$16,Paramètres!$A$1:$I$89,5,0)</f>
        <v>189.82080000000005</v>
      </c>
      <c r="FG97" s="13">
        <f t="shared" si="101"/>
        <v>47.500332100049796</v>
      </c>
      <c r="FH97" s="20">
        <f t="shared" si="76"/>
        <v>413.33430507425345</v>
      </c>
      <c r="FI97" s="59">
        <f t="shared" si="77"/>
        <v>706.66763840758676</v>
      </c>
      <c r="FJ97" s="59">
        <f ca="1">AVERAGE(OFFSET($FI$3,0,0,'Données projet'!$E$16+1,1))-AVERAGE(OFFSET($H$3,0,0,'Données projet'!$E$16+1,1))</f>
        <v>272.90535195666996</v>
      </c>
      <c r="FK97" s="59">
        <f t="shared" si="102"/>
        <v>222.25422164416898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4.3188102721784825</v>
      </c>
      <c r="FR97" s="21">
        <f>EXP(-LN(2)/25)*FR96+(1-EXP(-LN(2)/25))/(LN(2)/25)*Calculateur!FM97*Calculateur!FO97*VLOOKUP('Données projet'!$B$16,Paramètres!$A$1:$I$89,3,0)*0.475*44/12</f>
        <v>11.023408289949993</v>
      </c>
      <c r="FS97" s="21">
        <f>EXP(-LN(2)/2)*FS96+(1-EXP(-LN(2)/2))/(LN(2)/2)*FM97*FP97*VLOOKUP('Données projet'!$B$16,Paramètres!$A$1:$I$89,3,0)*0.475*44/12</f>
        <v>0.33850356693639533</v>
      </c>
      <c r="FT97" s="22">
        <f t="shared" si="78"/>
        <v>15.680722129064872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384.05928630855732</v>
      </c>
      <c r="T98" s="59">
        <f t="shared" si="88"/>
        <v>279.93992813630513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304.99999999999983</v>
      </c>
      <c r="AJ98" s="13">
        <f>AI98*VLOOKUP('Données projet'!$B$10,Paramètres!$A$1:$I$89,3,0)*VLOOKUP('Données projet'!$B$10,Paramètres!$A$1:$I$89,5,0)</f>
        <v>275.96399999999983</v>
      </c>
      <c r="AK98" s="13">
        <f t="shared" si="89"/>
        <v>66.113366665488854</v>
      </c>
      <c r="AL98" s="20">
        <f t="shared" si="58"/>
        <v>595.78474694239264</v>
      </c>
      <c r="AM98" s="59">
        <f t="shared" si="59"/>
        <v>889.11808027572602</v>
      </c>
      <c r="AN98" s="59">
        <f ca="1">AVERAGE(OFFSET($AM$3,0,0,'Données projet'!$E$10+1,1))-AVERAGE(OFFSET($H$3,0,0,'Données projet'!$E$10+1,1))</f>
        <v>366.69125512029831</v>
      </c>
      <c r="AO98" s="59">
        <f t="shared" si="90"/>
        <v>513.80016421153414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0.44612578757993071</v>
      </c>
      <c r="AV98" s="21">
        <f>EXP(-LN(2)/25)*AV97+(1-EXP(-LN(2)/25))/(LN(2)/25)*Calculateur!AQ98*Calculateur!AS98*VLOOKUP('Données projet'!$B$10,Paramètres!$A$1:$I$89,3,0)*0.475*44/12</f>
        <v>1.2177415813558365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1.6638673689357673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220.14720000000003</v>
      </c>
      <c r="BF98" s="13">
        <f t="shared" si="91"/>
        <v>54.146877667769687</v>
      </c>
      <c r="BG98" s="20">
        <f t="shared" si="61"/>
        <v>477.72885193803222</v>
      </c>
      <c r="BH98" s="59">
        <f t="shared" si="62"/>
        <v>771.06218527136548</v>
      </c>
      <c r="BI98" s="59">
        <f ca="1">AVERAGE(OFFSET($BH$3,0,0,'Données projet'!$E$11+1,1))-AVERAGE(OFFSET($H$3,0,0,'Données projet'!$E$11+1,1))</f>
        <v>354.24684313982857</v>
      </c>
      <c r="BJ98" s="59">
        <f t="shared" si="92"/>
        <v>322.65043486962185</v>
      </c>
      <c r="BK98" s="15">
        <f>IF(ISNA(VLOOKUP(A98,'Données projet'!$A$87:$I$107,3,0)),0,VLOOKUP(A98,'Données projet'!$A$87:$I$107,3,0))</f>
        <v>16</v>
      </c>
      <c r="BL98" s="15" t="str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26.237801357276574</v>
      </c>
      <c r="BQ98" s="21">
        <f>EXP(-LN(2)/25)*BQ97+(1-EXP(-LN(2)/25))/(LN(2)/25)*Calculateur!BL98*Calculateur!BN98*VLOOKUP('Données projet'!$B$11,Paramètres!$A$1:$I$89,3,0)*0.475*44/12</f>
        <v>15.964395617779372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42.202196975055948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7.1782051282051267</v>
      </c>
      <c r="BY98" s="12">
        <f>IF('Données projet'!$A$114&gt;35,BY97+BX98-CG97,IF(A98&lt;'Données projet'!$A$114,$BV$205^A98,IF(A98='Données projet'!$A$114,'Données projet'!$B$114,BY97+BX98-CG97)))</f>
        <v>289.53717948717991</v>
      </c>
      <c r="BZ98" s="13">
        <f>BY98*VLOOKUP('Données projet'!$B$12,Paramètres!$A$1:$I$89,3,0)*VLOOKUP('Données projet'!$B$12,Paramètres!$A$1:$I$89,5,0)</f>
        <v>280.04036000000042</v>
      </c>
      <c r="CA98" s="13">
        <f t="shared" si="93"/>
        <v>66.975538037771926</v>
      </c>
      <c r="CB98" s="20">
        <f t="shared" si="64"/>
        <v>604.3860224157869</v>
      </c>
      <c r="CC98" s="59">
        <f t="shared" si="65"/>
        <v>897.71935574912027</v>
      </c>
      <c r="CD98" s="59">
        <f ca="1">AVERAGE(OFFSET($CC$3,0,0,'Données projet'!$E$12+1,1))-AVERAGE(OFFSET($H$3,0,0,'Données projet'!$E$12+1,1))</f>
        <v>407.73540492005355</v>
      </c>
      <c r="CE98" s="59">
        <f t="shared" si="94"/>
        <v>296.29416764204774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40.136381269754033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40.136381269754033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266.99999999999983</v>
      </c>
      <c r="CU98" s="17">
        <f>CT98*VLOOKUP('Données projet'!$B$13,Paramètres!$A$1:$I$89,3,0)*VLOOKUP('Données projet'!$B$13,Paramètres!$A$1:$I$89,5,0)</f>
        <v>212.42519999999985</v>
      </c>
      <c r="CV98" s="13">
        <f t="shared" si="95"/>
        <v>52.465198231787184</v>
      </c>
      <c r="CW98" s="20">
        <f t="shared" si="67"/>
        <v>461.35077692036231</v>
      </c>
      <c r="CX98" s="59">
        <f t="shared" si="68"/>
        <v>754.68411025369562</v>
      </c>
      <c r="CY98" s="59">
        <f ca="1">AVERAGE(OFFSET($CX$3,0,0,'Données projet'!$E$13+1,1))-AVERAGE(OFFSET($H$3,0,0,'Données projet'!$E$13+1,1))</f>
        <v>299.10536994156814</v>
      </c>
      <c r="CZ98" s="59">
        <f t="shared" si="96"/>
        <v>292.57799203101769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21.391870100270001</v>
      </c>
      <c r="DG98" s="21">
        <f>EXP(-LN(2)/25)*DG97+(1-EXP(-LN(2)/25))/(LN(2)/25)*Calculateur!DB98*Calculateur!DD98*VLOOKUP('Données projet'!$B$13,Paramètres!$A$1:$I$89,3,0)*0.475*44/12</f>
        <v>5.4950380558475782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26.886908156117578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266.99999999999983</v>
      </c>
      <c r="DP98" s="17">
        <f>DO98*VLOOKUP('Données projet'!$B$14,Paramètres!$A$1:$I$89,3,0)*VLOOKUP('Données projet'!$B$14,Paramètres!$A$1:$I$89,5,0)</f>
        <v>212.42519999999985</v>
      </c>
      <c r="DQ98" s="13">
        <f t="shared" si="97"/>
        <v>52.465198231787184</v>
      </c>
      <c r="DR98" s="20">
        <f t="shared" si="70"/>
        <v>461.35077692036231</v>
      </c>
      <c r="DS98" s="59">
        <f t="shared" si="71"/>
        <v>754.68411025369562</v>
      </c>
      <c r="DT98" s="59">
        <f ca="1">AVERAGE(OFFSET($DS$3,0,0,'Données projet'!$E$14+1,1))-AVERAGE(OFFSET($H$3,0,0,'Données projet'!$E$14+1,1))</f>
        <v>299.10536994156814</v>
      </c>
      <c r="DU98" s="59">
        <f t="shared" si="98"/>
        <v>292.57799203101769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21.391870100270001</v>
      </c>
      <c r="EB98" s="21">
        <f>EXP(-LN(2)/25)*EB97+(1-EXP(-LN(2)/25))/(LN(2)/25)*Calculateur!DW98*Calculateur!DY98*VLOOKUP('Données projet'!$B$14,Paramètres!$A$1:$I$89,3,0)*0.475*44/12</f>
        <v>5.4950380558475782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26.886908156117578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204.00000000000017</v>
      </c>
      <c r="EK98" s="17">
        <f>EJ98*VLOOKUP('Données projet'!$B$15,Paramètres!$A$1:$I$89,3,0)*VLOOKUP('Données projet'!$B$15,Paramètres!$A$1:$I$89,5,0)</f>
        <v>133.66080000000011</v>
      </c>
      <c r="EL98" s="13">
        <f t="shared" si="99"/>
        <v>34.840890682716783</v>
      </c>
      <c r="EM98" s="20">
        <f t="shared" si="73"/>
        <v>293.4737779390652</v>
      </c>
      <c r="EN98" s="59">
        <f t="shared" si="74"/>
        <v>586.80711127239852</v>
      </c>
      <c r="EO98" s="59">
        <f ca="1">AVERAGE(OFFSET($EN$3,0,0,'Données projet'!$E$15+1,1))-AVERAGE(OFFSET($H$3,0,0,'Données projet'!$E$15+1,1))</f>
        <v>230.58262378842818</v>
      </c>
      <c r="EP98" s="59">
        <f t="shared" si="100"/>
        <v>235.68746142880792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1.7295759247537263</v>
      </c>
      <c r="EW98" s="21">
        <f>EXP(-LN(2)/25)*EW97+(1-EXP(-LN(2)/25))/(LN(2)/25)*Calculateur!ER98*Calculateur!ET98*VLOOKUP('Données projet'!$B$15,Paramètres!$A$1:$I$89,3,0)*0.475*44/12</f>
        <v>9.3916446272026839</v>
      </c>
      <c r="EX98" s="21">
        <f>EXP(-LN(2)/2)*EX97+(1-EXP(-LN(2)/2))/(LN(2)/2)*ER98*EU98*VLOOKUP('Données projet'!$B$15,Paramètres!$A$1:$I$89,3,0)*0.475*44/12</f>
        <v>0.52627812840503052</v>
      </c>
      <c r="EY98" s="22">
        <f t="shared" si="75"/>
        <v>11.647498680361441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234.00000000000003</v>
      </c>
      <c r="FF98" s="17">
        <f>FE98*VLOOKUP('Données projet'!$B$16,Paramètres!$A$1:$I$89,3,0)*VLOOKUP('Données projet'!$B$16,Paramètres!$A$1:$I$89,5,0)</f>
        <v>189.82080000000005</v>
      </c>
      <c r="FG98" s="13">
        <f t="shared" si="101"/>
        <v>47.500332100049796</v>
      </c>
      <c r="FH98" s="20">
        <f t="shared" si="76"/>
        <v>413.33430507425345</v>
      </c>
      <c r="FI98" s="59">
        <f t="shared" si="77"/>
        <v>706.66763840758676</v>
      </c>
      <c r="FJ98" s="59">
        <f ca="1">AVERAGE(OFFSET($FI$3,0,0,'Données projet'!$E$16+1,1))-AVERAGE(OFFSET($H$3,0,0,'Données projet'!$E$16+1,1))</f>
        <v>272.90535195666996</v>
      </c>
      <c r="FK98" s="59">
        <f t="shared" si="102"/>
        <v>222.25422164416898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4.2341210369552211</v>
      </c>
      <c r="FR98" s="21">
        <f>EXP(-LN(2)/25)*FR97+(1-EXP(-LN(2)/25))/(LN(2)/25)*Calculateur!FM98*Calculateur!FO98*VLOOKUP('Données projet'!$B$16,Paramètres!$A$1:$I$89,3,0)*0.475*44/12</f>
        <v>10.721972610565462</v>
      </c>
      <c r="FS98" s="21">
        <f>EXP(-LN(2)/2)*FS97+(1-EXP(-LN(2)/2))/(LN(2)/2)*FM98*FP98*VLOOKUP('Données projet'!$B$16,Paramètres!$A$1:$I$89,3,0)*0.475*44/12</f>
        <v>0.23935816763655954</v>
      </c>
      <c r="FT98" s="22">
        <f t="shared" si="78"/>
        <v>15.195451815157243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873.29462574943022</v>
      </c>
      <c r="S99" s="59">
        <f ca="1">AVERAGE(OFFSET($R$3,0,0,'Données projet'!$E$9+1,1))-AVERAGE(OFFSET($H$3,0,0,'Données projet'!$E$9+1,1))</f>
        <v>384.05928630855732</v>
      </c>
      <c r="T99" s="59">
        <f t="shared" si="88"/>
        <v>279.93992813630513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304.99999999999983</v>
      </c>
      <c r="AJ99" s="13">
        <f>AI99*VLOOKUP('Données projet'!$B$10,Paramètres!$A$1:$I$89,3,0)*VLOOKUP('Données projet'!$B$10,Paramètres!$A$1:$I$89,5,0)</f>
        <v>275.96399999999983</v>
      </c>
      <c r="AK99" s="13">
        <f t="shared" si="89"/>
        <v>66.113366665488854</v>
      </c>
      <c r="AL99" s="20">
        <f t="shared" si="58"/>
        <v>595.78474694239264</v>
      </c>
      <c r="AM99" s="59">
        <f t="shared" si="59"/>
        <v>889.11808027572602</v>
      </c>
      <c r="AN99" s="59">
        <f ca="1">AVERAGE(OFFSET($AM$3,0,0,'Données projet'!$E$10+1,1))-AVERAGE(OFFSET($H$3,0,0,'Données projet'!$E$10+1,1))</f>
        <v>366.69125512029831</v>
      </c>
      <c r="AO99" s="59">
        <f t="shared" si="90"/>
        <v>513.80016421153414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0.43737753299535009</v>
      </c>
      <c r="AV99" s="21">
        <f>EXP(-LN(2)/25)*AV98+(1-EXP(-LN(2)/25))/(LN(2)/25)*Calculateur!AQ99*Calculateur!AS99*VLOOKUP('Données projet'!$B$10,Paramètres!$A$1:$I$89,3,0)*0.475*44/12</f>
        <v>1.1844423737754146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1.6218199067707646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212.28480000000002</v>
      </c>
      <c r="BF99" s="13">
        <f t="shared" si="91"/>
        <v>52.434557099704193</v>
      </c>
      <c r="BG99" s="20">
        <f t="shared" si="61"/>
        <v>461.05288028198476</v>
      </c>
      <c r="BH99" s="59">
        <f t="shared" si="62"/>
        <v>754.38621361531807</v>
      </c>
      <c r="BI99" s="59">
        <f ca="1">AVERAGE(OFFSET($BH$3,0,0,'Données projet'!$E$11+1,1))-AVERAGE(OFFSET($H$3,0,0,'Données projet'!$E$11+1,1))</f>
        <v>354.24684313982857</v>
      </c>
      <c r="BJ99" s="59">
        <f t="shared" si="92"/>
        <v>322.65043486962185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25.723294076138995</v>
      </c>
      <c r="BQ99" s="21">
        <f>EXP(-LN(2)/25)*BQ98+(1-EXP(-LN(2)/25))/(LN(2)/25)*Calculateur!BL99*Calculateur!BN99*VLOOKUP('Données projet'!$B$11,Paramètres!$A$1:$I$89,3,0)*0.475*44/12</f>
        <v>15.527848380080117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41.251142456219114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7.1782051282051267</v>
      </c>
      <c r="BY99" s="12">
        <f>IF('Données projet'!$A$114&gt;35,BY98+BX99-CG98,IF(A99&lt;'Données projet'!$A$114,$BV$205^A99,IF(A99='Données projet'!$A$114,'Données projet'!$B$114,BY98+BX99-CG98)))</f>
        <v>296.71538461538506</v>
      </c>
      <c r="BZ99" s="13">
        <f>BY99*VLOOKUP('Données projet'!$B$12,Paramètres!$A$1:$I$89,3,0)*VLOOKUP('Données projet'!$B$12,Paramètres!$A$1:$I$89,5,0)</f>
        <v>286.98312000000044</v>
      </c>
      <c r="CA99" s="13">
        <f t="shared" si="93"/>
        <v>68.44062048439541</v>
      </c>
      <c r="CB99" s="20">
        <f t="shared" si="64"/>
        <v>619.02968134365608</v>
      </c>
      <c r="CC99" s="59">
        <f t="shared" si="65"/>
        <v>912.36301467698945</v>
      </c>
      <c r="CD99" s="59">
        <f ca="1">AVERAGE(OFFSET($CC$3,0,0,'Données projet'!$E$12+1,1))-AVERAGE(OFFSET($H$3,0,0,'Données projet'!$E$12+1,1))</f>
        <v>407.73540492005355</v>
      </c>
      <c r="CE99" s="59">
        <f t="shared" si="94"/>
        <v>296.29416764204774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39.349331313829452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39.349331313829452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266.99999999999983</v>
      </c>
      <c r="CU99" s="17">
        <f>CT99*VLOOKUP('Données projet'!$B$13,Paramètres!$A$1:$I$89,3,0)*VLOOKUP('Données projet'!$B$13,Paramètres!$A$1:$I$89,5,0)</f>
        <v>212.42519999999985</v>
      </c>
      <c r="CV99" s="13">
        <f t="shared" si="95"/>
        <v>52.465198231787184</v>
      </c>
      <c r="CW99" s="20">
        <f t="shared" si="67"/>
        <v>461.35077692036231</v>
      </c>
      <c r="CX99" s="59">
        <f t="shared" si="68"/>
        <v>754.68411025369562</v>
      </c>
      <c r="CY99" s="59">
        <f ca="1">AVERAGE(OFFSET($CX$3,0,0,'Données projet'!$E$13+1,1))-AVERAGE(OFFSET($H$3,0,0,'Données projet'!$E$13+1,1))</f>
        <v>299.10536994156814</v>
      </c>
      <c r="CZ99" s="59">
        <f t="shared" si="96"/>
        <v>292.57799203101769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20.97238857535611</v>
      </c>
      <c r="DG99" s="21">
        <f>EXP(-LN(2)/25)*DG98+(1-EXP(-LN(2)/25))/(LN(2)/25)*Calculateur!DB99*Calculateur!DD99*VLOOKUP('Données projet'!$B$13,Paramètres!$A$1:$I$89,3,0)*0.475*44/12</f>
        <v>5.3447759512389341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26.317164526595043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266.99999999999983</v>
      </c>
      <c r="DP99" s="17">
        <f>DO99*VLOOKUP('Données projet'!$B$14,Paramètres!$A$1:$I$89,3,0)*VLOOKUP('Données projet'!$B$14,Paramètres!$A$1:$I$89,5,0)</f>
        <v>212.42519999999985</v>
      </c>
      <c r="DQ99" s="13">
        <f t="shared" si="97"/>
        <v>52.465198231787184</v>
      </c>
      <c r="DR99" s="20">
        <f t="shared" si="70"/>
        <v>461.35077692036231</v>
      </c>
      <c r="DS99" s="59">
        <f t="shared" si="71"/>
        <v>754.68411025369562</v>
      </c>
      <c r="DT99" s="59">
        <f ca="1">AVERAGE(OFFSET($DS$3,0,0,'Données projet'!$E$14+1,1))-AVERAGE(OFFSET($H$3,0,0,'Données projet'!$E$14+1,1))</f>
        <v>299.10536994156814</v>
      </c>
      <c r="DU99" s="59">
        <f t="shared" si="98"/>
        <v>292.57799203101769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20.97238857535611</v>
      </c>
      <c r="EB99" s="21">
        <f>EXP(-LN(2)/25)*EB98+(1-EXP(-LN(2)/25))/(LN(2)/25)*Calculateur!DW99*Calculateur!DY99*VLOOKUP('Données projet'!$B$14,Paramètres!$A$1:$I$89,3,0)*0.475*44/12</f>
        <v>5.3447759512389341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26.317164526595043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204.00000000000017</v>
      </c>
      <c r="EK99" s="17">
        <f>EJ99*VLOOKUP('Données projet'!$B$15,Paramètres!$A$1:$I$89,3,0)*VLOOKUP('Données projet'!$B$15,Paramètres!$A$1:$I$89,5,0)</f>
        <v>133.66080000000011</v>
      </c>
      <c r="EL99" s="13">
        <f t="shared" si="99"/>
        <v>34.840890682716783</v>
      </c>
      <c r="EM99" s="20">
        <f t="shared" si="73"/>
        <v>293.4737779390652</v>
      </c>
      <c r="EN99" s="59">
        <f t="shared" si="74"/>
        <v>586.80711127239852</v>
      </c>
      <c r="EO99" s="59">
        <f ca="1">AVERAGE(OFFSET($EN$3,0,0,'Données projet'!$E$15+1,1))-AVERAGE(OFFSET($H$3,0,0,'Données projet'!$E$15+1,1))</f>
        <v>230.58262378842818</v>
      </c>
      <c r="EP99" s="59">
        <f t="shared" si="100"/>
        <v>235.68746142880792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1.6956599958064535</v>
      </c>
      <c r="EW99" s="21">
        <f>EXP(-LN(2)/25)*EW98+(1-EXP(-LN(2)/25))/(LN(2)/25)*Calculateur!ER99*Calculateur!ET99*VLOOKUP('Données projet'!$B$15,Paramètres!$A$1:$I$89,3,0)*0.475*44/12</f>
        <v>9.1348296109867011</v>
      </c>
      <c r="EX99" s="21">
        <f>EXP(-LN(2)/2)*EX98+(1-EXP(-LN(2)/2))/(LN(2)/2)*ER99*EU99*VLOOKUP('Données projet'!$B$15,Paramètres!$A$1:$I$89,3,0)*0.475*44/12</f>
        <v>0.37213483338536169</v>
      </c>
      <c r="EY99" s="22">
        <f t="shared" si="75"/>
        <v>11.202624440178516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234.00000000000003</v>
      </c>
      <c r="FF99" s="17">
        <f>FE99*VLOOKUP('Données projet'!$B$16,Paramètres!$A$1:$I$89,3,0)*VLOOKUP('Données projet'!$B$16,Paramètres!$A$1:$I$89,5,0)</f>
        <v>189.82080000000005</v>
      </c>
      <c r="FG99" s="13">
        <f t="shared" si="101"/>
        <v>47.500332100049796</v>
      </c>
      <c r="FH99" s="20">
        <f t="shared" si="76"/>
        <v>413.33430507425345</v>
      </c>
      <c r="FI99" s="59">
        <f t="shared" si="77"/>
        <v>706.66763840758676</v>
      </c>
      <c r="FJ99" s="59">
        <f ca="1">AVERAGE(OFFSET($FI$3,0,0,'Données projet'!$E$16+1,1))-AVERAGE(OFFSET($H$3,0,0,'Données projet'!$E$16+1,1))</f>
        <v>272.90535195666996</v>
      </c>
      <c r="FK99" s="59">
        <f t="shared" si="102"/>
        <v>222.25422164416898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4.1510925059793555</v>
      </c>
      <c r="FR99" s="21">
        <f>EXP(-LN(2)/25)*FR98+(1-EXP(-LN(2)/25))/(LN(2)/25)*Calculateur!FM99*Calculateur!FO99*VLOOKUP('Données projet'!$B$16,Paramètres!$A$1:$I$89,3,0)*0.475*44/12</f>
        <v>10.428779705685516</v>
      </c>
      <c r="FS99" s="21">
        <f>EXP(-LN(2)/2)*FS98+(1-EXP(-LN(2)/2))/(LN(2)/2)*FM99*FP99*VLOOKUP('Données projet'!$B$16,Paramètres!$A$1:$I$89,3,0)*0.475*44/12</f>
        <v>0.16925178346819766</v>
      </c>
      <c r="FT99" s="22">
        <f t="shared" si="78"/>
        <v>14.749123995133068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887.00536959875785</v>
      </c>
      <c r="S100" s="59">
        <f ca="1">AVERAGE(OFFSET($R$3,0,0,'Données projet'!$E$9+1,1))-AVERAGE(OFFSET($H$3,0,0,'Données projet'!$E$9+1,1))</f>
        <v>384.05928630855732</v>
      </c>
      <c r="T100" s="59">
        <f t="shared" si="88"/>
        <v>279.93992813630513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304.99999999999983</v>
      </c>
      <c r="AJ100" s="13">
        <f>AI100*VLOOKUP('Données projet'!$B$10,Paramètres!$A$1:$I$89,3,0)*VLOOKUP('Données projet'!$B$10,Paramètres!$A$1:$I$89,5,0)</f>
        <v>275.96399999999983</v>
      </c>
      <c r="AK100" s="13">
        <f t="shared" si="89"/>
        <v>66.113366665488854</v>
      </c>
      <c r="AL100" s="20">
        <f t="shared" si="58"/>
        <v>595.78474694239264</v>
      </c>
      <c r="AM100" s="59">
        <f t="shared" si="59"/>
        <v>889.11808027572602</v>
      </c>
      <c r="AN100" s="59">
        <f ca="1">AVERAGE(OFFSET($AM$3,0,0,'Données projet'!$E$10+1,1))-AVERAGE(OFFSET($H$3,0,0,'Données projet'!$E$10+1,1))</f>
        <v>366.69125512029831</v>
      </c>
      <c r="AO100" s="59">
        <f t="shared" si="90"/>
        <v>513.80016421153414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0.42880082634726469</v>
      </c>
      <c r="AV100" s="21">
        <f>EXP(-LN(2)/25)*AV99+(1-EXP(-LN(2)/25))/(LN(2)/25)*Calculateur!AQ100*Calculateur!AS100*VLOOKUP('Données projet'!$B$10,Paramètres!$A$1:$I$89,3,0)*0.475*44/12</f>
        <v>1.1520537347774085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1.5808545611246732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214.90560000000005</v>
      </c>
      <c r="BF100" s="13">
        <f t="shared" si="91"/>
        <v>53.006137800892326</v>
      </c>
      <c r="BG100" s="20">
        <f t="shared" si="61"/>
        <v>466.61294333655422</v>
      </c>
      <c r="BH100" s="59">
        <f t="shared" si="62"/>
        <v>759.94627666988754</v>
      </c>
      <c r="BI100" s="59">
        <f ca="1">AVERAGE(OFFSET($BH$3,0,0,'Données projet'!$E$11+1,1))-AVERAGE(OFFSET($H$3,0,0,'Données projet'!$E$11+1,1))</f>
        <v>354.24684313982857</v>
      </c>
      <c r="BJ100" s="59">
        <f t="shared" si="92"/>
        <v>322.65043486962185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25.218875968966071</v>
      </c>
      <c r="BQ100" s="21">
        <f>EXP(-LN(2)/25)*BQ99+(1-EXP(-LN(2)/25))/(LN(2)/25)*Calculateur!BL100*Calculateur!BN100*VLOOKUP('Données projet'!$B$11,Paramètres!$A$1:$I$89,3,0)*0.475*44/12</f>
        <v>15.103238549552769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40.322114518518838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7.1782051282051267</v>
      </c>
      <c r="BY100" s="12">
        <f>IF('Données projet'!$A$114&gt;35,BY99+BX100-CG99,IF(A100&lt;'Données projet'!$A$114,$BV$205^A100,IF(A100='Données projet'!$A$114,'Données projet'!$B$114,BY99+BX100-CG99)))</f>
        <v>303.89358974359021</v>
      </c>
      <c r="BZ100" s="13">
        <f>BY100*VLOOKUP('Données projet'!$B$12,Paramètres!$A$1:$I$89,3,0)*VLOOKUP('Données projet'!$B$12,Paramètres!$A$1:$I$89,5,0)</f>
        <v>293.92588000000046</v>
      </c>
      <c r="CA100" s="13">
        <f t="shared" si="93"/>
        <v>69.901582674251259</v>
      </c>
      <c r="CB100" s="20">
        <f t="shared" si="64"/>
        <v>633.66616415765509</v>
      </c>
      <c r="CC100" s="59">
        <f t="shared" si="65"/>
        <v>926.99949749098846</v>
      </c>
      <c r="CD100" s="59">
        <f ca="1">AVERAGE(OFFSET($CC$3,0,0,'Données projet'!$E$12+1,1))-AVERAGE(OFFSET($H$3,0,0,'Données projet'!$E$12+1,1))</f>
        <v>407.73540492005355</v>
      </c>
      <c r="CE100" s="59">
        <f t="shared" si="94"/>
        <v>296.29416764204774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38.577714927487484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38.577714927487484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266.99999999999983</v>
      </c>
      <c r="CU100" s="17">
        <f>CT100*VLOOKUP('Données projet'!$B$13,Paramètres!$A$1:$I$89,3,0)*VLOOKUP('Données projet'!$B$13,Paramètres!$A$1:$I$89,5,0)</f>
        <v>212.42519999999985</v>
      </c>
      <c r="CV100" s="13">
        <f t="shared" si="95"/>
        <v>52.465198231787184</v>
      </c>
      <c r="CW100" s="20">
        <f t="shared" si="67"/>
        <v>461.35077692036231</v>
      </c>
      <c r="CX100" s="59">
        <f t="shared" si="68"/>
        <v>754.68411025369562</v>
      </c>
      <c r="CY100" s="59">
        <f ca="1">AVERAGE(OFFSET($CX$3,0,0,'Données projet'!$E$13+1,1))-AVERAGE(OFFSET($H$3,0,0,'Données projet'!$E$13+1,1))</f>
        <v>299.10536994156814</v>
      </c>
      <c r="CZ100" s="59">
        <f t="shared" si="96"/>
        <v>292.57799203101769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20.561132827287313</v>
      </c>
      <c r="DG100" s="21">
        <f>EXP(-LN(2)/25)*DG99+(1-EXP(-LN(2)/25))/(LN(2)/25)*Calculateur!DB100*Calculateur!DD100*VLOOKUP('Données projet'!$B$13,Paramètres!$A$1:$I$89,3,0)*0.475*44/12</f>
        <v>5.1986227717827536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25.759755599070068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266.99999999999983</v>
      </c>
      <c r="DP100" s="17">
        <f>DO100*VLOOKUP('Données projet'!$B$14,Paramètres!$A$1:$I$89,3,0)*VLOOKUP('Données projet'!$B$14,Paramètres!$A$1:$I$89,5,0)</f>
        <v>212.42519999999985</v>
      </c>
      <c r="DQ100" s="13">
        <f t="shared" si="97"/>
        <v>52.465198231787184</v>
      </c>
      <c r="DR100" s="20">
        <f t="shared" si="70"/>
        <v>461.35077692036231</v>
      </c>
      <c r="DS100" s="59">
        <f t="shared" si="71"/>
        <v>754.68411025369562</v>
      </c>
      <c r="DT100" s="59">
        <f ca="1">AVERAGE(OFFSET($DS$3,0,0,'Données projet'!$E$14+1,1))-AVERAGE(OFFSET($H$3,0,0,'Données projet'!$E$14+1,1))</f>
        <v>299.10536994156814</v>
      </c>
      <c r="DU100" s="59">
        <f t="shared" si="98"/>
        <v>292.57799203101769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20.561132827287313</v>
      </c>
      <c r="EB100" s="21">
        <f>EXP(-LN(2)/25)*EB99+(1-EXP(-LN(2)/25))/(LN(2)/25)*Calculateur!DW100*Calculateur!DY100*VLOOKUP('Données projet'!$B$14,Paramètres!$A$1:$I$89,3,0)*0.475*44/12</f>
        <v>5.1986227717827536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25.759755599070068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204.00000000000017</v>
      </c>
      <c r="EK100" s="17">
        <f>EJ100*VLOOKUP('Données projet'!$B$15,Paramètres!$A$1:$I$89,3,0)*VLOOKUP('Données projet'!$B$15,Paramètres!$A$1:$I$89,5,0)</f>
        <v>133.66080000000011</v>
      </c>
      <c r="EL100" s="13">
        <f t="shared" si="99"/>
        <v>34.840890682716783</v>
      </c>
      <c r="EM100" s="20">
        <f t="shared" si="73"/>
        <v>293.4737779390652</v>
      </c>
      <c r="EN100" s="59">
        <f t="shared" si="74"/>
        <v>586.80711127239852</v>
      </c>
      <c r="EO100" s="59">
        <f ca="1">AVERAGE(OFFSET($EN$3,0,0,'Données projet'!$E$15+1,1))-AVERAGE(OFFSET($H$3,0,0,'Données projet'!$E$15+1,1))</f>
        <v>230.58262378842818</v>
      </c>
      <c r="EP100" s="59">
        <f t="shared" si="100"/>
        <v>235.68746142880792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1.6624091375391628</v>
      </c>
      <c r="EW100" s="21">
        <f>EXP(-LN(2)/25)*EW99+(1-EXP(-LN(2)/25))/(LN(2)/25)*Calculateur!ER100*Calculateur!ET100*VLOOKUP('Données projet'!$B$15,Paramètres!$A$1:$I$89,3,0)*0.475*44/12</f>
        <v>8.8850372148944583</v>
      </c>
      <c r="EX100" s="21">
        <f>EXP(-LN(2)/2)*EX99+(1-EXP(-LN(2)/2))/(LN(2)/2)*ER100*EU100*VLOOKUP('Données projet'!$B$15,Paramètres!$A$1:$I$89,3,0)*0.475*44/12</f>
        <v>0.26313906420251526</v>
      </c>
      <c r="EY100" s="22">
        <f t="shared" si="75"/>
        <v>10.810585416636137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234.00000000000003</v>
      </c>
      <c r="FF100" s="17">
        <f>FE100*VLOOKUP('Données projet'!$B$16,Paramètres!$A$1:$I$89,3,0)*VLOOKUP('Données projet'!$B$16,Paramètres!$A$1:$I$89,5,0)</f>
        <v>189.82080000000005</v>
      </c>
      <c r="FG100" s="13">
        <f t="shared" si="101"/>
        <v>47.500332100049796</v>
      </c>
      <c r="FH100" s="20">
        <f t="shared" si="76"/>
        <v>413.33430507425345</v>
      </c>
      <c r="FI100" s="59">
        <f t="shared" si="77"/>
        <v>706.66763840758676</v>
      </c>
      <c r="FJ100" s="59">
        <f ca="1">AVERAGE(OFFSET($FI$3,0,0,'Données projet'!$E$16+1,1))-AVERAGE(OFFSET($H$3,0,0,'Données projet'!$E$16+1,1))</f>
        <v>272.90535195666996</v>
      </c>
      <c r="FK100" s="59">
        <f t="shared" si="102"/>
        <v>222.25422164416898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4.0696921138535229</v>
      </c>
      <c r="FR100" s="21">
        <f>EXP(-LN(2)/25)*FR99+(1-EXP(-LN(2)/25))/(LN(2)/25)*Calculateur!FM100*Calculateur!FO100*VLOOKUP('Données projet'!$B$16,Paramètres!$A$1:$I$89,3,0)*0.475*44/12</f>
        <v>10.143604176207855</v>
      </c>
      <c r="FS100" s="21">
        <f>EXP(-LN(2)/2)*FS99+(1-EXP(-LN(2)/2))/(LN(2)/2)*FM100*FP100*VLOOKUP('Données projet'!$B$16,Paramètres!$A$1:$I$89,3,0)*0.475*44/12</f>
        <v>0.11967908381827977</v>
      </c>
      <c r="FT100" s="22">
        <f t="shared" si="78"/>
        <v>14.332975373879659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900.70952618840192</v>
      </c>
      <c r="S101" s="59">
        <f ca="1">AVERAGE(OFFSET($R$3,0,0,'Données projet'!$E$9+1,1))-AVERAGE(OFFSET($H$3,0,0,'Données projet'!$E$9+1,1))</f>
        <v>384.05928630855732</v>
      </c>
      <c r="T101" s="59">
        <f t="shared" si="88"/>
        <v>279.93992813630513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304.99999999999983</v>
      </c>
      <c r="AJ101" s="13">
        <f>AI101*VLOOKUP('Données projet'!$B$10,Paramètres!$A$1:$I$89,3,0)*VLOOKUP('Données projet'!$B$10,Paramètres!$A$1:$I$89,5,0)</f>
        <v>275.96399999999983</v>
      </c>
      <c r="AK101" s="13">
        <f t="shared" si="89"/>
        <v>66.113366665488854</v>
      </c>
      <c r="AL101" s="20">
        <f t="shared" si="58"/>
        <v>595.78474694239264</v>
      </c>
      <c r="AM101" s="59">
        <f t="shared" si="59"/>
        <v>889.11808027572602</v>
      </c>
      <c r="AN101" s="59">
        <f ca="1">AVERAGE(OFFSET($AM$3,0,0,'Données projet'!$E$10+1,1))-AVERAGE(OFFSET($H$3,0,0,'Données projet'!$E$10+1,1))</f>
        <v>366.69125512029831</v>
      </c>
      <c r="AO101" s="59">
        <f t="shared" si="90"/>
        <v>513.80016421153414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0.42039230368527369</v>
      </c>
      <c r="AV101" s="21">
        <f>EXP(-LN(2)/25)*AV100+(1-EXP(-LN(2)/25))/(LN(2)/25)*Calculateur!AQ101*Calculateur!AS101*VLOOKUP('Données projet'!$B$10,Paramètres!$A$1:$I$89,3,0)*0.475*44/12</f>
        <v>1.1205507648160473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1.540943068501321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217.52640000000005</v>
      </c>
      <c r="BF101" s="13">
        <f t="shared" si="91"/>
        <v>53.576907690651254</v>
      </c>
      <c r="BG101" s="20">
        <f t="shared" si="61"/>
        <v>472.17159422788433</v>
      </c>
      <c r="BH101" s="59">
        <f t="shared" si="62"/>
        <v>765.50492756121764</v>
      </c>
      <c r="BI101" s="59">
        <f ca="1">AVERAGE(OFFSET($BH$3,0,0,'Données projet'!$E$11+1,1))-AVERAGE(OFFSET($H$3,0,0,'Données projet'!$E$11+1,1))</f>
        <v>354.24684313982857</v>
      </c>
      <c r="BJ101" s="59">
        <f t="shared" si="92"/>
        <v>322.65043486962185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24.724349193210141</v>
      </c>
      <c r="BQ101" s="21">
        <f>EXP(-LN(2)/25)*BQ100+(1-EXP(-LN(2)/25))/(LN(2)/25)*Calculateur!BL101*Calculateur!BN101*VLOOKUP('Données projet'!$B$11,Paramètres!$A$1:$I$89,3,0)*0.475*44/12</f>
        <v>14.690239697170451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39.414588890380593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7.1782051282051267</v>
      </c>
      <c r="BY101" s="12">
        <f>IF('Données projet'!$A$114&gt;35,BY100+BX101-CG100,IF(A101&lt;'Données projet'!$A$114,$BV$205^A101,IF(A101='Données projet'!$A$114,'Données projet'!$B$114,BY100+BX101-CG100)))</f>
        <v>311.07179487179536</v>
      </c>
      <c r="BZ101" s="13">
        <f>BY101*VLOOKUP('Données projet'!$B$12,Paramètres!$A$1:$I$89,3,0)*VLOOKUP('Données projet'!$B$12,Paramètres!$A$1:$I$89,5,0)</f>
        <v>300.86864000000048</v>
      </c>
      <c r="CA101" s="13">
        <f t="shared" si="93"/>
        <v>71.358533130688585</v>
      </c>
      <c r="CB101" s="20">
        <f t="shared" si="64"/>
        <v>648.29565986928333</v>
      </c>
      <c r="CC101" s="59">
        <f t="shared" si="65"/>
        <v>941.62899320261658</v>
      </c>
      <c r="CD101" s="59">
        <f ca="1">AVERAGE(OFFSET($CC$3,0,0,'Données projet'!$E$12+1,1))-AVERAGE(OFFSET($H$3,0,0,'Données projet'!$E$12+1,1))</f>
        <v>407.73540492005355</v>
      </c>
      <c r="CE101" s="59">
        <f t="shared" si="94"/>
        <v>296.29416764204774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37.821229467842159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37.821229467842159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266.99999999999983</v>
      </c>
      <c r="CU101" s="17">
        <f>CT101*VLOOKUP('Données projet'!$B$13,Paramètres!$A$1:$I$89,3,0)*VLOOKUP('Données projet'!$B$13,Paramètres!$A$1:$I$89,5,0)</f>
        <v>212.42519999999985</v>
      </c>
      <c r="CV101" s="13">
        <f t="shared" si="95"/>
        <v>52.465198231787184</v>
      </c>
      <c r="CW101" s="20">
        <f t="shared" si="67"/>
        <v>461.35077692036231</v>
      </c>
      <c r="CX101" s="59">
        <f t="shared" si="68"/>
        <v>754.68411025369562</v>
      </c>
      <c r="CY101" s="59">
        <f ca="1">AVERAGE(OFFSET($CX$3,0,0,'Données projet'!$E$13+1,1))-AVERAGE(OFFSET($H$3,0,0,'Données projet'!$E$13+1,1))</f>
        <v>299.10536994156814</v>
      </c>
      <c r="CZ101" s="59">
        <f t="shared" si="96"/>
        <v>292.57799203101769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20.157941553596906</v>
      </c>
      <c r="DG101" s="21">
        <f>EXP(-LN(2)/25)*DG100+(1-EXP(-LN(2)/25))/(LN(2)/25)*Calculateur!DB101*Calculateur!DD101*VLOOKUP('Données projet'!$B$13,Paramètres!$A$1:$I$89,3,0)*0.475*44/12</f>
        <v>5.056466158704664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25.214407712301572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266.99999999999983</v>
      </c>
      <c r="DP101" s="17">
        <f>DO101*VLOOKUP('Données projet'!$B$14,Paramètres!$A$1:$I$89,3,0)*VLOOKUP('Données projet'!$B$14,Paramètres!$A$1:$I$89,5,0)</f>
        <v>212.42519999999985</v>
      </c>
      <c r="DQ101" s="13">
        <f t="shared" si="97"/>
        <v>52.465198231787184</v>
      </c>
      <c r="DR101" s="20">
        <f t="shared" si="70"/>
        <v>461.35077692036231</v>
      </c>
      <c r="DS101" s="59">
        <f t="shared" si="71"/>
        <v>754.68411025369562</v>
      </c>
      <c r="DT101" s="59">
        <f ca="1">AVERAGE(OFFSET($DS$3,0,0,'Données projet'!$E$14+1,1))-AVERAGE(OFFSET($H$3,0,0,'Données projet'!$E$14+1,1))</f>
        <v>299.10536994156814</v>
      </c>
      <c r="DU101" s="59">
        <f t="shared" si="98"/>
        <v>292.57799203101769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20.157941553596906</v>
      </c>
      <c r="EB101" s="21">
        <f>EXP(-LN(2)/25)*EB100+(1-EXP(-LN(2)/25))/(LN(2)/25)*Calculateur!DW101*Calculateur!DY101*VLOOKUP('Données projet'!$B$14,Paramètres!$A$1:$I$89,3,0)*0.475*44/12</f>
        <v>5.056466158704664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25.214407712301572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204.00000000000017</v>
      </c>
      <c r="EK101" s="17">
        <f>EJ101*VLOOKUP('Données projet'!$B$15,Paramètres!$A$1:$I$89,3,0)*VLOOKUP('Données projet'!$B$15,Paramètres!$A$1:$I$89,5,0)</f>
        <v>133.66080000000011</v>
      </c>
      <c r="EL101" s="13">
        <f t="shared" si="99"/>
        <v>34.840890682716783</v>
      </c>
      <c r="EM101" s="20">
        <f t="shared" si="73"/>
        <v>293.4737779390652</v>
      </c>
      <c r="EN101" s="59">
        <f t="shared" si="74"/>
        <v>586.80711127239852</v>
      </c>
      <c r="EO101" s="59">
        <f ca="1">AVERAGE(OFFSET($EN$3,0,0,'Données projet'!$E$15+1,1))-AVERAGE(OFFSET($H$3,0,0,'Données projet'!$E$15+1,1))</f>
        <v>230.58262378842818</v>
      </c>
      <c r="EP101" s="59">
        <f t="shared" si="100"/>
        <v>235.68746142880792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1.6298103083214726</v>
      </c>
      <c r="EW101" s="21">
        <f>EXP(-LN(2)/25)*EW100+(1-EXP(-LN(2)/25))/(LN(2)/25)*Calculateur!ER101*Calculateur!ET101*VLOOKUP('Données projet'!$B$15,Paramètres!$A$1:$I$89,3,0)*0.475*44/12</f>
        <v>8.6420754050093684</v>
      </c>
      <c r="EX101" s="21">
        <f>EXP(-LN(2)/2)*EX100+(1-EXP(-LN(2)/2))/(LN(2)/2)*ER101*EU101*VLOOKUP('Données projet'!$B$15,Paramètres!$A$1:$I$89,3,0)*0.475*44/12</f>
        <v>0.18606741669268084</v>
      </c>
      <c r="EY101" s="22">
        <f t="shared" si="75"/>
        <v>10.457953130023522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234.00000000000003</v>
      </c>
      <c r="FF101" s="17">
        <f>FE101*VLOOKUP('Données projet'!$B$16,Paramètres!$A$1:$I$89,3,0)*VLOOKUP('Données projet'!$B$16,Paramètres!$A$1:$I$89,5,0)</f>
        <v>189.82080000000005</v>
      </c>
      <c r="FG101" s="13">
        <f t="shared" si="101"/>
        <v>47.500332100049796</v>
      </c>
      <c r="FH101" s="20">
        <f t="shared" si="76"/>
        <v>413.33430507425345</v>
      </c>
      <c r="FI101" s="59">
        <f t="shared" si="77"/>
        <v>706.66763840758676</v>
      </c>
      <c r="FJ101" s="59">
        <f ca="1">AVERAGE(OFFSET($FI$3,0,0,'Données projet'!$E$16+1,1))-AVERAGE(OFFSET($H$3,0,0,'Données projet'!$E$16+1,1))</f>
        <v>272.90535195666996</v>
      </c>
      <c r="FK101" s="59">
        <f t="shared" si="102"/>
        <v>222.25422164416898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3.9898879337679412</v>
      </c>
      <c r="FR101" s="21">
        <f>EXP(-LN(2)/25)*FR100+(1-EXP(-LN(2)/25))/(LN(2)/25)*Calculateur!FM101*Calculateur!FO101*VLOOKUP('Données projet'!$B$16,Paramètres!$A$1:$I$89,3,0)*0.475*44/12</f>
        <v>9.8662267865804907</v>
      </c>
      <c r="FS101" s="21">
        <f>EXP(-LN(2)/2)*FS100+(1-EXP(-LN(2)/2))/(LN(2)/2)*FM101*FP101*VLOOKUP('Données projet'!$B$16,Paramètres!$A$1:$I$89,3,0)*0.475*44/12</f>
        <v>8.4625891734098832E-2</v>
      </c>
      <c r="FT101" s="22">
        <f t="shared" si="78"/>
        <v>13.94074061208253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914.40726502028178</v>
      </c>
      <c r="S102" s="59">
        <f ca="1">AVERAGE(OFFSET($R$3,0,0,'Données projet'!$E$9+1,1))-AVERAGE(OFFSET($H$3,0,0,'Données projet'!$E$9+1,1))</f>
        <v>384.05928630855732</v>
      </c>
      <c r="T102" s="59">
        <f t="shared" si="88"/>
        <v>279.93992813630513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304.99999999999983</v>
      </c>
      <c r="AJ102" s="13">
        <f>AI102*VLOOKUP('Données projet'!$B$10,Paramètres!$A$1:$I$89,3,0)*VLOOKUP('Données projet'!$B$10,Paramètres!$A$1:$I$89,5,0)</f>
        <v>275.96399999999983</v>
      </c>
      <c r="AK102" s="13">
        <f t="shared" si="89"/>
        <v>66.113366665488854</v>
      </c>
      <c r="AL102" s="20">
        <f t="shared" si="58"/>
        <v>595.78474694239264</v>
      </c>
      <c r="AM102" s="59">
        <f t="shared" si="59"/>
        <v>889.11808027572602</v>
      </c>
      <c r="AN102" s="59">
        <f ca="1">AVERAGE(OFFSET($AM$3,0,0,'Données projet'!$E$10+1,1))-AVERAGE(OFFSET($H$3,0,0,'Données projet'!$E$10+1,1))</f>
        <v>366.69125512029831</v>
      </c>
      <c r="AO102" s="59">
        <f t="shared" si="90"/>
        <v>513.80016421153414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0.41214866702399194</v>
      </c>
      <c r="AV102" s="21">
        <f>EXP(-LN(2)/25)*AV101+(1-EXP(-LN(2)/25))/(LN(2)/25)*Calculateur!AQ102*Calculateur!AS102*VLOOKUP('Données projet'!$B$10,Paramètres!$A$1:$I$89,3,0)*0.475*44/12</f>
        <v>1.0899092452249488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1.5020579122489408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220.14720000000003</v>
      </c>
      <c r="BF102" s="13">
        <f t="shared" si="91"/>
        <v>54.146877667769687</v>
      </c>
      <c r="BG102" s="20">
        <f t="shared" si="61"/>
        <v>477.72885193803222</v>
      </c>
      <c r="BH102" s="59">
        <f t="shared" si="62"/>
        <v>771.06218527136548</v>
      </c>
      <c r="BI102" s="59">
        <f ca="1">AVERAGE(OFFSET($BH$3,0,0,'Données projet'!$E$11+1,1))-AVERAGE(OFFSET($H$3,0,0,'Données projet'!$E$11+1,1))</f>
        <v>354.24684313982857</v>
      </c>
      <c r="BJ102" s="59">
        <f t="shared" si="92"/>
        <v>322.65043486962185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24.239519785895236</v>
      </c>
      <c r="BQ102" s="21">
        <f>EXP(-LN(2)/25)*BQ101+(1-EXP(-LN(2)/25))/(LN(2)/25)*Calculateur!BL102*Calculateur!BN102*VLOOKUP('Données projet'!$B$11,Paramètres!$A$1:$I$89,3,0)*0.475*44/12</f>
        <v>14.288534320125194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38.528054106020434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318.25</v>
      </c>
      <c r="BW102" s="12">
        <f>VLOOKUP(A102,'Données projet'!$A$113:$I$133,9,0)</f>
        <v>7.1782051282051267</v>
      </c>
      <c r="BX102" s="12">
        <f t="array" ref="BX102">INDEX(BW:BW,MIN(IF(ISNUMBER(BW102:BW298),ROW(BW102:BW298),"")))</f>
        <v>7.1782051282051267</v>
      </c>
      <c r="BY102" s="12">
        <f>IF('Données projet'!$A$114&gt;35,BY101+BX102-CG101,IF(A102&lt;'Données projet'!$A$114,$BV$205^A102,IF(A102='Données projet'!$A$114,'Données projet'!$B$114,BY101+BX102-CG101)))</f>
        <v>318.25000000000051</v>
      </c>
      <c r="BZ102" s="13">
        <f>BY102*VLOOKUP('Données projet'!$B$12,Paramètres!$A$1:$I$89,3,0)*VLOOKUP('Données projet'!$B$12,Paramètres!$A$1:$I$89,5,0)</f>
        <v>307.8114000000005</v>
      </c>
      <c r="CA102" s="13">
        <f t="shared" si="93"/>
        <v>72.811575082750721</v>
      </c>
      <c r="CB102" s="20">
        <f t="shared" si="64"/>
        <v>662.91834826912498</v>
      </c>
      <c r="CC102" s="59">
        <f t="shared" si="65"/>
        <v>956.25168160245835</v>
      </c>
      <c r="CD102" s="59">
        <f ca="1">AVERAGE(OFFSET($CC$3,0,0,'Données projet'!$E$12+1,1))-AVERAGE(OFFSET($H$3,0,0,'Données projet'!$E$12+1,1))</f>
        <v>407.73540492005355</v>
      </c>
      <c r="CE102" s="59">
        <f t="shared" si="94"/>
        <v>296.29416764204774</v>
      </c>
      <c r="CF102" s="15">
        <f>IF(ISNA(VLOOKUP(A102,'Données projet'!$A$113:$I$133,3,0)),0,VLOOKUP(A102,'Données projet'!$A$113:$I$133,3,0))</f>
        <v>9</v>
      </c>
      <c r="CG102" s="15">
        <f>IF(ISNA(VLOOKUP(A102,'Données projet'!$A$113:$I$133,4,0)),0,VLOOKUP(A102,'Données projet'!$A$113:$I$133,4,0))</f>
        <v>48.019230769230766</v>
      </c>
      <c r="CH102" s="16">
        <f>IF(ISNA(VLOOKUP(A102,'Données projet'!$A$113:$I$133,5,0)),0%,VLOOKUP(A102,'Données projet'!$A$113:$I$133,5,0)*VLOOKUP('Données projet'!$B$12,Paramètres!$A$1:$I$89,7,0))</f>
        <v>0.30099999999999999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52.533727134382282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52.533727134382282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266.99999999999983</v>
      </c>
      <c r="CU102" s="17">
        <f>CT102*VLOOKUP('Données projet'!$B$13,Paramètres!$A$1:$I$89,3,0)*VLOOKUP('Données projet'!$B$13,Paramètres!$A$1:$I$89,5,0)</f>
        <v>212.42519999999985</v>
      </c>
      <c r="CV102" s="13">
        <f t="shared" si="95"/>
        <v>52.465198231787184</v>
      </c>
      <c r="CW102" s="20">
        <f t="shared" si="67"/>
        <v>461.35077692036231</v>
      </c>
      <c r="CX102" s="59">
        <f t="shared" si="68"/>
        <v>754.68411025369562</v>
      </c>
      <c r="CY102" s="59">
        <f ca="1">AVERAGE(OFFSET($CX$3,0,0,'Données projet'!$E$13+1,1))-AVERAGE(OFFSET($H$3,0,0,'Données projet'!$E$13+1,1))</f>
        <v>299.10536994156814</v>
      </c>
      <c r="CZ102" s="59">
        <f t="shared" si="96"/>
        <v>292.57799203101769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19.762656614861175</v>
      </c>
      <c r="DG102" s="21">
        <f>EXP(-LN(2)/25)*DG101+(1-EXP(-LN(2)/25))/(LN(2)/25)*Calculateur!DB102*Calculateur!DD102*VLOOKUP('Données projet'!$B$13,Paramètres!$A$1:$I$89,3,0)*0.475*44/12</f>
        <v>4.918196825686886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24.680853440548063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266.99999999999983</v>
      </c>
      <c r="DP102" s="17">
        <f>DO102*VLOOKUP('Données projet'!$B$14,Paramètres!$A$1:$I$89,3,0)*VLOOKUP('Données projet'!$B$14,Paramètres!$A$1:$I$89,5,0)</f>
        <v>212.42519999999985</v>
      </c>
      <c r="DQ102" s="13">
        <f t="shared" si="97"/>
        <v>52.465198231787184</v>
      </c>
      <c r="DR102" s="20">
        <f t="shared" si="70"/>
        <v>461.35077692036231</v>
      </c>
      <c r="DS102" s="59">
        <f t="shared" si="71"/>
        <v>754.68411025369562</v>
      </c>
      <c r="DT102" s="59">
        <f ca="1">AVERAGE(OFFSET($DS$3,0,0,'Données projet'!$E$14+1,1))-AVERAGE(OFFSET($H$3,0,0,'Données projet'!$E$14+1,1))</f>
        <v>299.10536994156814</v>
      </c>
      <c r="DU102" s="59">
        <f t="shared" si="98"/>
        <v>292.57799203101769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19.762656614861175</v>
      </c>
      <c r="EB102" s="21">
        <f>EXP(-LN(2)/25)*EB101+(1-EXP(-LN(2)/25))/(LN(2)/25)*Calculateur!DW102*Calculateur!DY102*VLOOKUP('Données projet'!$B$14,Paramètres!$A$1:$I$89,3,0)*0.475*44/12</f>
        <v>4.918196825686886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24.680853440548063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204.00000000000017</v>
      </c>
      <c r="EK102" s="17">
        <f>EJ102*VLOOKUP('Données projet'!$B$15,Paramètres!$A$1:$I$89,3,0)*VLOOKUP('Données projet'!$B$15,Paramètres!$A$1:$I$89,5,0)</f>
        <v>133.66080000000011</v>
      </c>
      <c r="EL102" s="13">
        <f t="shared" si="99"/>
        <v>34.840890682716783</v>
      </c>
      <c r="EM102" s="20">
        <f t="shared" si="73"/>
        <v>293.4737779390652</v>
      </c>
      <c r="EN102" s="59">
        <f t="shared" si="74"/>
        <v>586.80711127239852</v>
      </c>
      <c r="EO102" s="59">
        <f ca="1">AVERAGE(OFFSET($EN$3,0,0,'Données projet'!$E$15+1,1))-AVERAGE(OFFSET($H$3,0,0,'Données projet'!$E$15+1,1))</f>
        <v>230.58262378842818</v>
      </c>
      <c r="EP102" s="59">
        <f t="shared" si="100"/>
        <v>235.68746142880792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1.5978507222614187</v>
      </c>
      <c r="EW102" s="21">
        <f>EXP(-LN(2)/25)*EW101+(1-EXP(-LN(2)/25))/(LN(2)/25)*Calculateur!ER102*Calculateur!ET102*VLOOKUP('Données projet'!$B$15,Paramètres!$A$1:$I$89,3,0)*0.475*44/12</f>
        <v>8.4057573985923941</v>
      </c>
      <c r="EX102" s="21">
        <f>EXP(-LN(2)/2)*EX101+(1-EXP(-LN(2)/2))/(LN(2)/2)*ER102*EU102*VLOOKUP('Données projet'!$B$15,Paramètres!$A$1:$I$89,3,0)*0.475*44/12</f>
        <v>0.13156953210125763</v>
      </c>
      <c r="EY102" s="22">
        <f t="shared" si="75"/>
        <v>10.13517765295507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234.00000000000003</v>
      </c>
      <c r="FF102" s="17">
        <f>FE102*VLOOKUP('Données projet'!$B$16,Paramètres!$A$1:$I$89,3,0)*VLOOKUP('Données projet'!$B$16,Paramètres!$A$1:$I$89,5,0)</f>
        <v>189.82080000000005</v>
      </c>
      <c r="FG102" s="13">
        <f t="shared" si="101"/>
        <v>47.500332100049796</v>
      </c>
      <c r="FH102" s="20">
        <f t="shared" si="76"/>
        <v>413.33430507425345</v>
      </c>
      <c r="FI102" s="59">
        <f t="shared" si="77"/>
        <v>706.66763840758676</v>
      </c>
      <c r="FJ102" s="59">
        <f ca="1">AVERAGE(OFFSET($FI$3,0,0,'Données projet'!$E$16+1,1))-AVERAGE(OFFSET($H$3,0,0,'Données projet'!$E$16+1,1))</f>
        <v>272.90535195666996</v>
      </c>
      <c r="FK102" s="59">
        <f t="shared" si="102"/>
        <v>222.25422164416898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3.9116486649780944</v>
      </c>
      <c r="FR102" s="21">
        <f>EXP(-LN(2)/25)*FR101+(1-EXP(-LN(2)/25))/(LN(2)/25)*Calculateur!FM102*Calculateur!FO102*VLOOKUP('Données projet'!$B$16,Paramètres!$A$1:$I$89,3,0)*0.475*44/12</f>
        <v>9.5964342962591296</v>
      </c>
      <c r="FS102" s="21">
        <f>EXP(-LN(2)/2)*FS101+(1-EXP(-LN(2)/2))/(LN(2)/2)*FM102*FP102*VLOOKUP('Données projet'!$B$16,Paramètres!$A$1:$I$89,3,0)*0.475*44/12</f>
        <v>5.9839541909139884E-2</v>
      </c>
      <c r="FT102" s="22">
        <f t="shared" si="78"/>
        <v>13.567922503146365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836.03108479280058</v>
      </c>
      <c r="S103" s="59">
        <f ca="1">AVERAGE(OFFSET($R$3,0,0,'Données projet'!$E$9+1,1))-AVERAGE(OFFSET($H$3,0,0,'Données projet'!$E$9+1,1))</f>
        <v>384.05928630855732</v>
      </c>
      <c r="T103" s="59">
        <f t="shared" si="88"/>
        <v>279.93992813630513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304.99999999999983</v>
      </c>
      <c r="AJ103" s="13">
        <f>AI103*VLOOKUP('Données projet'!$B$10,Paramètres!$A$1:$I$89,3,0)*VLOOKUP('Données projet'!$B$10,Paramètres!$A$1:$I$89,5,0)</f>
        <v>275.96399999999983</v>
      </c>
      <c r="AK103" s="13">
        <f t="shared" si="89"/>
        <v>66.113366665488854</v>
      </c>
      <c r="AL103" s="20">
        <f t="shared" si="58"/>
        <v>595.78474694239264</v>
      </c>
      <c r="AM103" s="59">
        <f t="shared" si="59"/>
        <v>889.11808027572602</v>
      </c>
      <c r="AN103" s="59">
        <f ca="1">AVERAGE(OFFSET($AM$3,0,0,'Données projet'!$E$10+1,1))-AVERAGE(OFFSET($H$3,0,0,'Données projet'!$E$10+1,1))</f>
        <v>366.69125512029831</v>
      </c>
      <c r="AO103" s="59">
        <f t="shared" si="90"/>
        <v>513.80016421153414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0.40406668304951604</v>
      </c>
      <c r="AV103" s="21">
        <f>EXP(-LN(2)/25)*AV102+(1-EXP(-LN(2)/25))/(LN(2)/25)*Calculateur!AQ103*Calculateur!AS103*VLOOKUP('Données projet'!$B$10,Paramètres!$A$1:$I$89,3,0)*0.475*44/12</f>
        <v>1.0601056195984364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1.4641723026479525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222.76800000000003</v>
      </c>
      <c r="BF103" s="13">
        <f t="shared" si="91"/>
        <v>54.716058356609508</v>
      </c>
      <c r="BG103" s="20">
        <f t="shared" si="61"/>
        <v>483.28473497109491</v>
      </c>
      <c r="BH103" s="59">
        <f t="shared" si="62"/>
        <v>776.61806830442822</v>
      </c>
      <c r="BI103" s="59">
        <f ca="1">AVERAGE(OFFSET($BH$3,0,0,'Données projet'!$E$11+1,1))-AVERAGE(OFFSET($H$3,0,0,'Données projet'!$E$11+1,1))</f>
        <v>354.24684313982857</v>
      </c>
      <c r="BJ103" s="59">
        <f t="shared" si="92"/>
        <v>322.65043486962185</v>
      </c>
      <c r="BK103" s="15">
        <f>IF(ISNA(VLOOKUP(A103,'Données projet'!$A$87:$I$107,3,0)),0,VLOOKUP(A103,'Données projet'!$A$87:$I$107,3,0))</f>
        <v>17</v>
      </c>
      <c r="BL103" s="15" t="str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8.6000000000000007E-2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27.252446579439706</v>
      </c>
      <c r="BQ103" s="21">
        <f>EXP(-LN(2)/25)*BQ102+(1-EXP(-LN(2)/25))/(LN(2)/25)*Calculateur!BL103*Calculateur!BN103*VLOOKUP('Données projet'!$B$11,Paramètres!$A$1:$I$89,3,0)*0.475*44/12</f>
        <v>14.890532005308721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42.142978584748427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6.9935897435897401</v>
      </c>
      <c r="BY103" s="12">
        <f>IF('Données projet'!$A$114&gt;35,BY102+BX103-CG102,IF(A103&lt;'Données projet'!$A$114,$BV$205^A103,IF(A103='Données projet'!$A$114,'Données projet'!$B$114,BY102+BX103-CG102)))</f>
        <v>277.22435897435946</v>
      </c>
      <c r="BZ103" s="13">
        <f>BY103*VLOOKUP('Données projet'!$B$12,Paramètres!$A$1:$I$89,3,0)*VLOOKUP('Données projet'!$B$12,Paramètres!$A$1:$I$89,5,0)</f>
        <v>268.13140000000044</v>
      </c>
      <c r="CA103" s="13">
        <f t="shared" si="93"/>
        <v>64.452545063749213</v>
      </c>
      <c r="CB103" s="20">
        <f t="shared" si="64"/>
        <v>579.25037098603059</v>
      </c>
      <c r="CC103" s="59">
        <f t="shared" si="65"/>
        <v>872.58370431936396</v>
      </c>
      <c r="CD103" s="59">
        <f ca="1">AVERAGE(OFFSET($CC$3,0,0,'Données projet'!$E$12+1,1))-AVERAGE(OFFSET($H$3,0,0,'Données projet'!$E$12+1,1))</f>
        <v>407.73540492005355</v>
      </c>
      <c r="CE103" s="59">
        <f t="shared" si="94"/>
        <v>296.29416764204774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51.503572787686672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51.503572787686672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266.99999999999983</v>
      </c>
      <c r="CU103" s="17">
        <f>CT103*VLOOKUP('Données projet'!$B$13,Paramètres!$A$1:$I$89,3,0)*VLOOKUP('Données projet'!$B$13,Paramètres!$A$1:$I$89,5,0)</f>
        <v>212.42519999999985</v>
      </c>
      <c r="CV103" s="13">
        <f t="shared" si="95"/>
        <v>52.465198231787184</v>
      </c>
      <c r="CW103" s="20">
        <f t="shared" si="67"/>
        <v>461.35077692036231</v>
      </c>
      <c r="CX103" s="59">
        <f t="shared" si="68"/>
        <v>754.68411025369562</v>
      </c>
      <c r="CY103" s="59">
        <f ca="1">AVERAGE(OFFSET($CX$3,0,0,'Données projet'!$E$13+1,1))-AVERAGE(OFFSET($H$3,0,0,'Données projet'!$E$13+1,1))</f>
        <v>299.10536994156814</v>
      </c>
      <c r="CZ103" s="59">
        <f t="shared" si="96"/>
        <v>292.57799203101769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19.375122972674045</v>
      </c>
      <c r="DG103" s="21">
        <f>EXP(-LN(2)/25)*DG102+(1-EXP(-LN(2)/25))/(LN(2)/25)*Calculateur!DB103*Calculateur!DD103*VLOOKUP('Données projet'!$B$13,Paramètres!$A$1:$I$89,3,0)*0.475*44/12</f>
        <v>4.783708474851748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24.158831447525792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266.99999999999983</v>
      </c>
      <c r="DP103" s="17">
        <f>DO103*VLOOKUP('Données projet'!$B$14,Paramètres!$A$1:$I$89,3,0)*VLOOKUP('Données projet'!$B$14,Paramètres!$A$1:$I$89,5,0)</f>
        <v>212.42519999999985</v>
      </c>
      <c r="DQ103" s="13">
        <f t="shared" si="97"/>
        <v>52.465198231787184</v>
      </c>
      <c r="DR103" s="20">
        <f t="shared" si="70"/>
        <v>461.35077692036231</v>
      </c>
      <c r="DS103" s="59">
        <f t="shared" si="71"/>
        <v>754.68411025369562</v>
      </c>
      <c r="DT103" s="59">
        <f ca="1">AVERAGE(OFFSET($DS$3,0,0,'Données projet'!$E$14+1,1))-AVERAGE(OFFSET($H$3,0,0,'Données projet'!$E$14+1,1))</f>
        <v>299.10536994156814</v>
      </c>
      <c r="DU103" s="59">
        <f t="shared" si="98"/>
        <v>292.57799203101769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19.375122972674045</v>
      </c>
      <c r="EB103" s="21">
        <f>EXP(-LN(2)/25)*EB102+(1-EXP(-LN(2)/25))/(LN(2)/25)*Calculateur!DW103*Calculateur!DY103*VLOOKUP('Données projet'!$B$14,Paramètres!$A$1:$I$89,3,0)*0.475*44/12</f>
        <v>4.783708474851748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24.158831447525792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204.00000000000017</v>
      </c>
      <c r="EK103" s="17">
        <f>EJ103*VLOOKUP('Données projet'!$B$15,Paramètres!$A$1:$I$89,3,0)*VLOOKUP('Données projet'!$B$15,Paramètres!$A$1:$I$89,5,0)</f>
        <v>133.66080000000011</v>
      </c>
      <c r="EL103" s="13">
        <f t="shared" si="99"/>
        <v>34.840890682716783</v>
      </c>
      <c r="EM103" s="20">
        <f t="shared" si="73"/>
        <v>293.4737779390652</v>
      </c>
      <c r="EN103" s="59">
        <f t="shared" si="74"/>
        <v>586.80711127239852</v>
      </c>
      <c r="EO103" s="59">
        <f ca="1">AVERAGE(OFFSET($EN$3,0,0,'Données projet'!$E$15+1,1))-AVERAGE(OFFSET($H$3,0,0,'Données projet'!$E$15+1,1))</f>
        <v>230.58262378842818</v>
      </c>
      <c r="EP103" s="59">
        <f t="shared" si="100"/>
        <v>235.68746142880792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1.5665178441905798</v>
      </c>
      <c r="EW103" s="21">
        <f>EXP(-LN(2)/25)*EW102+(1-EXP(-LN(2)/25))/(LN(2)/25)*Calculateur!ER103*Calculateur!ET103*VLOOKUP('Données projet'!$B$15,Paramètres!$A$1:$I$89,3,0)*0.475*44/12</f>
        <v>8.1759015204883152</v>
      </c>
      <c r="EX103" s="21">
        <f>EXP(-LN(2)/2)*EX102+(1-EXP(-LN(2)/2))/(LN(2)/2)*ER103*EU103*VLOOKUP('Données projet'!$B$15,Paramètres!$A$1:$I$89,3,0)*0.475*44/12</f>
        <v>9.3033708346340421E-2</v>
      </c>
      <c r="EY103" s="22">
        <f t="shared" si="75"/>
        <v>9.835453073025235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234.00000000000003</v>
      </c>
      <c r="FF103" s="17">
        <f>FE103*VLOOKUP('Données projet'!$B$16,Paramètres!$A$1:$I$89,3,0)*VLOOKUP('Données projet'!$B$16,Paramètres!$A$1:$I$89,5,0)</f>
        <v>189.82080000000005</v>
      </c>
      <c r="FG103" s="13">
        <f t="shared" si="101"/>
        <v>47.500332100049796</v>
      </c>
      <c r="FH103" s="20">
        <f t="shared" si="76"/>
        <v>413.33430507425345</v>
      </c>
      <c r="FI103" s="59">
        <f t="shared" si="77"/>
        <v>706.66763840758676</v>
      </c>
      <c r="FJ103" s="59">
        <f ca="1">AVERAGE(OFFSET($FI$3,0,0,'Données projet'!$E$16+1,1))-AVERAGE(OFFSET($H$3,0,0,'Données projet'!$E$16+1,1))</f>
        <v>272.90535195666996</v>
      </c>
      <c r="FK103" s="59">
        <f t="shared" si="102"/>
        <v>222.25422164416898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3.8349436205279743</v>
      </c>
      <c r="FR103" s="21">
        <f>EXP(-LN(2)/25)*FR102+(1-EXP(-LN(2)/25))/(LN(2)/25)*Calculateur!FM103*Calculateur!FO103*VLOOKUP('Données projet'!$B$16,Paramètres!$A$1:$I$89,3,0)*0.475*44/12</f>
        <v>9.334019295773377</v>
      </c>
      <c r="FS103" s="21">
        <f>EXP(-LN(2)/2)*FS102+(1-EXP(-LN(2)/2))/(LN(2)/2)*FM103*FP103*VLOOKUP('Données projet'!$B$16,Paramètres!$A$1:$I$89,3,0)*0.475*44/12</f>
        <v>4.2312945867049416E-2</v>
      </c>
      <c r="FT103" s="22">
        <f t="shared" si="78"/>
        <v>13.211275862168401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384.05928630855732</v>
      </c>
      <c r="T104" s="59">
        <f t="shared" si="88"/>
        <v>279.93992813630513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304.99999999999983</v>
      </c>
      <c r="AJ104" s="13">
        <f>AI104*VLOOKUP('Données projet'!$B$10,Paramètres!$A$1:$I$89,3,0)*VLOOKUP('Données projet'!$B$10,Paramètres!$A$1:$I$89,5,0)</f>
        <v>275.96399999999983</v>
      </c>
      <c r="AK104" s="13">
        <f t="shared" si="89"/>
        <v>66.113366665488854</v>
      </c>
      <c r="AL104" s="20">
        <f t="shared" si="58"/>
        <v>595.78474694239264</v>
      </c>
      <c r="AM104" s="59">
        <f t="shared" si="59"/>
        <v>889.11808027572602</v>
      </c>
      <c r="AN104" s="59">
        <f ca="1">AVERAGE(OFFSET($AM$3,0,0,'Données projet'!$E$10+1,1))-AVERAGE(OFFSET($H$3,0,0,'Données projet'!$E$10+1,1))</f>
        <v>366.69125512029831</v>
      </c>
      <c r="AO104" s="59">
        <f t="shared" si="90"/>
        <v>513.80016421153414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0.39614318185125613</v>
      </c>
      <c r="AV104" s="21">
        <f>EXP(-LN(2)/25)*AV103+(1-EXP(-LN(2)/25))/(LN(2)/25)*Calculateur!AQ104*Calculateur!AS104*VLOOKUP('Données projet'!$B$10,Paramètres!$A$1:$I$89,3,0)*0.475*44/12</f>
        <v>1.0311169756819856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1.4272601575332418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212.28480000000002</v>
      </c>
      <c r="BF104" s="13">
        <f t="shared" si="91"/>
        <v>52.434557099704193</v>
      </c>
      <c r="BG104" s="20">
        <f t="shared" si="61"/>
        <v>461.05288028198476</v>
      </c>
      <c r="BH104" s="59">
        <f t="shared" si="62"/>
        <v>754.38621361531807</v>
      </c>
      <c r="BI104" s="59">
        <f ca="1">AVERAGE(OFFSET($BH$3,0,0,'Données projet'!$E$11+1,1))-AVERAGE(OFFSET($H$3,0,0,'Données projet'!$E$11+1,1))</f>
        <v>354.24684313982857</v>
      </c>
      <c r="BJ104" s="59">
        <f t="shared" si="92"/>
        <v>322.65043486962185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26.718042724367987</v>
      </c>
      <c r="BQ104" s="21">
        <f>EXP(-LN(2)/25)*BQ103+(1-EXP(-LN(2)/25))/(LN(2)/25)*Calculateur!BL104*Calculateur!BN104*VLOOKUP('Données projet'!$B$11,Paramètres!$A$1:$I$89,3,0)*0.475*44/12</f>
        <v>14.483349624564509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41.201392348932494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6.9935897435897401</v>
      </c>
      <c r="BY104" s="12">
        <f>IF('Données projet'!$A$114&gt;35,BY103+BX104-CG103,IF(A104&lt;'Données projet'!$A$114,$BV$205^A104,IF(A104='Données projet'!$A$114,'Données projet'!$B$114,BY103+BX104-CG103)))</f>
        <v>284.21794871794918</v>
      </c>
      <c r="BZ104" s="13">
        <f>BY104*VLOOKUP('Données projet'!$B$12,Paramètres!$A$1:$I$89,3,0)*VLOOKUP('Données projet'!$B$12,Paramètres!$A$1:$I$89,5,0)</f>
        <v>274.89560000000046</v>
      </c>
      <c r="CA104" s="13">
        <f t="shared" si="93"/>
        <v>65.887150094551444</v>
      </c>
      <c r="CB104" s="20">
        <f t="shared" si="64"/>
        <v>593.52995641467794</v>
      </c>
      <c r="CC104" s="59">
        <f t="shared" si="65"/>
        <v>886.86328974801131</v>
      </c>
      <c r="CD104" s="59">
        <f ca="1">AVERAGE(OFFSET($CC$3,0,0,'Données projet'!$E$12+1,1))-AVERAGE(OFFSET($H$3,0,0,'Données projet'!$E$12+1,1))</f>
        <v>407.73540492005355</v>
      </c>
      <c r="CE104" s="59">
        <f t="shared" si="94"/>
        <v>296.29416764204774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50.493619139397651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50.493619139397651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266.99999999999983</v>
      </c>
      <c r="CU104" s="17">
        <f>CT104*VLOOKUP('Données projet'!$B$13,Paramètres!$A$1:$I$89,3,0)*VLOOKUP('Données projet'!$B$13,Paramètres!$A$1:$I$89,5,0)</f>
        <v>212.42519999999985</v>
      </c>
      <c r="CV104" s="13">
        <f t="shared" si="95"/>
        <v>52.465198231787184</v>
      </c>
      <c r="CW104" s="20">
        <f t="shared" si="67"/>
        <v>461.35077692036231</v>
      </c>
      <c r="CX104" s="59">
        <f t="shared" si="68"/>
        <v>754.68411025369562</v>
      </c>
      <c r="CY104" s="59">
        <f ca="1">AVERAGE(OFFSET($CX$3,0,0,'Données projet'!$E$13+1,1))-AVERAGE(OFFSET($H$3,0,0,'Données projet'!$E$13+1,1))</f>
        <v>299.10536994156814</v>
      </c>
      <c r="CZ104" s="59">
        <f t="shared" si="96"/>
        <v>292.57799203101769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18.995188628838022</v>
      </c>
      <c r="DG104" s="21">
        <f>EXP(-LN(2)/25)*DG103+(1-EXP(-LN(2)/25))/(LN(2)/25)*Calculateur!DB104*Calculateur!DD104*VLOOKUP('Données projet'!$B$13,Paramètres!$A$1:$I$89,3,0)*0.475*44/12</f>
        <v>4.6528977150426316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23.648086343880653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266.99999999999983</v>
      </c>
      <c r="DP104" s="17">
        <f>DO104*VLOOKUP('Données projet'!$B$14,Paramètres!$A$1:$I$89,3,0)*VLOOKUP('Données projet'!$B$14,Paramètres!$A$1:$I$89,5,0)</f>
        <v>212.42519999999985</v>
      </c>
      <c r="DQ104" s="13">
        <f t="shared" si="97"/>
        <v>52.465198231787184</v>
      </c>
      <c r="DR104" s="20">
        <f t="shared" si="70"/>
        <v>461.35077692036231</v>
      </c>
      <c r="DS104" s="59">
        <f t="shared" si="71"/>
        <v>754.68411025369562</v>
      </c>
      <c r="DT104" s="59">
        <f ca="1">AVERAGE(OFFSET($DS$3,0,0,'Données projet'!$E$14+1,1))-AVERAGE(OFFSET($H$3,0,0,'Données projet'!$E$14+1,1))</f>
        <v>299.10536994156814</v>
      </c>
      <c r="DU104" s="59">
        <f t="shared" si="98"/>
        <v>292.57799203101769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18.995188628838022</v>
      </c>
      <c r="EB104" s="21">
        <f>EXP(-LN(2)/25)*EB103+(1-EXP(-LN(2)/25))/(LN(2)/25)*Calculateur!DW104*Calculateur!DY104*VLOOKUP('Données projet'!$B$14,Paramètres!$A$1:$I$89,3,0)*0.475*44/12</f>
        <v>4.6528977150426316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23.648086343880653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204.00000000000017</v>
      </c>
      <c r="EK104" s="17">
        <f>EJ104*VLOOKUP('Données projet'!$B$15,Paramètres!$A$1:$I$89,3,0)*VLOOKUP('Données projet'!$B$15,Paramètres!$A$1:$I$89,5,0)</f>
        <v>133.66080000000011</v>
      </c>
      <c r="EL104" s="13">
        <f t="shared" si="99"/>
        <v>34.840890682716783</v>
      </c>
      <c r="EM104" s="20">
        <f t="shared" si="73"/>
        <v>293.4737779390652</v>
      </c>
      <c r="EN104" s="59">
        <f t="shared" si="74"/>
        <v>586.80711127239852</v>
      </c>
      <c r="EO104" s="59">
        <f ca="1">AVERAGE(OFFSET($EN$3,0,0,'Données projet'!$E$15+1,1))-AVERAGE(OFFSET($H$3,0,0,'Données projet'!$E$15+1,1))</f>
        <v>230.58262378842818</v>
      </c>
      <c r="EP104" s="59">
        <f t="shared" si="100"/>
        <v>235.68746142880792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1.5357993847475415</v>
      </c>
      <c r="EW104" s="21">
        <f>EXP(-LN(2)/25)*EW103+(1-EXP(-LN(2)/25))/(LN(2)/25)*Calculateur!ER104*Calculateur!ET104*VLOOKUP('Données projet'!$B$15,Paramètres!$A$1:$I$89,3,0)*0.475*44/12</f>
        <v>7.9523310634585878</v>
      </c>
      <c r="EX104" s="21">
        <f>EXP(-LN(2)/2)*EX103+(1-EXP(-LN(2)/2))/(LN(2)/2)*ER104*EU104*VLOOKUP('Données projet'!$B$15,Paramètres!$A$1:$I$89,3,0)*0.475*44/12</f>
        <v>6.5784766050628815E-2</v>
      </c>
      <c r="EY104" s="22">
        <f t="shared" si="75"/>
        <v>9.553915214256758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234.00000000000003</v>
      </c>
      <c r="FF104" s="17">
        <f>FE104*VLOOKUP('Données projet'!$B$16,Paramètres!$A$1:$I$89,3,0)*VLOOKUP('Données projet'!$B$16,Paramètres!$A$1:$I$89,5,0)</f>
        <v>189.82080000000005</v>
      </c>
      <c r="FG104" s="13">
        <f t="shared" si="101"/>
        <v>47.500332100049796</v>
      </c>
      <c r="FH104" s="20">
        <f t="shared" si="76"/>
        <v>413.33430507425345</v>
      </c>
      <c r="FI104" s="59">
        <f t="shared" si="77"/>
        <v>706.66763840758676</v>
      </c>
      <c r="FJ104" s="59">
        <f ca="1">AVERAGE(OFFSET($FI$3,0,0,'Données projet'!$E$16+1,1))-AVERAGE(OFFSET($H$3,0,0,'Données projet'!$E$16+1,1))</f>
        <v>272.90535195666996</v>
      </c>
      <c r="FK104" s="59">
        <f t="shared" si="102"/>
        <v>222.25422164416898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3.7597427152140637</v>
      </c>
      <c r="FR104" s="21">
        <f>EXP(-LN(2)/25)*FR103+(1-EXP(-LN(2)/25))/(LN(2)/25)*Calculateur!FM104*Calculateur!FO104*VLOOKUP('Données projet'!$B$16,Paramètres!$A$1:$I$89,3,0)*0.475*44/12</f>
        <v>9.0787800472757123</v>
      </c>
      <c r="FS104" s="21">
        <f>EXP(-LN(2)/2)*FS103+(1-EXP(-LN(2)/2))/(LN(2)/2)*FM104*FP104*VLOOKUP('Données projet'!$B$16,Paramètres!$A$1:$I$89,3,0)*0.475*44/12</f>
        <v>2.9919770954569942E-2</v>
      </c>
      <c r="FT104" s="22">
        <f t="shared" si="78"/>
        <v>12.868442533444345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862.77742166445023</v>
      </c>
      <c r="S105" s="59">
        <f ca="1">AVERAGE(OFFSET($R$3,0,0,'Données projet'!$E$9+1,1))-AVERAGE(OFFSET($H$3,0,0,'Données projet'!$E$9+1,1))</f>
        <v>384.05928630855732</v>
      </c>
      <c r="T105" s="59">
        <f t="shared" si="88"/>
        <v>279.93992813630513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304.99999999999983</v>
      </c>
      <c r="AJ105" s="13">
        <f>AI105*VLOOKUP('Données projet'!$B$10,Paramètres!$A$1:$I$89,3,0)*VLOOKUP('Données projet'!$B$10,Paramètres!$A$1:$I$89,5,0)</f>
        <v>275.96399999999983</v>
      </c>
      <c r="AK105" s="13">
        <f t="shared" si="89"/>
        <v>66.113366665488854</v>
      </c>
      <c r="AL105" s="20">
        <f t="shared" si="58"/>
        <v>595.78474694239264</v>
      </c>
      <c r="AM105" s="59">
        <f t="shared" si="59"/>
        <v>889.11808027572602</v>
      </c>
      <c r="AN105" s="59">
        <f ca="1">AVERAGE(OFFSET($AM$3,0,0,'Données projet'!$E$10+1,1))-AVERAGE(OFFSET($H$3,0,0,'Données projet'!$E$10+1,1))</f>
        <v>366.69125512029831</v>
      </c>
      <c r="AO105" s="59">
        <f t="shared" si="90"/>
        <v>513.80016421153414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0.38837505567863562</v>
      </c>
      <c r="AV105" s="21">
        <f>EXP(-LN(2)/25)*AV104+(1-EXP(-LN(2)/25))/(LN(2)/25)*Calculateur!AQ105*Calculateur!AS105*VLOOKUP('Données projet'!$B$10,Paramètres!$A$1:$I$89,3,0)*0.475*44/12</f>
        <v>1.0029210277578766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1.3912960834365122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212.28480000000002</v>
      </c>
      <c r="BF105" s="13">
        <f t="shared" si="91"/>
        <v>52.434557099704193</v>
      </c>
      <c r="BG105" s="20">
        <f t="shared" si="61"/>
        <v>461.05288028198476</v>
      </c>
      <c r="BH105" s="59">
        <f t="shared" si="62"/>
        <v>754.38621361531807</v>
      </c>
      <c r="BI105" s="59">
        <f ca="1">AVERAGE(OFFSET($BH$3,0,0,'Données projet'!$E$11+1,1))-AVERAGE(OFFSET($H$3,0,0,'Données projet'!$E$11+1,1))</f>
        <v>354.24684313982857</v>
      </c>
      <c r="BJ105" s="59">
        <f t="shared" si="92"/>
        <v>322.65043486962185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26.194118202940057</v>
      </c>
      <c r="BQ105" s="21">
        <f>EXP(-LN(2)/25)*BQ104+(1-EXP(-LN(2)/25))/(LN(2)/25)*Calculateur!BL105*Calculateur!BN105*VLOOKUP('Données projet'!$B$11,Paramètres!$A$1:$I$89,3,0)*0.475*44/12</f>
        <v>14.087301667434538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40.281419870374592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6.9935897435897401</v>
      </c>
      <c r="BY105" s="12">
        <f>IF('Données projet'!$A$114&gt;35,BY104+BX105-CG104,IF(A105&lt;'Données projet'!$A$114,$BV$205^A105,IF(A105='Données projet'!$A$114,'Données projet'!$B$114,BY104+BX105-CG104)))</f>
        <v>291.21153846153891</v>
      </c>
      <c r="BZ105" s="13">
        <f>BY105*VLOOKUP('Données projet'!$B$12,Paramètres!$A$1:$I$89,3,0)*VLOOKUP('Données projet'!$B$12,Paramètres!$A$1:$I$89,5,0)</f>
        <v>281.65980000000042</v>
      </c>
      <c r="CA105" s="13">
        <f t="shared" si="93"/>
        <v>67.317651586985107</v>
      </c>
      <c r="CB105" s="20">
        <f t="shared" si="64"/>
        <v>607.80239484733306</v>
      </c>
      <c r="CC105" s="59">
        <f t="shared" si="65"/>
        <v>901.13572818066632</v>
      </c>
      <c r="CD105" s="59">
        <f ca="1">AVERAGE(OFFSET($CC$3,0,0,'Données projet'!$E$12+1,1))-AVERAGE(OFFSET($H$3,0,0,'Données projet'!$E$12+1,1))</f>
        <v>407.73540492005355</v>
      </c>
      <c r="CE105" s="59">
        <f t="shared" si="94"/>
        <v>296.29416764204774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49.503470066140679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49.503470066140679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266.99999999999983</v>
      </c>
      <c r="CU105" s="17">
        <f>CT105*VLOOKUP('Données projet'!$B$13,Paramètres!$A$1:$I$89,3,0)*VLOOKUP('Données projet'!$B$13,Paramètres!$A$1:$I$89,5,0)</f>
        <v>212.42519999999985</v>
      </c>
      <c r="CV105" s="13">
        <f t="shared" si="95"/>
        <v>52.465198231787184</v>
      </c>
      <c r="CW105" s="20">
        <f t="shared" si="67"/>
        <v>461.35077692036231</v>
      </c>
      <c r="CX105" s="59">
        <f t="shared" si="68"/>
        <v>754.68411025369562</v>
      </c>
      <c r="CY105" s="59">
        <f ca="1">AVERAGE(OFFSET($CX$3,0,0,'Données projet'!$E$13+1,1))-AVERAGE(OFFSET($H$3,0,0,'Données projet'!$E$13+1,1))</f>
        <v>299.10536994156814</v>
      </c>
      <c r="CZ105" s="59">
        <f t="shared" si="96"/>
        <v>292.57799203101769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18.622704565747558</v>
      </c>
      <c r="DG105" s="21">
        <f>EXP(-LN(2)/25)*DG104+(1-EXP(-LN(2)/25))/(LN(2)/25)*Calculateur!DB105*Calculateur!DD105*VLOOKUP('Données projet'!$B$13,Paramètres!$A$1:$I$89,3,0)*0.475*44/12</f>
        <v>4.5256639823395339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23.148368548087092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266.99999999999983</v>
      </c>
      <c r="DP105" s="17">
        <f>DO105*VLOOKUP('Données projet'!$B$14,Paramètres!$A$1:$I$89,3,0)*VLOOKUP('Données projet'!$B$14,Paramètres!$A$1:$I$89,5,0)</f>
        <v>212.42519999999985</v>
      </c>
      <c r="DQ105" s="13">
        <f t="shared" si="97"/>
        <v>52.465198231787184</v>
      </c>
      <c r="DR105" s="20">
        <f t="shared" si="70"/>
        <v>461.35077692036231</v>
      </c>
      <c r="DS105" s="59">
        <f t="shared" si="71"/>
        <v>754.68411025369562</v>
      </c>
      <c r="DT105" s="59">
        <f ca="1">AVERAGE(OFFSET($DS$3,0,0,'Données projet'!$E$14+1,1))-AVERAGE(OFFSET($H$3,0,0,'Données projet'!$E$14+1,1))</f>
        <v>299.10536994156814</v>
      </c>
      <c r="DU105" s="59">
        <f t="shared" si="98"/>
        <v>292.57799203101769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18.622704565747558</v>
      </c>
      <c r="EB105" s="21">
        <f>EXP(-LN(2)/25)*EB104+(1-EXP(-LN(2)/25))/(LN(2)/25)*Calculateur!DW105*Calculateur!DY105*VLOOKUP('Données projet'!$B$14,Paramètres!$A$1:$I$89,3,0)*0.475*44/12</f>
        <v>4.5256639823395339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23.148368548087092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204.00000000000017</v>
      </c>
      <c r="EK105" s="17">
        <f>EJ105*VLOOKUP('Données projet'!$B$15,Paramètres!$A$1:$I$89,3,0)*VLOOKUP('Données projet'!$B$15,Paramètres!$A$1:$I$89,5,0)</f>
        <v>133.66080000000011</v>
      </c>
      <c r="EL105" s="13">
        <f t="shared" si="99"/>
        <v>34.840890682716783</v>
      </c>
      <c r="EM105" s="20">
        <f t="shared" si="73"/>
        <v>293.4737779390652</v>
      </c>
      <c r="EN105" s="59">
        <f t="shared" si="74"/>
        <v>586.80711127239852</v>
      </c>
      <c r="EO105" s="59">
        <f ca="1">AVERAGE(OFFSET($EN$3,0,0,'Données projet'!$E$15+1,1))-AVERAGE(OFFSET($H$3,0,0,'Données projet'!$E$15+1,1))</f>
        <v>230.58262378842818</v>
      </c>
      <c r="EP105" s="59">
        <f t="shared" si="100"/>
        <v>235.68746142880792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1.505683295557771</v>
      </c>
      <c r="EW105" s="21">
        <f>EXP(-LN(2)/25)*EW104+(1-EXP(-LN(2)/25))/(LN(2)/25)*Calculateur!ER105*Calculateur!ET105*VLOOKUP('Données projet'!$B$15,Paramètres!$A$1:$I$89,3,0)*0.475*44/12</f>
        <v>7.734874152333397</v>
      </c>
      <c r="EX105" s="21">
        <f>EXP(-LN(2)/2)*EX104+(1-EXP(-LN(2)/2))/(LN(2)/2)*ER105*EU105*VLOOKUP('Données projet'!$B$15,Paramètres!$A$1:$I$89,3,0)*0.475*44/12</f>
        <v>4.6516854173170211E-2</v>
      </c>
      <c r="EY105" s="22">
        <f t="shared" si="75"/>
        <v>9.2870743020643385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234.00000000000003</v>
      </c>
      <c r="FF105" s="17">
        <f>FE105*VLOOKUP('Données projet'!$B$16,Paramètres!$A$1:$I$89,3,0)*VLOOKUP('Données projet'!$B$16,Paramètres!$A$1:$I$89,5,0)</f>
        <v>189.82080000000005</v>
      </c>
      <c r="FG105" s="13">
        <f t="shared" si="101"/>
        <v>47.500332100049796</v>
      </c>
      <c r="FH105" s="20">
        <f t="shared" si="76"/>
        <v>413.33430507425345</v>
      </c>
      <c r="FI105" s="59">
        <f t="shared" si="77"/>
        <v>706.66763840758676</v>
      </c>
      <c r="FJ105" s="59">
        <f ca="1">AVERAGE(OFFSET($FI$3,0,0,'Données projet'!$E$16+1,1))-AVERAGE(OFFSET($H$3,0,0,'Données projet'!$E$16+1,1))</f>
        <v>272.90535195666996</v>
      </c>
      <c r="FK105" s="59">
        <f t="shared" si="102"/>
        <v>222.25422164416898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3.6860164537853359</v>
      </c>
      <c r="FR105" s="21">
        <f>EXP(-LN(2)/25)*FR104+(1-EXP(-LN(2)/25))/(LN(2)/25)*Calculateur!FM105*Calculateur!FO105*VLOOKUP('Données projet'!$B$16,Paramètres!$A$1:$I$89,3,0)*0.475*44/12</f>
        <v>8.8305203294506658</v>
      </c>
      <c r="FS105" s="21">
        <f>EXP(-LN(2)/2)*FS104+(1-EXP(-LN(2)/2))/(LN(2)/2)*FM105*FP105*VLOOKUP('Données projet'!$B$16,Paramètres!$A$1:$I$89,3,0)*0.475*44/12</f>
        <v>2.1156472933524708E-2</v>
      </c>
      <c r="FT105" s="22">
        <f t="shared" si="78"/>
        <v>12.537693256169527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876.14066353012754</v>
      </c>
      <c r="S106" s="59">
        <f ca="1">AVERAGE(OFFSET($R$3,0,0,'Données projet'!$E$9+1,1))-AVERAGE(OFFSET($H$3,0,0,'Données projet'!$E$9+1,1))</f>
        <v>384.05928630855732</v>
      </c>
      <c r="T106" s="59">
        <f t="shared" si="88"/>
        <v>279.93992813630513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304.99999999999983</v>
      </c>
      <c r="AJ106" s="13">
        <f>AI106*VLOOKUP('Données projet'!$B$10,Paramètres!$A$1:$I$89,3,0)*VLOOKUP('Données projet'!$B$10,Paramètres!$A$1:$I$89,5,0)</f>
        <v>275.96399999999983</v>
      </c>
      <c r="AK106" s="13">
        <f t="shared" si="89"/>
        <v>66.113366665488854</v>
      </c>
      <c r="AL106" s="20">
        <f t="shared" si="58"/>
        <v>595.78474694239264</v>
      </c>
      <c r="AM106" s="59">
        <f t="shared" si="59"/>
        <v>889.11808027572602</v>
      </c>
      <c r="AN106" s="59">
        <f ca="1">AVERAGE(OFFSET($AM$3,0,0,'Données projet'!$E$10+1,1))-AVERAGE(OFFSET($H$3,0,0,'Données projet'!$E$10+1,1))</f>
        <v>366.69125512029831</v>
      </c>
      <c r="AO106" s="59">
        <f t="shared" si="90"/>
        <v>513.80016421153414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0.38075925772217106</v>
      </c>
      <c r="AV106" s="21">
        <f>EXP(-LN(2)/25)*AV105+(1-EXP(-LN(2)/25))/(LN(2)/25)*Calculateur!AQ106*Calculateur!AS106*VLOOKUP('Données projet'!$B$10,Paramètres!$A$1:$I$89,3,0)*0.475*44/12</f>
        <v>0.97549609951251282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1.3562553572346838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212.28480000000002</v>
      </c>
      <c r="BF106" s="13">
        <f t="shared" si="91"/>
        <v>52.434557099704193</v>
      </c>
      <c r="BG106" s="20">
        <f t="shared" si="61"/>
        <v>461.05288028198476</v>
      </c>
      <c r="BH106" s="59">
        <f t="shared" si="62"/>
        <v>754.38621361531807</v>
      </c>
      <c r="BI106" s="59">
        <f ca="1">AVERAGE(OFFSET($BH$3,0,0,'Données projet'!$E$11+1,1))-AVERAGE(OFFSET($H$3,0,0,'Données projet'!$E$11+1,1))</f>
        <v>354.24684313982857</v>
      </c>
      <c r="BJ106" s="59">
        <f t="shared" si="92"/>
        <v>322.65043486962185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25.680467521814926</v>
      </c>
      <c r="BQ106" s="21">
        <f>EXP(-LN(2)/25)*BQ105+(1-EXP(-LN(2)/25))/(LN(2)/25)*Calculateur!BL106*Calculateur!BN106*VLOOKUP('Données projet'!$B$11,Paramètres!$A$1:$I$89,3,0)*0.475*44/12</f>
        <v>13.702083662519543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39.382551184334467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6.9935897435897401</v>
      </c>
      <c r="BY106" s="12">
        <f>IF('Données projet'!$A$114&gt;35,BY105+BX106-CG105,IF(A106&lt;'Données projet'!$A$114,$BV$205^A106,IF(A106='Données projet'!$A$114,'Données projet'!$B$114,BY105+BX106-CG105)))</f>
        <v>298.20512820512863</v>
      </c>
      <c r="BZ106" s="13">
        <f>BY106*VLOOKUP('Données projet'!$B$12,Paramètres!$A$1:$I$89,3,0)*VLOOKUP('Données projet'!$B$12,Paramètres!$A$1:$I$89,5,0)</f>
        <v>288.42400000000038</v>
      </c>
      <c r="CA106" s="13">
        <f t="shared" si="93"/>
        <v>68.744159428336587</v>
      </c>
      <c r="CB106" s="20">
        <f t="shared" si="64"/>
        <v>622.06787767102014</v>
      </c>
      <c r="CC106" s="59">
        <f t="shared" si="65"/>
        <v>915.4012110043534</v>
      </c>
      <c r="CD106" s="59">
        <f ca="1">AVERAGE(OFFSET($CC$3,0,0,'Données projet'!$E$12+1,1))-AVERAGE(OFFSET($H$3,0,0,'Données projet'!$E$12+1,1))</f>
        <v>407.73540492005355</v>
      </c>
      <c r="CE106" s="59">
        <f t="shared" si="94"/>
        <v>296.29416764204774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48.532737212278974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48.532737212278974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266.99999999999983</v>
      </c>
      <c r="CU106" s="17">
        <f>CT106*VLOOKUP('Données projet'!$B$13,Paramètres!$A$1:$I$89,3,0)*VLOOKUP('Données projet'!$B$13,Paramètres!$A$1:$I$89,5,0)</f>
        <v>212.42519999999985</v>
      </c>
      <c r="CV106" s="13">
        <f t="shared" si="95"/>
        <v>52.465198231787184</v>
      </c>
      <c r="CW106" s="20">
        <f t="shared" si="67"/>
        <v>461.35077692036231</v>
      </c>
      <c r="CX106" s="59">
        <f t="shared" si="68"/>
        <v>754.68411025369562</v>
      </c>
      <c r="CY106" s="59">
        <f ca="1">AVERAGE(OFFSET($CX$3,0,0,'Données projet'!$E$13+1,1))-AVERAGE(OFFSET($H$3,0,0,'Données projet'!$E$13+1,1))</f>
        <v>299.10536994156814</v>
      </c>
      <c r="CZ106" s="59">
        <f t="shared" si="96"/>
        <v>292.57799203101769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18.257524687941451</v>
      </c>
      <c r="DG106" s="21">
        <f>EXP(-LN(2)/25)*DG105+(1-EXP(-LN(2)/25))/(LN(2)/25)*Calculateur!DB106*Calculateur!DD106*VLOOKUP('Données projet'!$B$13,Paramètres!$A$1:$I$89,3,0)*0.475*44/12</f>
        <v>4.4019094627481339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22.659434150689584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266.99999999999983</v>
      </c>
      <c r="DP106" s="17">
        <f>DO106*VLOOKUP('Données projet'!$B$14,Paramètres!$A$1:$I$89,3,0)*VLOOKUP('Données projet'!$B$14,Paramètres!$A$1:$I$89,5,0)</f>
        <v>212.42519999999985</v>
      </c>
      <c r="DQ106" s="13">
        <f t="shared" si="97"/>
        <v>52.465198231787184</v>
      </c>
      <c r="DR106" s="20">
        <f t="shared" si="70"/>
        <v>461.35077692036231</v>
      </c>
      <c r="DS106" s="59">
        <f t="shared" si="71"/>
        <v>754.68411025369562</v>
      </c>
      <c r="DT106" s="59">
        <f ca="1">AVERAGE(OFFSET($DS$3,0,0,'Données projet'!$E$14+1,1))-AVERAGE(OFFSET($H$3,0,0,'Données projet'!$E$14+1,1))</f>
        <v>299.10536994156814</v>
      </c>
      <c r="DU106" s="59">
        <f t="shared" si="98"/>
        <v>292.57799203101769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18.257524687941451</v>
      </c>
      <c r="EB106" s="21">
        <f>EXP(-LN(2)/25)*EB105+(1-EXP(-LN(2)/25))/(LN(2)/25)*Calculateur!DW106*Calculateur!DY106*VLOOKUP('Données projet'!$B$14,Paramètres!$A$1:$I$89,3,0)*0.475*44/12</f>
        <v>4.4019094627481339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22.659434150689584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204.00000000000017</v>
      </c>
      <c r="EK106" s="17">
        <f>EJ106*VLOOKUP('Données projet'!$B$15,Paramètres!$A$1:$I$89,3,0)*VLOOKUP('Données projet'!$B$15,Paramètres!$A$1:$I$89,5,0)</f>
        <v>133.66080000000011</v>
      </c>
      <c r="EL106" s="13">
        <f t="shared" si="99"/>
        <v>34.840890682716783</v>
      </c>
      <c r="EM106" s="20">
        <f t="shared" si="73"/>
        <v>293.4737779390652</v>
      </c>
      <c r="EN106" s="59">
        <f t="shared" si="74"/>
        <v>586.80711127239852</v>
      </c>
      <c r="EO106" s="59">
        <f ca="1">AVERAGE(OFFSET($EN$3,0,0,'Données projet'!$E$15+1,1))-AVERAGE(OFFSET($H$3,0,0,'Données projet'!$E$15+1,1))</f>
        <v>230.58262378842818</v>
      </c>
      <c r="EP106" s="59">
        <f t="shared" si="100"/>
        <v>235.68746142880792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1.4761577645080113</v>
      </c>
      <c r="EW106" s="21">
        <f>EXP(-LN(2)/25)*EW105+(1-EXP(-LN(2)/25))/(LN(2)/25)*Calculateur!ER106*Calculateur!ET106*VLOOKUP('Données projet'!$B$15,Paramètres!$A$1:$I$89,3,0)*0.475*44/12</f>
        <v>7.5233636118784872</v>
      </c>
      <c r="EX106" s="21">
        <f>EXP(-LN(2)/2)*EX105+(1-EXP(-LN(2)/2))/(LN(2)/2)*ER106*EU106*VLOOKUP('Données projet'!$B$15,Paramètres!$A$1:$I$89,3,0)*0.475*44/12</f>
        <v>3.2892383025314408E-2</v>
      </c>
      <c r="EY106" s="22">
        <f t="shared" si="75"/>
        <v>9.0324137594118135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234.00000000000003</v>
      </c>
      <c r="FF106" s="17">
        <f>FE106*VLOOKUP('Données projet'!$B$16,Paramètres!$A$1:$I$89,3,0)*VLOOKUP('Données projet'!$B$16,Paramètres!$A$1:$I$89,5,0)</f>
        <v>189.82080000000005</v>
      </c>
      <c r="FG106" s="13">
        <f t="shared" si="101"/>
        <v>47.500332100049796</v>
      </c>
      <c r="FH106" s="20">
        <f t="shared" si="76"/>
        <v>413.33430507425345</v>
      </c>
      <c r="FI106" s="59">
        <f t="shared" si="77"/>
        <v>706.66763840758676</v>
      </c>
      <c r="FJ106" s="59">
        <f ca="1">AVERAGE(OFFSET($FI$3,0,0,'Données projet'!$E$16+1,1))-AVERAGE(OFFSET($H$3,0,0,'Données projet'!$E$16+1,1))</f>
        <v>272.90535195666996</v>
      </c>
      <c r="FK106" s="59">
        <f t="shared" si="102"/>
        <v>222.25422164416898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3.6137359193746463</v>
      </c>
      <c r="FR106" s="21">
        <f>EXP(-LN(2)/25)*FR105+(1-EXP(-LN(2)/25))/(LN(2)/25)*Calculateur!FM106*Calculateur!FO106*VLOOKUP('Données projet'!$B$16,Paramètres!$A$1:$I$89,3,0)*0.475*44/12</f>
        <v>8.5890492866649559</v>
      </c>
      <c r="FS106" s="21">
        <f>EXP(-LN(2)/2)*FS105+(1-EXP(-LN(2)/2))/(LN(2)/2)*FM106*FP106*VLOOKUP('Données projet'!$B$16,Paramètres!$A$1:$I$89,3,0)*0.475*44/12</f>
        <v>1.4959885477284971E-2</v>
      </c>
      <c r="FT106" s="22">
        <f t="shared" si="78"/>
        <v>12.217745091516887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384.05928630855732</v>
      </c>
      <c r="T107" s="59">
        <f t="shared" si="88"/>
        <v>279.93992813630513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304.99999999999983</v>
      </c>
      <c r="AJ107" s="13">
        <f>AI107*VLOOKUP('Données projet'!$B$10,Paramètres!$A$1:$I$89,3,0)*VLOOKUP('Données projet'!$B$10,Paramètres!$A$1:$I$89,5,0)</f>
        <v>275.96399999999983</v>
      </c>
      <c r="AK107" s="13">
        <f t="shared" si="89"/>
        <v>66.113366665488854</v>
      </c>
      <c r="AL107" s="20">
        <f t="shared" si="58"/>
        <v>595.78474694239264</v>
      </c>
      <c r="AM107" s="59">
        <f t="shared" si="59"/>
        <v>889.11808027572602</v>
      </c>
      <c r="AN107" s="59">
        <f ca="1">AVERAGE(OFFSET($AM$3,0,0,'Données projet'!$E$10+1,1))-AVERAGE(OFFSET($H$3,0,0,'Données projet'!$E$10+1,1))</f>
        <v>366.69125512029831</v>
      </c>
      <c r="AO107" s="59">
        <f t="shared" si="90"/>
        <v>513.80016421153414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0.37329280091845468</v>
      </c>
      <c r="AV107" s="21">
        <f>EXP(-LN(2)/25)*AV106+(1-EXP(-LN(2)/25))/(LN(2)/25)*Calculateur!AQ107*Calculateur!AS107*VLOOKUP('Données projet'!$B$10,Paramètres!$A$1:$I$89,3,0)*0.475*44/12</f>
        <v>0.9488211073722328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1.3221139082906874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212.28480000000002</v>
      </c>
      <c r="BF107" s="13">
        <f t="shared" si="91"/>
        <v>52.434557099704193</v>
      </c>
      <c r="BG107" s="20">
        <f t="shared" si="61"/>
        <v>461.05288028198476</v>
      </c>
      <c r="BH107" s="59">
        <f t="shared" si="62"/>
        <v>754.38621361531807</v>
      </c>
      <c r="BI107" s="59">
        <f ca="1">AVERAGE(OFFSET($BH$3,0,0,'Données projet'!$E$11+1,1))-AVERAGE(OFFSET($H$3,0,0,'Données projet'!$E$11+1,1))</f>
        <v>354.24684313982857</v>
      </c>
      <c r="BJ107" s="59">
        <f t="shared" si="92"/>
        <v>322.65043486962185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25.176889217250679</v>
      </c>
      <c r="BQ107" s="21">
        <f>EXP(-LN(2)/25)*BQ106+(1-EXP(-LN(2)/25))/(LN(2)/25)*Calculateur!BL107*Calculateur!BN107*VLOOKUP('Données projet'!$B$11,Paramètres!$A$1:$I$89,3,0)*0.475*44/12</f>
        <v>13.327399464206684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38.504288681457361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6.9935897435897401</v>
      </c>
      <c r="BY107" s="12">
        <f>IF('Données projet'!$A$114&gt;35,BY106+BX107-CG106,IF(A107&lt;'Données projet'!$A$114,$BV$205^A107,IF(A107='Données projet'!$A$114,'Données projet'!$B$114,BY106+BX107-CG106)))</f>
        <v>305.19871794871835</v>
      </c>
      <c r="BZ107" s="13">
        <f>BY107*VLOOKUP('Données projet'!$B$12,Paramètres!$A$1:$I$89,3,0)*VLOOKUP('Données projet'!$B$12,Paramètres!$A$1:$I$89,5,0)</f>
        <v>295.18820000000039</v>
      </c>
      <c r="CA107" s="13">
        <f t="shared" si="93"/>
        <v>70.166778057637003</v>
      </c>
      <c r="CB107" s="20">
        <f t="shared" si="64"/>
        <v>636.32658678371843</v>
      </c>
      <c r="CC107" s="59">
        <f t="shared" si="65"/>
        <v>929.6599201170518</v>
      </c>
      <c r="CD107" s="59">
        <f ca="1">AVERAGE(OFFSET($CC$3,0,0,'Données projet'!$E$12+1,1))-AVERAGE(OFFSET($H$3,0,0,'Données projet'!$E$12+1,1))</f>
        <v>407.73540492005355</v>
      </c>
      <c r="CE107" s="59">
        <f t="shared" si="94"/>
        <v>296.29416764204774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47.581039837592925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47.581039837592925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266.99999999999983</v>
      </c>
      <c r="CU107" s="17">
        <f>CT107*VLOOKUP('Données projet'!$B$13,Paramètres!$A$1:$I$89,3,0)*VLOOKUP('Données projet'!$B$13,Paramètres!$A$1:$I$89,5,0)</f>
        <v>212.42519999999985</v>
      </c>
      <c r="CV107" s="13">
        <f t="shared" si="95"/>
        <v>52.465198231787184</v>
      </c>
      <c r="CW107" s="20">
        <f t="shared" si="67"/>
        <v>461.35077692036231</v>
      </c>
      <c r="CX107" s="59">
        <f t="shared" si="68"/>
        <v>754.68411025369562</v>
      </c>
      <c r="CY107" s="59">
        <f ca="1">AVERAGE(OFFSET($CX$3,0,0,'Données projet'!$E$13+1,1))-AVERAGE(OFFSET($H$3,0,0,'Données projet'!$E$13+1,1))</f>
        <v>299.10536994156814</v>
      </c>
      <c r="CZ107" s="59">
        <f t="shared" si="96"/>
        <v>292.57799203101769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17.89950576480139</v>
      </c>
      <c r="DG107" s="21">
        <f>EXP(-LN(2)/25)*DG106+(1-EXP(-LN(2)/25))/(LN(2)/25)*Calculateur!DB107*Calculateur!DD107*VLOOKUP('Données projet'!$B$13,Paramètres!$A$1:$I$89,3,0)*0.475*44/12</f>
        <v>4.2815390170029284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22.181044781804317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266.99999999999983</v>
      </c>
      <c r="DP107" s="17">
        <f>DO107*VLOOKUP('Données projet'!$B$14,Paramètres!$A$1:$I$89,3,0)*VLOOKUP('Données projet'!$B$14,Paramètres!$A$1:$I$89,5,0)</f>
        <v>212.42519999999985</v>
      </c>
      <c r="DQ107" s="13">
        <f t="shared" si="97"/>
        <v>52.465198231787184</v>
      </c>
      <c r="DR107" s="20">
        <f t="shared" si="70"/>
        <v>461.35077692036231</v>
      </c>
      <c r="DS107" s="59">
        <f t="shared" si="71"/>
        <v>754.68411025369562</v>
      </c>
      <c r="DT107" s="59">
        <f ca="1">AVERAGE(OFFSET($DS$3,0,0,'Données projet'!$E$14+1,1))-AVERAGE(OFFSET($H$3,0,0,'Données projet'!$E$14+1,1))</f>
        <v>299.10536994156814</v>
      </c>
      <c r="DU107" s="59">
        <f t="shared" si="98"/>
        <v>292.57799203101769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17.89950576480139</v>
      </c>
      <c r="EB107" s="21">
        <f>EXP(-LN(2)/25)*EB106+(1-EXP(-LN(2)/25))/(LN(2)/25)*Calculateur!DW107*Calculateur!DY107*VLOOKUP('Données projet'!$B$14,Paramètres!$A$1:$I$89,3,0)*0.475*44/12</f>
        <v>4.2815390170029284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22.181044781804317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204.00000000000017</v>
      </c>
      <c r="EK107" s="17">
        <f>EJ107*VLOOKUP('Données projet'!$B$15,Paramètres!$A$1:$I$89,3,0)*VLOOKUP('Données projet'!$B$15,Paramètres!$A$1:$I$89,5,0)</f>
        <v>133.66080000000011</v>
      </c>
      <c r="EL107" s="13">
        <f t="shared" si="99"/>
        <v>34.840890682716783</v>
      </c>
      <c r="EM107" s="20">
        <f t="shared" si="73"/>
        <v>293.4737779390652</v>
      </c>
      <c r="EN107" s="59">
        <f t="shared" si="74"/>
        <v>586.80711127239852</v>
      </c>
      <c r="EO107" s="59">
        <f ca="1">AVERAGE(OFFSET($EN$3,0,0,'Données projet'!$E$15+1,1))-AVERAGE(OFFSET($H$3,0,0,'Données projet'!$E$15+1,1))</f>
        <v>230.58262378842818</v>
      </c>
      <c r="EP107" s="59">
        <f t="shared" si="100"/>
        <v>235.68746142880792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1.4472112111133417</v>
      </c>
      <c r="EW107" s="21">
        <f>EXP(-LN(2)/25)*EW106+(1-EXP(-LN(2)/25))/(LN(2)/25)*Calculateur!ER107*Calculateur!ET107*VLOOKUP('Données projet'!$B$15,Paramètres!$A$1:$I$89,3,0)*0.475*44/12</f>
        <v>7.3176368382751722</v>
      </c>
      <c r="EX107" s="21">
        <f>EXP(-LN(2)/2)*EX106+(1-EXP(-LN(2)/2))/(LN(2)/2)*ER107*EU107*VLOOKUP('Données projet'!$B$15,Paramètres!$A$1:$I$89,3,0)*0.475*44/12</f>
        <v>2.3258427086585105E-2</v>
      </c>
      <c r="EY107" s="22">
        <f t="shared" si="75"/>
        <v>8.7881064764750985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234.00000000000003</v>
      </c>
      <c r="FF107" s="17">
        <f>FE107*VLOOKUP('Données projet'!$B$16,Paramètres!$A$1:$I$89,3,0)*VLOOKUP('Données projet'!$B$16,Paramètres!$A$1:$I$89,5,0)</f>
        <v>189.82080000000005</v>
      </c>
      <c r="FG107" s="13">
        <f t="shared" si="101"/>
        <v>47.500332100049796</v>
      </c>
      <c r="FH107" s="20">
        <f t="shared" si="76"/>
        <v>413.33430507425345</v>
      </c>
      <c r="FI107" s="59">
        <f t="shared" si="77"/>
        <v>706.66763840758676</v>
      </c>
      <c r="FJ107" s="59">
        <f ca="1">AVERAGE(OFFSET($FI$3,0,0,'Données projet'!$E$16+1,1))-AVERAGE(OFFSET($H$3,0,0,'Données projet'!$E$16+1,1))</f>
        <v>272.90535195666996</v>
      </c>
      <c r="FK107" s="59">
        <f t="shared" si="102"/>
        <v>222.25422164416898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3.5428727621569776</v>
      </c>
      <c r="FR107" s="21">
        <f>EXP(-LN(2)/25)*FR106+(1-EXP(-LN(2)/25))/(LN(2)/25)*Calculateur!FM107*Calculateur!FO107*VLOOKUP('Données projet'!$B$16,Paramètres!$A$1:$I$89,3,0)*0.475*44/12</f>
        <v>8.3541812822426316</v>
      </c>
      <c r="FS107" s="21">
        <f>EXP(-LN(2)/2)*FS106+(1-EXP(-LN(2)/2))/(LN(2)/2)*FM107*FP107*VLOOKUP('Données projet'!$B$16,Paramètres!$A$1:$I$89,3,0)*0.475*44/12</f>
        <v>1.0578236466762354E-2</v>
      </c>
      <c r="FT107" s="22">
        <f t="shared" si="78"/>
        <v>11.907632280866371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902.84815220300129</v>
      </c>
      <c r="S108" s="59">
        <f ca="1">AVERAGE(OFFSET($R$3,0,0,'Données projet'!$E$9+1,1))-AVERAGE(OFFSET($H$3,0,0,'Données projet'!$E$9+1,1))</f>
        <v>384.05928630855732</v>
      </c>
      <c r="T108" s="59">
        <f t="shared" si="88"/>
        <v>279.93992813630513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304.99999999999983</v>
      </c>
      <c r="AJ108" s="13">
        <f>AI108*VLOOKUP('Données projet'!$B$10,Paramètres!$A$1:$I$89,3,0)*VLOOKUP('Données projet'!$B$10,Paramètres!$A$1:$I$89,5,0)</f>
        <v>275.96399999999983</v>
      </c>
      <c r="AK108" s="13">
        <f t="shared" si="89"/>
        <v>66.113366665488854</v>
      </c>
      <c r="AL108" s="20">
        <f t="shared" si="58"/>
        <v>595.78474694239264</v>
      </c>
      <c r="AM108" s="59">
        <f t="shared" si="59"/>
        <v>889.11808027572602</v>
      </c>
      <c r="AN108" s="59">
        <f ca="1">AVERAGE(OFFSET($AM$3,0,0,'Données projet'!$E$10+1,1))-AVERAGE(OFFSET($H$3,0,0,'Données projet'!$E$10+1,1))</f>
        <v>366.69125512029831</v>
      </c>
      <c r="AO108" s="59">
        <f t="shared" si="90"/>
        <v>513.80016421153414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0.36597275677857022</v>
      </c>
      <c r="AV108" s="21">
        <f>EXP(-LN(2)/25)*AV107+(1-EXP(-LN(2)/25))/(LN(2)/25)*Calculateur!AQ108*Calculateur!AS108*VLOOKUP('Données projet'!$B$10,Paramètres!$A$1:$I$89,3,0)*0.475*44/12</f>
        <v>0.92287554429480556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1.2888483010733758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212.28480000000002</v>
      </c>
      <c r="BF108" s="13">
        <f t="shared" si="91"/>
        <v>52.434557099704193</v>
      </c>
      <c r="BG108" s="20">
        <f t="shared" si="61"/>
        <v>461.05288028198476</v>
      </c>
      <c r="BH108" s="59">
        <f t="shared" si="62"/>
        <v>754.38621361531807</v>
      </c>
      <c r="BI108" s="59">
        <f ca="1">AVERAGE(OFFSET($BH$3,0,0,'Données projet'!$E$11+1,1))-AVERAGE(OFFSET($H$3,0,0,'Données projet'!$E$11+1,1))</f>
        <v>354.24684313982857</v>
      </c>
      <c r="BJ108" s="59">
        <f t="shared" si="92"/>
        <v>322.65043486962185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24.6831857760865</v>
      </c>
      <c r="BQ108" s="21">
        <f>EXP(-LN(2)/25)*BQ107+(1-EXP(-LN(2)/25))/(LN(2)/25)*Calculateur!BL108*Calculateur!BN108*VLOOKUP('Données projet'!$B$11,Paramètres!$A$1:$I$89,3,0)*0.475*44/12</f>
        <v>12.962961025000475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37.646146801086971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6.9935897435897401</v>
      </c>
      <c r="BY108" s="12">
        <f>IF('Données projet'!$A$114&gt;35,BY107+BX108-CG107,IF(A108&lt;'Données projet'!$A$114,$BV$205^A108,IF(A108='Données projet'!$A$114,'Données projet'!$B$114,BY107+BX108-CG107)))</f>
        <v>312.19230769230808</v>
      </c>
      <c r="BZ108" s="13">
        <f>BY108*VLOOKUP('Données projet'!$B$12,Paramètres!$A$1:$I$89,3,0)*VLOOKUP('Données projet'!$B$12,Paramètres!$A$1:$I$89,5,0)</f>
        <v>301.95240000000035</v>
      </c>
      <c r="CA108" s="13">
        <f t="shared" si="93"/>
        <v>71.585606854350786</v>
      </c>
      <c r="CB108" s="20">
        <f t="shared" si="64"/>
        <v>650.57869527132823</v>
      </c>
      <c r="CC108" s="59">
        <f t="shared" si="65"/>
        <v>943.9120286046616</v>
      </c>
      <c r="CD108" s="59">
        <f ca="1">AVERAGE(OFFSET($CC$3,0,0,'Données projet'!$E$12+1,1))-AVERAGE(OFFSET($H$3,0,0,'Données projet'!$E$12+1,1))</f>
        <v>407.73540492005355</v>
      </c>
      <c r="CE108" s="59">
        <f t="shared" si="94"/>
        <v>296.29416764204774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46.648004667946388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46.648004667946388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266.99999999999983</v>
      </c>
      <c r="CU108" s="17">
        <f>CT108*VLOOKUP('Données projet'!$B$13,Paramètres!$A$1:$I$89,3,0)*VLOOKUP('Données projet'!$B$13,Paramètres!$A$1:$I$89,5,0)</f>
        <v>212.42519999999985</v>
      </c>
      <c r="CV108" s="13">
        <f t="shared" si="95"/>
        <v>52.465198231787184</v>
      </c>
      <c r="CW108" s="20">
        <f t="shared" si="67"/>
        <v>461.35077692036231</v>
      </c>
      <c r="CX108" s="59">
        <f t="shared" si="68"/>
        <v>754.68411025369562</v>
      </c>
      <c r="CY108" s="59">
        <f ca="1">AVERAGE(OFFSET($CX$3,0,0,'Données projet'!$E$13+1,1))-AVERAGE(OFFSET($H$3,0,0,'Données projet'!$E$13+1,1))</f>
        <v>299.10536994156814</v>
      </c>
      <c r="CZ108" s="59">
        <f t="shared" si="96"/>
        <v>292.57799203101769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17.548507374374125</v>
      </c>
      <c r="DG108" s="21">
        <f>EXP(-LN(2)/25)*DG107+(1-EXP(-LN(2)/25))/(LN(2)/25)*Calculateur!DB108*Calculateur!DD108*VLOOKUP('Données projet'!$B$13,Paramètres!$A$1:$I$89,3,0)*0.475*44/12</f>
        <v>4.1644601074266321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21.712967481800757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266.99999999999983</v>
      </c>
      <c r="DP108" s="17">
        <f>DO108*VLOOKUP('Données projet'!$B$14,Paramètres!$A$1:$I$89,3,0)*VLOOKUP('Données projet'!$B$14,Paramètres!$A$1:$I$89,5,0)</f>
        <v>212.42519999999985</v>
      </c>
      <c r="DQ108" s="13">
        <f t="shared" si="97"/>
        <v>52.465198231787184</v>
      </c>
      <c r="DR108" s="20">
        <f t="shared" si="70"/>
        <v>461.35077692036231</v>
      </c>
      <c r="DS108" s="59">
        <f t="shared" si="71"/>
        <v>754.68411025369562</v>
      </c>
      <c r="DT108" s="59">
        <f ca="1">AVERAGE(OFFSET($DS$3,0,0,'Données projet'!$E$14+1,1))-AVERAGE(OFFSET($H$3,0,0,'Données projet'!$E$14+1,1))</f>
        <v>299.10536994156814</v>
      </c>
      <c r="DU108" s="59">
        <f t="shared" si="98"/>
        <v>292.57799203101769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17.548507374374125</v>
      </c>
      <c r="EB108" s="21">
        <f>EXP(-LN(2)/25)*EB107+(1-EXP(-LN(2)/25))/(LN(2)/25)*Calculateur!DW108*Calculateur!DY108*VLOOKUP('Données projet'!$B$14,Paramètres!$A$1:$I$89,3,0)*0.475*44/12</f>
        <v>4.1644601074266321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21.712967481800757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204.00000000000017</v>
      </c>
      <c r="EK108" s="17">
        <f>EJ108*VLOOKUP('Données projet'!$B$15,Paramètres!$A$1:$I$89,3,0)*VLOOKUP('Données projet'!$B$15,Paramètres!$A$1:$I$89,5,0)</f>
        <v>133.66080000000011</v>
      </c>
      <c r="EL108" s="13">
        <f t="shared" si="99"/>
        <v>34.840890682716783</v>
      </c>
      <c r="EM108" s="20">
        <f t="shared" si="73"/>
        <v>293.4737779390652</v>
      </c>
      <c r="EN108" s="59">
        <f t="shared" si="74"/>
        <v>586.80711127239852</v>
      </c>
      <c r="EO108" s="59">
        <f ca="1">AVERAGE(OFFSET($EN$3,0,0,'Données projet'!$E$15+1,1))-AVERAGE(OFFSET($H$3,0,0,'Données projet'!$E$15+1,1))</f>
        <v>230.58262378842818</v>
      </c>
      <c r="EP108" s="59">
        <f t="shared" si="100"/>
        <v>235.68746142880792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1.4188322819750874</v>
      </c>
      <c r="EW108" s="21">
        <f>EXP(-LN(2)/25)*EW107+(1-EXP(-LN(2)/25))/(LN(2)/25)*Calculateur!ER108*Calculateur!ET108*VLOOKUP('Données projet'!$B$15,Paramètres!$A$1:$I$89,3,0)*0.475*44/12</f>
        <v>7.1175356741147411</v>
      </c>
      <c r="EX108" s="21">
        <f>EXP(-LN(2)/2)*EX107+(1-EXP(-LN(2)/2))/(LN(2)/2)*ER108*EU108*VLOOKUP('Données projet'!$B$15,Paramètres!$A$1:$I$89,3,0)*0.475*44/12</f>
        <v>1.6446191512657204E-2</v>
      </c>
      <c r="EY108" s="22">
        <f t="shared" si="75"/>
        <v>8.5528141476024846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234.00000000000003</v>
      </c>
      <c r="FF108" s="17">
        <f>FE108*VLOOKUP('Données projet'!$B$16,Paramètres!$A$1:$I$89,3,0)*VLOOKUP('Données projet'!$B$16,Paramètres!$A$1:$I$89,5,0)</f>
        <v>189.82080000000005</v>
      </c>
      <c r="FG108" s="13">
        <f t="shared" si="101"/>
        <v>47.500332100049796</v>
      </c>
      <c r="FH108" s="20">
        <f t="shared" si="76"/>
        <v>413.33430507425345</v>
      </c>
      <c r="FI108" s="59">
        <f t="shared" si="77"/>
        <v>706.66763840758676</v>
      </c>
      <c r="FJ108" s="59">
        <f ca="1">AVERAGE(OFFSET($FI$3,0,0,'Données projet'!$E$16+1,1))-AVERAGE(OFFSET($H$3,0,0,'Données projet'!$E$16+1,1))</f>
        <v>272.90535195666996</v>
      </c>
      <c r="FK108" s="59">
        <f t="shared" si="102"/>
        <v>222.25422164416898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3.473399188230089</v>
      </c>
      <c r="FR108" s="21">
        <f>EXP(-LN(2)/25)*FR107+(1-EXP(-LN(2)/25))/(LN(2)/25)*Calculateur!FM108*Calculateur!FO108*VLOOKUP('Données projet'!$B$16,Paramètres!$A$1:$I$89,3,0)*0.475*44/12</f>
        <v>8.125735755752407</v>
      </c>
      <c r="FS108" s="21">
        <f>EXP(-LN(2)/2)*FS107+(1-EXP(-LN(2)/2))/(LN(2)/2)*FM108*FP108*VLOOKUP('Données projet'!$B$16,Paramètres!$A$1:$I$89,3,0)*0.475*44/12</f>
        <v>7.4799427386424856E-3</v>
      </c>
      <c r="FT108" s="22">
        <f t="shared" si="78"/>
        <v>11.606614886721138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916.19271764365703</v>
      </c>
      <c r="S109" s="59">
        <f ca="1">AVERAGE(OFFSET($R$3,0,0,'Données projet'!$E$9+1,1))-AVERAGE(OFFSET($H$3,0,0,'Données projet'!$E$9+1,1))</f>
        <v>384.05928630855732</v>
      </c>
      <c r="T109" s="59">
        <f t="shared" si="88"/>
        <v>279.93992813630513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304.99999999999983</v>
      </c>
      <c r="AJ109" s="13">
        <f>AI109*VLOOKUP('Données projet'!$B$10,Paramètres!$A$1:$I$89,3,0)*VLOOKUP('Données projet'!$B$10,Paramètres!$A$1:$I$89,5,0)</f>
        <v>275.96399999999983</v>
      </c>
      <c r="AK109" s="13">
        <f t="shared" si="89"/>
        <v>66.113366665488854</v>
      </c>
      <c r="AL109" s="20">
        <f t="shared" si="58"/>
        <v>595.78474694239264</v>
      </c>
      <c r="AM109" s="59">
        <f t="shared" si="59"/>
        <v>889.11808027572602</v>
      </c>
      <c r="AN109" s="59">
        <f ca="1">AVERAGE(OFFSET($AM$3,0,0,'Données projet'!$E$10+1,1))-AVERAGE(OFFSET($H$3,0,0,'Données projet'!$E$10+1,1))</f>
        <v>366.69125512029831</v>
      </c>
      <c r="AO109" s="59">
        <f t="shared" si="90"/>
        <v>513.80016421153414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0.3587962542394828</v>
      </c>
      <c r="AV109" s="21">
        <f>EXP(-LN(2)/25)*AV108+(1-EXP(-LN(2)/25))/(LN(2)/25)*Calculateur!AQ109*Calculateur!AS109*VLOOKUP('Données projet'!$B$10,Paramètres!$A$1:$I$89,3,0)*0.475*44/12</f>
        <v>0.89763946400414851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1.2564357182436314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212.28480000000002</v>
      </c>
      <c r="BF109" s="13">
        <f t="shared" si="91"/>
        <v>52.434557099704193</v>
      </c>
      <c r="BG109" s="20">
        <f t="shared" si="61"/>
        <v>461.05288028198476</v>
      </c>
      <c r="BH109" s="59">
        <f t="shared" si="62"/>
        <v>754.38621361531807</v>
      </c>
      <c r="BI109" s="59">
        <f ca="1">AVERAGE(OFFSET($BH$3,0,0,'Données projet'!$E$11+1,1))-AVERAGE(OFFSET($H$3,0,0,'Données projet'!$E$11+1,1))</f>
        <v>354.24684313982857</v>
      </c>
      <c r="BJ109" s="59">
        <f t="shared" si="92"/>
        <v>322.65043486962185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24.199163558274183</v>
      </c>
      <c r="BQ109" s="21">
        <f>EXP(-LN(2)/25)*BQ108+(1-EXP(-LN(2)/25))/(LN(2)/25)*Calculateur!BL109*Calculateur!BN109*VLOOKUP('Données projet'!$B$11,Paramètres!$A$1:$I$89,3,0)*0.475*44/12</f>
        <v>12.608488174079344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36.807651732353527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6.9935897435897401</v>
      </c>
      <c r="BY109" s="12">
        <f>IF('Données projet'!$A$114&gt;35,BY108+BX109-CG108,IF(A109&lt;'Données projet'!$A$114,$BV$205^A109,IF(A109='Données projet'!$A$114,'Données projet'!$B$114,BY108+BX109-CG108)))</f>
        <v>319.1858974358978</v>
      </c>
      <c r="BZ109" s="13">
        <f>BY109*VLOOKUP('Données projet'!$B$12,Paramètres!$A$1:$I$89,3,0)*VLOOKUP('Données projet'!$B$12,Paramètres!$A$1:$I$89,5,0)</f>
        <v>308.71660000000031</v>
      </c>
      <c r="CA109" s="13">
        <f t="shared" si="93"/>
        <v>73.00074049125358</v>
      </c>
      <c r="CB109" s="20">
        <f t="shared" si="64"/>
        <v>664.82436802226709</v>
      </c>
      <c r="CC109" s="59">
        <f t="shared" si="65"/>
        <v>958.15770135560047</v>
      </c>
      <c r="CD109" s="59">
        <f ca="1">AVERAGE(OFFSET($CC$3,0,0,'Données projet'!$E$12+1,1))-AVERAGE(OFFSET($H$3,0,0,'Données projet'!$E$12+1,1))</f>
        <v>407.73540492005355</v>
      </c>
      <c r="CE109" s="59">
        <f t="shared" si="94"/>
        <v>296.29416764204774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45.733265748881358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45.733265748881358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266.99999999999983</v>
      </c>
      <c r="CU109" s="17">
        <f>CT109*VLOOKUP('Données projet'!$B$13,Paramètres!$A$1:$I$89,3,0)*VLOOKUP('Données projet'!$B$13,Paramètres!$A$1:$I$89,5,0)</f>
        <v>212.42519999999985</v>
      </c>
      <c r="CV109" s="13">
        <f t="shared" si="95"/>
        <v>52.465198231787184</v>
      </c>
      <c r="CW109" s="20">
        <f t="shared" si="67"/>
        <v>461.35077692036231</v>
      </c>
      <c r="CX109" s="59">
        <f t="shared" si="68"/>
        <v>754.68411025369562</v>
      </c>
      <c r="CY109" s="59">
        <f ca="1">AVERAGE(OFFSET($CX$3,0,0,'Données projet'!$E$13+1,1))-AVERAGE(OFFSET($H$3,0,0,'Données projet'!$E$13+1,1))</f>
        <v>299.10536994156814</v>
      </c>
      <c r="CZ109" s="59">
        <f t="shared" si="96"/>
        <v>292.57799203101769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17.204391848295263</v>
      </c>
      <c r="DG109" s="21">
        <f>EXP(-LN(2)/25)*DG108+(1-EXP(-LN(2)/25))/(LN(2)/25)*Calculateur!DB109*Calculateur!DD109*VLOOKUP('Données projet'!$B$13,Paramètres!$A$1:$I$89,3,0)*0.475*44/12</f>
        <v>4.050582726789612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21.254974575084873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266.99999999999983</v>
      </c>
      <c r="DP109" s="17">
        <f>DO109*VLOOKUP('Données projet'!$B$14,Paramètres!$A$1:$I$89,3,0)*VLOOKUP('Données projet'!$B$14,Paramètres!$A$1:$I$89,5,0)</f>
        <v>212.42519999999985</v>
      </c>
      <c r="DQ109" s="13">
        <f t="shared" si="97"/>
        <v>52.465198231787184</v>
      </c>
      <c r="DR109" s="20">
        <f t="shared" si="70"/>
        <v>461.35077692036231</v>
      </c>
      <c r="DS109" s="59">
        <f t="shared" si="71"/>
        <v>754.68411025369562</v>
      </c>
      <c r="DT109" s="59">
        <f ca="1">AVERAGE(OFFSET($DS$3,0,0,'Données projet'!$E$14+1,1))-AVERAGE(OFFSET($H$3,0,0,'Données projet'!$E$14+1,1))</f>
        <v>299.10536994156814</v>
      </c>
      <c r="DU109" s="59">
        <f t="shared" si="98"/>
        <v>292.57799203101769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17.204391848295263</v>
      </c>
      <c r="EB109" s="21">
        <f>EXP(-LN(2)/25)*EB108+(1-EXP(-LN(2)/25))/(LN(2)/25)*Calculateur!DW109*Calculateur!DY109*VLOOKUP('Données projet'!$B$14,Paramètres!$A$1:$I$89,3,0)*0.475*44/12</f>
        <v>4.050582726789612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21.254974575084873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204.00000000000017</v>
      </c>
      <c r="EK109" s="17">
        <f>EJ109*VLOOKUP('Données projet'!$B$15,Paramètres!$A$1:$I$89,3,0)*VLOOKUP('Données projet'!$B$15,Paramètres!$A$1:$I$89,5,0)</f>
        <v>133.66080000000011</v>
      </c>
      <c r="EL109" s="13">
        <f t="shared" si="99"/>
        <v>34.840890682716783</v>
      </c>
      <c r="EM109" s="20">
        <f t="shared" si="73"/>
        <v>293.4737779390652</v>
      </c>
      <c r="EN109" s="59">
        <f t="shared" si="74"/>
        <v>586.80711127239852</v>
      </c>
      <c r="EO109" s="59">
        <f ca="1">AVERAGE(OFFSET($EN$3,0,0,'Données projet'!$E$15+1,1))-AVERAGE(OFFSET($H$3,0,0,'Données projet'!$E$15+1,1))</f>
        <v>230.58262378842818</v>
      </c>
      <c r="EP109" s="59">
        <f t="shared" si="100"/>
        <v>235.68746142880792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1.3910098463277965</v>
      </c>
      <c r="EW109" s="21">
        <f>EXP(-LN(2)/25)*EW108+(1-EXP(-LN(2)/25))/(LN(2)/25)*Calculateur!ER109*Calculateur!ET109*VLOOKUP('Données projet'!$B$15,Paramètres!$A$1:$I$89,3,0)*0.475*44/12</f>
        <v>6.9229062868111395</v>
      </c>
      <c r="EX109" s="21">
        <f>EXP(-LN(2)/2)*EX108+(1-EXP(-LN(2)/2))/(LN(2)/2)*ER109*EU109*VLOOKUP('Données projet'!$B$15,Paramètres!$A$1:$I$89,3,0)*0.475*44/12</f>
        <v>1.1629213543292553E-2</v>
      </c>
      <c r="EY109" s="22">
        <f t="shared" si="75"/>
        <v>8.3255453466822278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234.00000000000003</v>
      </c>
      <c r="FF109" s="17">
        <f>FE109*VLOOKUP('Données projet'!$B$16,Paramètres!$A$1:$I$89,3,0)*VLOOKUP('Données projet'!$B$16,Paramètres!$A$1:$I$89,5,0)</f>
        <v>189.82080000000005</v>
      </c>
      <c r="FG109" s="13">
        <f t="shared" si="101"/>
        <v>47.500332100049796</v>
      </c>
      <c r="FH109" s="20">
        <f t="shared" si="76"/>
        <v>413.33430507425345</v>
      </c>
      <c r="FI109" s="59">
        <f t="shared" si="77"/>
        <v>706.66763840758676</v>
      </c>
      <c r="FJ109" s="59">
        <f ca="1">AVERAGE(OFFSET($FI$3,0,0,'Données projet'!$E$16+1,1))-AVERAGE(OFFSET($H$3,0,0,'Données projet'!$E$16+1,1))</f>
        <v>272.90535195666996</v>
      </c>
      <c r="FK109" s="59">
        <f t="shared" si="102"/>
        <v>222.25422164416898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3.4052879487132111</v>
      </c>
      <c r="FR109" s="21">
        <f>EXP(-LN(2)/25)*FR108+(1-EXP(-LN(2)/25))/(LN(2)/25)*Calculateur!FM109*Calculateur!FO109*VLOOKUP('Données projet'!$B$16,Paramètres!$A$1:$I$89,3,0)*0.475*44/12</f>
        <v>7.9035370841974855</v>
      </c>
      <c r="FS109" s="21">
        <f>EXP(-LN(2)/2)*FS108+(1-EXP(-LN(2)/2))/(LN(2)/2)*FM109*FP109*VLOOKUP('Données projet'!$B$16,Paramètres!$A$1:$I$89,3,0)*0.475*44/12</f>
        <v>5.289118233381177E-3</v>
      </c>
      <c r="FT109" s="22">
        <f t="shared" si="78"/>
        <v>11.314114151144079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929.53136388934922</v>
      </c>
      <c r="S110" s="59">
        <f ca="1">AVERAGE(OFFSET($R$3,0,0,'Données projet'!$E$9+1,1))-AVERAGE(OFFSET($H$3,0,0,'Données projet'!$E$9+1,1))</f>
        <v>384.05928630855732</v>
      </c>
      <c r="T110" s="59">
        <f t="shared" si="88"/>
        <v>279.93992813630513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304.99999999999983</v>
      </c>
      <c r="AJ110" s="13">
        <f>AI110*VLOOKUP('Données projet'!$B$10,Paramètres!$A$1:$I$89,3,0)*VLOOKUP('Données projet'!$B$10,Paramètres!$A$1:$I$89,5,0)</f>
        <v>275.96399999999983</v>
      </c>
      <c r="AK110" s="13">
        <f t="shared" si="89"/>
        <v>66.113366665488854</v>
      </c>
      <c r="AL110" s="20">
        <f t="shared" si="58"/>
        <v>595.78474694239264</v>
      </c>
      <c r="AM110" s="59">
        <f t="shared" si="59"/>
        <v>889.11808027572602</v>
      </c>
      <c r="AN110" s="59">
        <f ca="1">AVERAGE(OFFSET($AM$3,0,0,'Données projet'!$E$10+1,1))-AVERAGE(OFFSET($H$3,0,0,'Données projet'!$E$10+1,1))</f>
        <v>366.69125512029831</v>
      </c>
      <c r="AO110" s="59">
        <f t="shared" si="90"/>
        <v>513.80016421153414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0.35176047853795256</v>
      </c>
      <c r="AV110" s="21">
        <f>EXP(-LN(2)/25)*AV109+(1-EXP(-LN(2)/25))/(LN(2)/25)*Calculateur!AQ110*Calculateur!AS110*VLOOKUP('Données projet'!$B$10,Paramètres!$A$1:$I$89,3,0)*0.475*44/12</f>
        <v>0.87309346565614721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1.2248539441940998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212.28480000000002</v>
      </c>
      <c r="BF110" s="13">
        <f t="shared" si="91"/>
        <v>52.434557099704193</v>
      </c>
      <c r="BG110" s="20">
        <f t="shared" si="61"/>
        <v>461.05288028198476</v>
      </c>
      <c r="BH110" s="59">
        <f t="shared" si="62"/>
        <v>754.38621361531807</v>
      </c>
      <c r="BI110" s="59">
        <f ca="1">AVERAGE(OFFSET($BH$3,0,0,'Données projet'!$E$11+1,1))-AVERAGE(OFFSET($H$3,0,0,'Données projet'!$E$11+1,1))</f>
        <v>354.24684313982857</v>
      </c>
      <c r="BJ110" s="59">
        <f t="shared" si="92"/>
        <v>322.65043486962185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23.724632720928764</v>
      </c>
      <c r="BQ110" s="21">
        <f>EXP(-LN(2)/25)*BQ109+(1-EXP(-LN(2)/25))/(LN(2)/25)*Calculateur!BL110*Calculateur!BN110*VLOOKUP('Données projet'!$B$11,Paramètres!$A$1:$I$89,3,0)*0.475*44/12</f>
        <v>12.263708401907568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35.988341122836331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6.9935897435897401</v>
      </c>
      <c r="BY110" s="12">
        <f>IF('Données projet'!$A$114&gt;35,BY109+BX110-CG109,IF(A110&lt;'Données projet'!$A$114,$BV$205^A110,IF(A110='Données projet'!$A$114,'Données projet'!$B$114,BY109+BX110-CG109)))</f>
        <v>326.17948717948752</v>
      </c>
      <c r="BZ110" s="13">
        <f>BY110*VLOOKUP('Données projet'!$B$12,Paramètres!$A$1:$I$89,3,0)*VLOOKUP('Données projet'!$B$12,Paramètres!$A$1:$I$89,5,0)</f>
        <v>315.48080000000033</v>
      </c>
      <c r="CA110" s="13">
        <f t="shared" si="93"/>
        <v>74.412269255510381</v>
      </c>
      <c r="CB110" s="20">
        <f t="shared" si="64"/>
        <v>679.06376228668103</v>
      </c>
      <c r="CC110" s="59">
        <f t="shared" si="65"/>
        <v>972.3970956200144</v>
      </c>
      <c r="CD110" s="59">
        <f ca="1">AVERAGE(OFFSET($CC$3,0,0,'Données projet'!$E$12+1,1))-AVERAGE(OFFSET($H$3,0,0,'Données projet'!$E$12+1,1))</f>
        <v>407.73540492005355</v>
      </c>
      <c r="CE110" s="59">
        <f t="shared" si="94"/>
        <v>296.29416764204774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44.836464302083542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44.836464302083542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266.99999999999983</v>
      </c>
      <c r="CU110" s="17">
        <f>CT110*VLOOKUP('Données projet'!$B$13,Paramètres!$A$1:$I$89,3,0)*VLOOKUP('Données projet'!$B$13,Paramètres!$A$1:$I$89,5,0)</f>
        <v>212.42519999999985</v>
      </c>
      <c r="CV110" s="13">
        <f t="shared" si="95"/>
        <v>52.465198231787184</v>
      </c>
      <c r="CW110" s="20">
        <f t="shared" si="67"/>
        <v>461.35077692036231</v>
      </c>
      <c r="CX110" s="59">
        <f t="shared" si="68"/>
        <v>754.68411025369562</v>
      </c>
      <c r="CY110" s="59">
        <f ca="1">AVERAGE(OFFSET($CX$3,0,0,'Données projet'!$E$13+1,1))-AVERAGE(OFFSET($H$3,0,0,'Données projet'!$E$13+1,1))</f>
        <v>299.10536994156814</v>
      </c>
      <c r="CZ110" s="59">
        <f t="shared" si="96"/>
        <v>292.57799203101769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16.867024217793059</v>
      </c>
      <c r="DG110" s="21">
        <f>EXP(-LN(2)/25)*DG109+(1-EXP(-LN(2)/25))/(LN(2)/25)*Calculateur!DB110*Calculateur!DD110*VLOOKUP('Données projet'!$B$13,Paramètres!$A$1:$I$89,3,0)*0.475*44/12</f>
        <v>3.9398193291146621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20.806843546907722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266.99999999999983</v>
      </c>
      <c r="DP110" s="17">
        <f>DO110*VLOOKUP('Données projet'!$B$14,Paramètres!$A$1:$I$89,3,0)*VLOOKUP('Données projet'!$B$14,Paramètres!$A$1:$I$89,5,0)</f>
        <v>212.42519999999985</v>
      </c>
      <c r="DQ110" s="13">
        <f t="shared" si="97"/>
        <v>52.465198231787184</v>
      </c>
      <c r="DR110" s="20">
        <f t="shared" si="70"/>
        <v>461.35077692036231</v>
      </c>
      <c r="DS110" s="59">
        <f t="shared" si="71"/>
        <v>754.68411025369562</v>
      </c>
      <c r="DT110" s="59">
        <f ca="1">AVERAGE(OFFSET($DS$3,0,0,'Données projet'!$E$14+1,1))-AVERAGE(OFFSET($H$3,0,0,'Données projet'!$E$14+1,1))</f>
        <v>299.10536994156814</v>
      </c>
      <c r="DU110" s="59">
        <f t="shared" si="98"/>
        <v>292.57799203101769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16.867024217793059</v>
      </c>
      <c r="EB110" s="21">
        <f>EXP(-LN(2)/25)*EB109+(1-EXP(-LN(2)/25))/(LN(2)/25)*Calculateur!DW110*Calculateur!DY110*VLOOKUP('Données projet'!$B$14,Paramètres!$A$1:$I$89,3,0)*0.475*44/12</f>
        <v>3.9398193291146621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20.806843546907722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204.00000000000017</v>
      </c>
      <c r="EK110" s="17">
        <f>EJ110*VLOOKUP('Données projet'!$B$15,Paramètres!$A$1:$I$89,3,0)*VLOOKUP('Données projet'!$B$15,Paramètres!$A$1:$I$89,5,0)</f>
        <v>133.66080000000011</v>
      </c>
      <c r="EL110" s="13">
        <f t="shared" si="99"/>
        <v>34.840890682716783</v>
      </c>
      <c r="EM110" s="20">
        <f t="shared" si="73"/>
        <v>293.4737779390652</v>
      </c>
      <c r="EN110" s="59">
        <f t="shared" si="74"/>
        <v>586.80711127239852</v>
      </c>
      <c r="EO110" s="59">
        <f ca="1">AVERAGE(OFFSET($EN$3,0,0,'Données projet'!$E$15+1,1))-AVERAGE(OFFSET($H$3,0,0,'Données projet'!$E$15+1,1))</f>
        <v>230.58262378842818</v>
      </c>
      <c r="EP110" s="59">
        <f t="shared" si="100"/>
        <v>235.68746142880792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1.363732991673539</v>
      </c>
      <c r="EW110" s="21">
        <f>EXP(-LN(2)/25)*EW109+(1-EXP(-LN(2)/25))/(LN(2)/25)*Calculateur!ER110*Calculateur!ET110*VLOOKUP('Données projet'!$B$15,Paramètres!$A$1:$I$89,3,0)*0.475*44/12</f>
        <v>6.7335990503384702</v>
      </c>
      <c r="EX110" s="21">
        <f>EXP(-LN(2)/2)*EX109+(1-EXP(-LN(2)/2))/(LN(2)/2)*ER110*EU110*VLOOKUP('Données projet'!$B$15,Paramètres!$A$1:$I$89,3,0)*0.475*44/12</f>
        <v>8.2230957563286019E-3</v>
      </c>
      <c r="EY110" s="22">
        <f t="shared" si="75"/>
        <v>8.1055551377683379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234.00000000000003</v>
      </c>
      <c r="FF110" s="17">
        <f>FE110*VLOOKUP('Données projet'!$B$16,Paramètres!$A$1:$I$89,3,0)*VLOOKUP('Données projet'!$B$16,Paramètres!$A$1:$I$89,5,0)</f>
        <v>189.82080000000005</v>
      </c>
      <c r="FG110" s="13">
        <f t="shared" si="101"/>
        <v>47.500332100049796</v>
      </c>
      <c r="FH110" s="20">
        <f t="shared" si="76"/>
        <v>413.33430507425345</v>
      </c>
      <c r="FI110" s="59">
        <f t="shared" si="77"/>
        <v>706.66763840758676</v>
      </c>
      <c r="FJ110" s="59">
        <f ca="1">AVERAGE(OFFSET($FI$3,0,0,'Données projet'!$E$16+1,1))-AVERAGE(OFFSET($H$3,0,0,'Données projet'!$E$16+1,1))</f>
        <v>272.90535195666996</v>
      </c>
      <c r="FK110" s="59">
        <f t="shared" si="102"/>
        <v>222.25422164416898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3.3385123290595051</v>
      </c>
      <c r="FR110" s="21">
        <f>EXP(-LN(2)/25)*FR109+(1-EXP(-LN(2)/25))/(LN(2)/25)*Calculateur!FM110*Calculateur!FO110*VLOOKUP('Données projet'!$B$16,Paramètres!$A$1:$I$89,3,0)*0.475*44/12</f>
        <v>7.6874144470011538</v>
      </c>
      <c r="FS110" s="21">
        <f>EXP(-LN(2)/2)*FS109+(1-EXP(-LN(2)/2))/(LN(2)/2)*FM110*FP110*VLOOKUP('Données projet'!$B$16,Paramètres!$A$1:$I$89,3,0)*0.475*44/12</f>
        <v>3.7399713693212428E-3</v>
      </c>
      <c r="FT110" s="22">
        <f t="shared" si="78"/>
        <v>11.02966674742998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942.86423247100811</v>
      </c>
      <c r="S111" s="59">
        <f ca="1">AVERAGE(OFFSET($R$3,0,0,'Données projet'!$E$9+1,1))-AVERAGE(OFFSET($H$3,0,0,'Données projet'!$E$9+1,1))</f>
        <v>384.05928630855732</v>
      </c>
      <c r="T111" s="59">
        <f t="shared" si="88"/>
        <v>279.93992813630513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304.99999999999983</v>
      </c>
      <c r="AJ111" s="13">
        <f>AI111*VLOOKUP('Données projet'!$B$10,Paramètres!$A$1:$I$89,3,0)*VLOOKUP('Données projet'!$B$10,Paramètres!$A$1:$I$89,5,0)</f>
        <v>275.96399999999983</v>
      </c>
      <c r="AK111" s="13">
        <f t="shared" si="89"/>
        <v>66.113366665488854</v>
      </c>
      <c r="AL111" s="20">
        <f t="shared" si="58"/>
        <v>595.78474694239264</v>
      </c>
      <c r="AM111" s="59">
        <f t="shared" si="59"/>
        <v>889.11808027572602</v>
      </c>
      <c r="AN111" s="59">
        <f ca="1">AVERAGE(OFFSET($AM$3,0,0,'Données projet'!$E$10+1,1))-AVERAGE(OFFSET($H$3,0,0,'Données projet'!$E$10+1,1))</f>
        <v>366.69125512029831</v>
      </c>
      <c r="AO111" s="59">
        <f t="shared" si="90"/>
        <v>513.80016421153414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0.34486267010652988</v>
      </c>
      <c r="AV111" s="21">
        <f>EXP(-LN(2)/25)*AV110+(1-EXP(-LN(2)/25))/(LN(2)/25)*Calculateur!AQ111*Calculateur!AS111*VLOOKUP('Données projet'!$B$10,Paramètres!$A$1:$I$89,3,0)*0.475*44/12</f>
        <v>0.84921867892378999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1.1940813490303199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212.28480000000002</v>
      </c>
      <c r="BF111" s="13">
        <f t="shared" si="91"/>
        <v>52.434557099704193</v>
      </c>
      <c r="BG111" s="20">
        <f t="shared" si="61"/>
        <v>461.05288028198476</v>
      </c>
      <c r="BH111" s="59">
        <f t="shared" si="62"/>
        <v>754.38621361531807</v>
      </c>
      <c r="BI111" s="59">
        <f ca="1">AVERAGE(OFFSET($BH$3,0,0,'Données projet'!$E$11+1,1))-AVERAGE(OFFSET($H$3,0,0,'Données projet'!$E$11+1,1))</f>
        <v>354.24684313982857</v>
      </c>
      <c r="BJ111" s="59">
        <f t="shared" si="92"/>
        <v>322.65043486962185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23.259407143868458</v>
      </c>
      <c r="BQ111" s="21">
        <f>EXP(-LN(2)/25)*BQ110+(1-EXP(-LN(2)/25))/(LN(2)/25)*Calculateur!BL111*Calculateur!BN111*VLOOKUP('Données projet'!$B$11,Paramètres!$A$1:$I$89,3,0)*0.475*44/12</f>
        <v>11.92835665073701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35.187763794605466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6.9935897435897401</v>
      </c>
      <c r="BY111" s="12">
        <f>IF('Données projet'!$A$114&gt;35,BY110+BX111-CG110,IF(A111&lt;'Données projet'!$A$114,$BV$205^A111,IF(A111='Données projet'!$A$114,'Données projet'!$B$114,BY110+BX111-CG110)))</f>
        <v>333.17307692307725</v>
      </c>
      <c r="BZ111" s="13">
        <f>BY111*VLOOKUP('Données projet'!$B$12,Paramètres!$A$1:$I$89,3,0)*VLOOKUP('Données projet'!$B$12,Paramètres!$A$1:$I$89,5,0)</f>
        <v>322.24500000000029</v>
      </c>
      <c r="CA111" s="13">
        <f t="shared" si="93"/>
        <v>75.820279341440056</v>
      </c>
      <c r="CB111" s="20">
        <f t="shared" si="64"/>
        <v>693.29702818634189</v>
      </c>
      <c r="CC111" s="59">
        <f t="shared" si="65"/>
        <v>986.63036151967526</v>
      </c>
      <c r="CD111" s="59">
        <f ca="1">AVERAGE(OFFSET($CC$3,0,0,'Données projet'!$E$12+1,1))-AVERAGE(OFFSET($H$3,0,0,'Données projet'!$E$12+1,1))</f>
        <v>407.73540492005355</v>
      </c>
      <c r="CE111" s="59">
        <f t="shared" si="94"/>
        <v>296.29416764204774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43.957248584662565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43.957248584662565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266.99999999999983</v>
      </c>
      <c r="CU111" s="17">
        <f>CT111*VLOOKUP('Données projet'!$B$13,Paramètres!$A$1:$I$89,3,0)*VLOOKUP('Données projet'!$B$13,Paramètres!$A$1:$I$89,5,0)</f>
        <v>212.42519999999985</v>
      </c>
      <c r="CV111" s="13">
        <f t="shared" si="95"/>
        <v>52.465198231787184</v>
      </c>
      <c r="CW111" s="20">
        <f t="shared" si="67"/>
        <v>461.35077692036231</v>
      </c>
      <c r="CX111" s="59">
        <f t="shared" si="68"/>
        <v>754.68411025369562</v>
      </c>
      <c r="CY111" s="59">
        <f ca="1">AVERAGE(OFFSET($CX$3,0,0,'Données projet'!$E$13+1,1))-AVERAGE(OFFSET($H$3,0,0,'Données projet'!$E$13+1,1))</f>
        <v>299.10536994156814</v>
      </c>
      <c r="CZ111" s="59">
        <f t="shared" si="96"/>
        <v>292.57799203101769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16.536272160751068</v>
      </c>
      <c r="DG111" s="21">
        <f>EXP(-LN(2)/25)*DG110+(1-EXP(-LN(2)/25))/(LN(2)/25)*Calculateur!DB111*Calculateur!DD111*VLOOKUP('Données projet'!$B$13,Paramètres!$A$1:$I$89,3,0)*0.475*44/12</f>
        <v>3.8320847623739276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20.368356923124995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266.99999999999983</v>
      </c>
      <c r="DP111" s="17">
        <f>DO111*VLOOKUP('Données projet'!$B$14,Paramètres!$A$1:$I$89,3,0)*VLOOKUP('Données projet'!$B$14,Paramètres!$A$1:$I$89,5,0)</f>
        <v>212.42519999999985</v>
      </c>
      <c r="DQ111" s="13">
        <f t="shared" si="97"/>
        <v>52.465198231787184</v>
      </c>
      <c r="DR111" s="20">
        <f t="shared" si="70"/>
        <v>461.35077692036231</v>
      </c>
      <c r="DS111" s="59">
        <f t="shared" si="71"/>
        <v>754.68411025369562</v>
      </c>
      <c r="DT111" s="59">
        <f ca="1">AVERAGE(OFFSET($DS$3,0,0,'Données projet'!$E$14+1,1))-AVERAGE(OFFSET($H$3,0,0,'Données projet'!$E$14+1,1))</f>
        <v>299.10536994156814</v>
      </c>
      <c r="DU111" s="59">
        <f t="shared" si="98"/>
        <v>292.57799203101769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16.536272160751068</v>
      </c>
      <c r="EB111" s="21">
        <f>EXP(-LN(2)/25)*EB110+(1-EXP(-LN(2)/25))/(LN(2)/25)*Calculateur!DW111*Calculateur!DY111*VLOOKUP('Données projet'!$B$14,Paramètres!$A$1:$I$89,3,0)*0.475*44/12</f>
        <v>3.8320847623739276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20.368356923124995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204.00000000000017</v>
      </c>
      <c r="EK111" s="17">
        <f>EJ111*VLOOKUP('Données projet'!$B$15,Paramètres!$A$1:$I$89,3,0)*VLOOKUP('Données projet'!$B$15,Paramètres!$A$1:$I$89,5,0)</f>
        <v>133.66080000000011</v>
      </c>
      <c r="EL111" s="13">
        <f t="shared" si="99"/>
        <v>34.840890682716783</v>
      </c>
      <c r="EM111" s="20">
        <f t="shared" si="73"/>
        <v>293.4737779390652</v>
      </c>
      <c r="EN111" s="59">
        <f t="shared" si="74"/>
        <v>586.80711127239852</v>
      </c>
      <c r="EO111" s="59">
        <f ca="1">AVERAGE(OFFSET($EN$3,0,0,'Données projet'!$E$15+1,1))-AVERAGE(OFFSET($H$3,0,0,'Données projet'!$E$15+1,1))</f>
        <v>230.58262378842818</v>
      </c>
      <c r="EP111" s="59">
        <f t="shared" si="100"/>
        <v>235.68746142880792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1.3369910195018129</v>
      </c>
      <c r="EW111" s="21">
        <f>EXP(-LN(2)/25)*EW110+(1-EXP(-LN(2)/25))/(LN(2)/25)*Calculateur!ER111*Calculateur!ET111*VLOOKUP('Données projet'!$B$15,Paramètres!$A$1:$I$89,3,0)*0.475*44/12</f>
        <v>6.5494684302023805</v>
      </c>
      <c r="EX111" s="21">
        <f>EXP(-LN(2)/2)*EX110+(1-EXP(-LN(2)/2))/(LN(2)/2)*ER111*EU111*VLOOKUP('Données projet'!$B$15,Paramètres!$A$1:$I$89,3,0)*0.475*44/12</f>
        <v>5.8146067716462763E-3</v>
      </c>
      <c r="EY111" s="22">
        <f t="shared" si="75"/>
        <v>7.8922740564758396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234.00000000000003</v>
      </c>
      <c r="FF111" s="17">
        <f>FE111*VLOOKUP('Données projet'!$B$16,Paramètres!$A$1:$I$89,3,0)*VLOOKUP('Données projet'!$B$16,Paramètres!$A$1:$I$89,5,0)</f>
        <v>189.82080000000005</v>
      </c>
      <c r="FG111" s="13">
        <f t="shared" si="101"/>
        <v>47.500332100049796</v>
      </c>
      <c r="FH111" s="20">
        <f t="shared" si="76"/>
        <v>413.33430507425345</v>
      </c>
      <c r="FI111" s="59">
        <f t="shared" si="77"/>
        <v>706.66763840758676</v>
      </c>
      <c r="FJ111" s="59">
        <f ca="1">AVERAGE(OFFSET($FI$3,0,0,'Données projet'!$E$16+1,1))-AVERAGE(OFFSET($H$3,0,0,'Données projet'!$E$16+1,1))</f>
        <v>272.90535195666996</v>
      </c>
      <c r="FK111" s="59">
        <f t="shared" si="102"/>
        <v>222.25422164416898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3.2730461385781018</v>
      </c>
      <c r="FR111" s="21">
        <f>EXP(-LN(2)/25)*FR110+(1-EXP(-LN(2)/25))/(LN(2)/25)*Calculateur!FM111*Calculateur!FO111*VLOOKUP('Données projet'!$B$16,Paramètres!$A$1:$I$89,3,0)*0.475*44/12</f>
        <v>7.4772016946843509</v>
      </c>
      <c r="FS111" s="21">
        <f>EXP(-LN(2)/2)*FS110+(1-EXP(-LN(2)/2))/(LN(2)/2)*FM111*FP111*VLOOKUP('Données projet'!$B$16,Paramètres!$A$1:$I$89,3,0)*0.475*44/12</f>
        <v>2.6445591166905885E-3</v>
      </c>
      <c r="FT111" s="22">
        <f t="shared" si="78"/>
        <v>10.752892392379144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956.19145863833364</v>
      </c>
      <c r="S112" s="59">
        <f ca="1">AVERAGE(OFFSET($R$3,0,0,'Données projet'!$E$9+1,1))-AVERAGE(OFFSET($H$3,0,0,'Données projet'!$E$9+1,1))</f>
        <v>384.05928630855732</v>
      </c>
      <c r="T112" s="59">
        <f t="shared" si="88"/>
        <v>279.93992813630513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304.99999999999983</v>
      </c>
      <c r="AJ112" s="13">
        <f>AI112*VLOOKUP('Données projet'!$B$10,Paramètres!$A$1:$I$89,3,0)*VLOOKUP('Données projet'!$B$10,Paramètres!$A$1:$I$89,5,0)</f>
        <v>275.96399999999983</v>
      </c>
      <c r="AK112" s="13">
        <f t="shared" si="89"/>
        <v>66.113366665488854</v>
      </c>
      <c r="AL112" s="20">
        <f t="shared" si="58"/>
        <v>595.78474694239264</v>
      </c>
      <c r="AM112" s="59">
        <f t="shared" si="59"/>
        <v>889.11808027572602</v>
      </c>
      <c r="AN112" s="59">
        <f ca="1">AVERAGE(OFFSET($AM$3,0,0,'Données projet'!$E$10+1,1))-AVERAGE(OFFSET($H$3,0,0,'Données projet'!$E$10+1,1))</f>
        <v>366.69125512029831</v>
      </c>
      <c r="AO112" s="59">
        <f t="shared" si="90"/>
        <v>513.80016421153414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0.33810012349119972</v>
      </c>
      <c r="AV112" s="21">
        <f>EXP(-LN(2)/25)*AV111+(1-EXP(-LN(2)/25))/(LN(2)/25)*Calculateur!AQ112*Calculateur!AS112*VLOOKUP('Données projet'!$B$10,Paramètres!$A$1:$I$89,3,0)*0.475*44/12</f>
        <v>0.82599674949014956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1.1640968729813492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212.28480000000002</v>
      </c>
      <c r="BF112" s="13">
        <f t="shared" si="91"/>
        <v>52.434557099704193</v>
      </c>
      <c r="BG112" s="20">
        <f t="shared" si="61"/>
        <v>461.05288028198476</v>
      </c>
      <c r="BH112" s="59">
        <f t="shared" si="62"/>
        <v>754.38621361531807</v>
      </c>
      <c r="BI112" s="59">
        <f ca="1">AVERAGE(OFFSET($BH$3,0,0,'Données projet'!$E$11+1,1))-AVERAGE(OFFSET($H$3,0,0,'Données projet'!$E$11+1,1))</f>
        <v>354.24684313982857</v>
      </c>
      <c r="BJ112" s="59">
        <f t="shared" si="92"/>
        <v>322.65043486962185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22.803304356614721</v>
      </c>
      <c r="BQ112" s="21">
        <f>EXP(-LN(2)/25)*BQ111+(1-EXP(-LN(2)/25))/(LN(2)/25)*Calculateur!BL112*Calculateur!BN112*VLOOKUP('Données projet'!$B$11,Paramètres!$A$1:$I$89,3,0)*0.475*44/12</f>
        <v>11.602175110837592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34.405479467452309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340.16666666666663</v>
      </c>
      <c r="BW112" s="12">
        <f>VLOOKUP(A112,'Données projet'!$A$113:$I$133,9,0)</f>
        <v>6.9935897435897401</v>
      </c>
      <c r="BX112" s="12">
        <f t="array" ref="BX112">INDEX(BW:BW,MIN(IF(ISNUMBER(BW112:BW308),ROW(BW112:BW308),"")))</f>
        <v>6.9935897435897401</v>
      </c>
      <c r="BY112" s="12">
        <f>IF('Données projet'!$A$114&gt;35,BY111+BX112-CG111,IF(A112&lt;'Données projet'!$A$114,$BV$205^A112,IF(A112='Données projet'!$A$114,'Données projet'!$B$114,BY111+BX112-CG111)))</f>
        <v>340.16666666666697</v>
      </c>
      <c r="BZ112" s="13">
        <f>BY112*VLOOKUP('Données projet'!$B$12,Paramètres!$A$1:$I$89,3,0)*VLOOKUP('Données projet'!$B$12,Paramètres!$A$1:$I$89,5,0)</f>
        <v>329.00920000000031</v>
      </c>
      <c r="CA112" s="13">
        <f t="shared" si="93"/>
        <v>77.224853118004603</v>
      </c>
      <c r="CB112" s="20">
        <f t="shared" si="64"/>
        <v>707.52430918052517</v>
      </c>
      <c r="CC112" s="59">
        <f t="shared" si="65"/>
        <v>1000.8576425138585</v>
      </c>
      <c r="CD112" s="59">
        <f ca="1">AVERAGE(OFFSET($CC$3,0,0,'Données projet'!$E$12+1,1))-AVERAGE(OFFSET($H$3,0,0,'Données projet'!$E$12+1,1))</f>
        <v>407.73540492005355</v>
      </c>
      <c r="CE112" s="59">
        <f t="shared" si="94"/>
        <v>296.29416764204774</v>
      </c>
      <c r="CF112" s="15">
        <f>IF(ISNA(VLOOKUP(A112,'Données projet'!$A$113:$I$133,3,0)),0,VLOOKUP(A112,'Données projet'!$A$113:$I$133,3,0))</f>
        <v>10</v>
      </c>
      <c r="CG112" s="15">
        <f>IF(ISNA(VLOOKUP(A112,'Données projet'!$A$113:$I$133,4,0)),0,VLOOKUP(A112,'Données projet'!$A$113:$I$133,4,0))</f>
        <v>51.28846153846154</v>
      </c>
      <c r="CH112" s="16">
        <f>IF(ISNA(VLOOKUP(A112,'Données projet'!$A$113:$I$133,5,0)),0%,VLOOKUP(A112,'Données projet'!$A$113:$I$133,5,0)*VLOOKUP('Données projet'!$B$12,Paramètres!$A$1:$I$89,7,0))</f>
        <v>0.38700000000000001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64.317651246031119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64.317651246031119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266.99999999999983</v>
      </c>
      <c r="CU112" s="17">
        <f>CT112*VLOOKUP('Données projet'!$B$13,Paramètres!$A$1:$I$89,3,0)*VLOOKUP('Données projet'!$B$13,Paramètres!$A$1:$I$89,5,0)</f>
        <v>212.42519999999985</v>
      </c>
      <c r="CV112" s="13">
        <f t="shared" si="95"/>
        <v>52.465198231787184</v>
      </c>
      <c r="CW112" s="20">
        <f t="shared" si="67"/>
        <v>461.35077692036231</v>
      </c>
      <c r="CX112" s="59">
        <f t="shared" si="68"/>
        <v>754.68411025369562</v>
      </c>
      <c r="CY112" s="59">
        <f ca="1">AVERAGE(OFFSET($CX$3,0,0,'Données projet'!$E$13+1,1))-AVERAGE(OFFSET($H$3,0,0,'Données projet'!$E$13+1,1))</f>
        <v>299.10536994156814</v>
      </c>
      <c r="CZ112" s="59">
        <f t="shared" si="96"/>
        <v>292.57799203101769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16.212005949808834</v>
      </c>
      <c r="DG112" s="21">
        <f>EXP(-LN(2)/25)*DG111+(1-EXP(-LN(2)/25))/(LN(2)/25)*Calculateur!DB112*Calculateur!DD112*VLOOKUP('Données projet'!$B$13,Paramètres!$A$1:$I$89,3,0)*0.475*44/12</f>
        <v>3.7272962030262331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19.939302152835069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266.99999999999983</v>
      </c>
      <c r="DP112" s="17">
        <f>DO112*VLOOKUP('Données projet'!$B$14,Paramètres!$A$1:$I$89,3,0)*VLOOKUP('Données projet'!$B$14,Paramètres!$A$1:$I$89,5,0)</f>
        <v>212.42519999999985</v>
      </c>
      <c r="DQ112" s="13">
        <f t="shared" si="97"/>
        <v>52.465198231787184</v>
      </c>
      <c r="DR112" s="20">
        <f t="shared" si="70"/>
        <v>461.35077692036231</v>
      </c>
      <c r="DS112" s="59">
        <f t="shared" si="71"/>
        <v>754.68411025369562</v>
      </c>
      <c r="DT112" s="59">
        <f ca="1">AVERAGE(OFFSET($DS$3,0,0,'Données projet'!$E$14+1,1))-AVERAGE(OFFSET($H$3,0,0,'Données projet'!$E$14+1,1))</f>
        <v>299.10536994156814</v>
      </c>
      <c r="DU112" s="59">
        <f t="shared" si="98"/>
        <v>292.57799203101769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16.212005949808834</v>
      </c>
      <c r="EB112" s="21">
        <f>EXP(-LN(2)/25)*EB111+(1-EXP(-LN(2)/25))/(LN(2)/25)*Calculateur!DW112*Calculateur!DY112*VLOOKUP('Données projet'!$B$14,Paramètres!$A$1:$I$89,3,0)*0.475*44/12</f>
        <v>3.7272962030262331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19.939302152835069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204.00000000000017</v>
      </c>
      <c r="EK112" s="17">
        <f>EJ112*VLOOKUP('Données projet'!$B$15,Paramètres!$A$1:$I$89,3,0)*VLOOKUP('Données projet'!$B$15,Paramètres!$A$1:$I$89,5,0)</f>
        <v>133.66080000000011</v>
      </c>
      <c r="EL112" s="13">
        <f t="shared" si="99"/>
        <v>34.840890682716783</v>
      </c>
      <c r="EM112" s="20">
        <f t="shared" si="73"/>
        <v>293.4737779390652</v>
      </c>
      <c r="EN112" s="59">
        <f t="shared" si="74"/>
        <v>586.80711127239852</v>
      </c>
      <c r="EO112" s="59">
        <f ca="1">AVERAGE(OFFSET($EN$3,0,0,'Données projet'!$E$15+1,1))-AVERAGE(OFFSET($H$3,0,0,'Données projet'!$E$15+1,1))</f>
        <v>230.58262378842818</v>
      </c>
      <c r="EP112" s="59">
        <f t="shared" si="100"/>
        <v>235.68746142880792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1.3107734410933818</v>
      </c>
      <c r="EW112" s="21">
        <f>EXP(-LN(2)/25)*EW111+(1-EXP(-LN(2)/25))/(LN(2)/25)*Calculateur!ER112*Calculateur!ET112*VLOOKUP('Données projet'!$B$15,Paramètres!$A$1:$I$89,3,0)*0.475*44/12</f>
        <v>6.3703728715569206</v>
      </c>
      <c r="EX112" s="21">
        <f>EXP(-LN(2)/2)*EX111+(1-EXP(-LN(2)/2))/(LN(2)/2)*ER112*EU112*VLOOKUP('Données projet'!$B$15,Paramètres!$A$1:$I$89,3,0)*0.475*44/12</f>
        <v>4.1115478781643009E-3</v>
      </c>
      <c r="EY112" s="22">
        <f t="shared" si="75"/>
        <v>7.6852578605284663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234.00000000000003</v>
      </c>
      <c r="FF112" s="17">
        <f>FE112*VLOOKUP('Données projet'!$B$16,Paramètres!$A$1:$I$89,3,0)*VLOOKUP('Données projet'!$B$16,Paramètres!$A$1:$I$89,5,0)</f>
        <v>189.82080000000005</v>
      </c>
      <c r="FG112" s="13">
        <f t="shared" si="101"/>
        <v>47.500332100049796</v>
      </c>
      <c r="FH112" s="20">
        <f t="shared" si="76"/>
        <v>413.33430507425345</v>
      </c>
      <c r="FI112" s="59">
        <f t="shared" si="77"/>
        <v>706.66763840758676</v>
      </c>
      <c r="FJ112" s="59">
        <f ca="1">AVERAGE(OFFSET($FI$3,0,0,'Données projet'!$E$16+1,1))-AVERAGE(OFFSET($H$3,0,0,'Données projet'!$E$16+1,1))</f>
        <v>272.90535195666996</v>
      </c>
      <c r="FK112" s="59">
        <f t="shared" si="102"/>
        <v>222.25422164416898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3.2088637001616056</v>
      </c>
      <c r="FR112" s="21">
        <f>EXP(-LN(2)/25)*FR111+(1-EXP(-LN(2)/25))/(LN(2)/25)*Calculateur!FM112*Calculateur!FO112*VLOOKUP('Données projet'!$B$16,Paramètres!$A$1:$I$89,3,0)*0.475*44/12</f>
        <v>7.2727372211342596</v>
      </c>
      <c r="FS112" s="21">
        <f>EXP(-LN(2)/2)*FS111+(1-EXP(-LN(2)/2))/(LN(2)/2)*FM112*FP112*VLOOKUP('Données projet'!$B$16,Paramètres!$A$1:$I$89,3,0)*0.475*44/12</f>
        <v>1.8699856846606214E-3</v>
      </c>
      <c r="FT112" s="22">
        <f t="shared" si="78"/>
        <v>10.483470906980525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871.40118804341614</v>
      </c>
      <c r="S113" s="59">
        <f ca="1">AVERAGE(OFFSET($R$3,0,0,'Données projet'!$E$9+1,1))-AVERAGE(OFFSET($H$3,0,0,'Données projet'!$E$9+1,1))</f>
        <v>384.05928630855732</v>
      </c>
      <c r="T113" s="59">
        <f t="shared" si="88"/>
        <v>279.93992813630513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304.99999999999983</v>
      </c>
      <c r="AJ113" s="13">
        <f>AI113*VLOOKUP('Données projet'!$B$10,Paramètres!$A$1:$I$89,3,0)*VLOOKUP('Données projet'!$B$10,Paramètres!$A$1:$I$89,5,0)</f>
        <v>275.96399999999983</v>
      </c>
      <c r="AK113" s="13">
        <f t="shared" si="89"/>
        <v>66.113366665488854</v>
      </c>
      <c r="AL113" s="20">
        <f t="shared" si="58"/>
        <v>595.78474694239264</v>
      </c>
      <c r="AM113" s="59">
        <f t="shared" si="59"/>
        <v>889.11808027572602</v>
      </c>
      <c r="AN113" s="59">
        <f ca="1">AVERAGE(OFFSET($AM$3,0,0,'Données projet'!$E$10+1,1))-AVERAGE(OFFSET($H$3,0,0,'Données projet'!$E$10+1,1))</f>
        <v>366.69125512029831</v>
      </c>
      <c r="AO113" s="59">
        <f t="shared" si="90"/>
        <v>513.80016421153414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0.33147018629025005</v>
      </c>
      <c r="AV113" s="21">
        <f>EXP(-LN(2)/25)*AV112+(1-EXP(-LN(2)/25))/(LN(2)/25)*Calculateur!AQ113*Calculateur!AS113*VLOOKUP('Données projet'!$B$10,Paramètres!$A$1:$I$89,3,0)*0.475*44/12</f>
        <v>0.80340982493806024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1.1348800112283102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212.28480000000002</v>
      </c>
      <c r="BF113" s="13">
        <f t="shared" si="91"/>
        <v>52.434557099704193</v>
      </c>
      <c r="BG113" s="20">
        <f t="shared" si="61"/>
        <v>461.05288028198476</v>
      </c>
      <c r="BH113" s="59">
        <f t="shared" si="62"/>
        <v>754.38621361531807</v>
      </c>
      <c r="BI113" s="59">
        <f ca="1">AVERAGE(OFFSET($BH$3,0,0,'Données projet'!$E$11+1,1))-AVERAGE(OFFSET($H$3,0,0,'Données projet'!$E$11+1,1))</f>
        <v>354.24684313982857</v>
      </c>
      <c r="BJ113" s="59">
        <f t="shared" si="92"/>
        <v>322.65043486962185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22.356145466823801</v>
      </c>
      <c r="BQ113" s="21">
        <f>EXP(-LN(2)/25)*BQ112+(1-EXP(-LN(2)/25))/(LN(2)/25)*Calculateur!BL113*Calculateur!BN113*VLOOKUP('Données projet'!$B$11,Paramètres!$A$1:$I$89,3,0)*0.475*44/12</f>
        <v>11.284913022299866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33.641058489123665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6.8461538461538511</v>
      </c>
      <c r="BY113" s="12">
        <f>IF('Données projet'!$A$114&gt;35,BY112+BX113-CG112,IF(A113&lt;'Données projet'!$A$114,$BV$205^A113,IF(A113='Données projet'!$A$114,'Données projet'!$B$114,BY112+BX113-CG112)))</f>
        <v>295.72435897435929</v>
      </c>
      <c r="BZ113" s="13">
        <f>BY113*VLOOKUP('Données projet'!$B$12,Paramètres!$A$1:$I$89,3,0)*VLOOKUP('Données projet'!$B$12,Paramètres!$A$1:$I$89,5,0)</f>
        <v>286.02460000000031</v>
      </c>
      <c r="CA113" s="13">
        <f t="shared" si="93"/>
        <v>68.238598333856345</v>
      </c>
      <c r="CB113" s="20">
        <f t="shared" si="64"/>
        <v>617.00840376480016</v>
      </c>
      <c r="CC113" s="59">
        <f t="shared" si="65"/>
        <v>910.34173709813354</v>
      </c>
      <c r="CD113" s="59">
        <f ca="1">AVERAGE(OFFSET($CC$3,0,0,'Données projet'!$E$12+1,1))-AVERAGE(OFFSET($H$3,0,0,'Données projet'!$E$12+1,1))</f>
        <v>407.73540492005355</v>
      </c>
      <c r="CE113" s="59">
        <f t="shared" si="94"/>
        <v>296.29416764204774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63.056421334990077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63.056421334990077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266.99999999999983</v>
      </c>
      <c r="CU113" s="17">
        <f>CT113*VLOOKUP('Données projet'!$B$13,Paramètres!$A$1:$I$89,3,0)*VLOOKUP('Données projet'!$B$13,Paramètres!$A$1:$I$89,5,0)</f>
        <v>212.42519999999985</v>
      </c>
      <c r="CV113" s="13">
        <f t="shared" si="95"/>
        <v>52.465198231787184</v>
      </c>
      <c r="CW113" s="20">
        <f t="shared" si="67"/>
        <v>461.35077692036231</v>
      </c>
      <c r="CX113" s="59">
        <f t="shared" si="68"/>
        <v>754.68411025369562</v>
      </c>
      <c r="CY113" s="59">
        <f ca="1">AVERAGE(OFFSET($CX$3,0,0,'Données projet'!$E$13+1,1))-AVERAGE(OFFSET($H$3,0,0,'Données projet'!$E$13+1,1))</f>
        <v>299.10536994156814</v>
      </c>
      <c r="CZ113" s="59">
        <f t="shared" si="96"/>
        <v>292.57799203101769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15.894098401480319</v>
      </c>
      <c r="DG113" s="21">
        <f>EXP(-LN(2)/25)*DG112+(1-EXP(-LN(2)/25))/(LN(2)/25)*Calculateur!DB113*Calculateur!DD113*VLOOKUP('Données projet'!$B$13,Paramètres!$A$1:$I$89,3,0)*0.475*44/12</f>
        <v>3.6253730923444922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19.51947149382481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266.99999999999983</v>
      </c>
      <c r="DP113" s="17">
        <f>DO113*VLOOKUP('Données projet'!$B$14,Paramètres!$A$1:$I$89,3,0)*VLOOKUP('Données projet'!$B$14,Paramètres!$A$1:$I$89,5,0)</f>
        <v>212.42519999999985</v>
      </c>
      <c r="DQ113" s="13">
        <f t="shared" si="97"/>
        <v>52.465198231787184</v>
      </c>
      <c r="DR113" s="20">
        <f t="shared" si="70"/>
        <v>461.35077692036231</v>
      </c>
      <c r="DS113" s="59">
        <f t="shared" si="71"/>
        <v>754.68411025369562</v>
      </c>
      <c r="DT113" s="59">
        <f ca="1">AVERAGE(OFFSET($DS$3,0,0,'Données projet'!$E$14+1,1))-AVERAGE(OFFSET($H$3,0,0,'Données projet'!$E$14+1,1))</f>
        <v>299.10536994156814</v>
      </c>
      <c r="DU113" s="59">
        <f t="shared" si="98"/>
        <v>292.57799203101769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15.894098401480319</v>
      </c>
      <c r="EB113" s="21">
        <f>EXP(-LN(2)/25)*EB112+(1-EXP(-LN(2)/25))/(LN(2)/25)*Calculateur!DW113*Calculateur!DY113*VLOOKUP('Données projet'!$B$14,Paramètres!$A$1:$I$89,3,0)*0.475*44/12</f>
        <v>3.6253730923444922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19.51947149382481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204.00000000000017</v>
      </c>
      <c r="EK113" s="17">
        <f>EJ113*VLOOKUP('Données projet'!$B$15,Paramètres!$A$1:$I$89,3,0)*VLOOKUP('Données projet'!$B$15,Paramètres!$A$1:$I$89,5,0)</f>
        <v>133.66080000000011</v>
      </c>
      <c r="EL113" s="13">
        <f t="shared" si="99"/>
        <v>34.840890682716783</v>
      </c>
      <c r="EM113" s="20">
        <f t="shared" si="73"/>
        <v>293.4737779390652</v>
      </c>
      <c r="EN113" s="59">
        <f t="shared" si="74"/>
        <v>586.80711127239852</v>
      </c>
      <c r="EO113" s="59">
        <f ca="1">AVERAGE(OFFSET($EN$3,0,0,'Données projet'!$E$15+1,1))-AVERAGE(OFFSET($H$3,0,0,'Données projet'!$E$15+1,1))</f>
        <v>230.58262378842818</v>
      </c>
      <c r="EP113" s="59">
        <f t="shared" si="100"/>
        <v>235.68746142880792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1.2850699734063962</v>
      </c>
      <c r="EW113" s="21">
        <f>EXP(-LN(2)/25)*EW112+(1-EXP(-LN(2)/25))/(LN(2)/25)*Calculateur!ER113*Calculateur!ET113*VLOOKUP('Données projet'!$B$15,Paramètres!$A$1:$I$89,3,0)*0.475*44/12</f>
        <v>6.1961746903808468</v>
      </c>
      <c r="EX113" s="21">
        <f>EXP(-LN(2)/2)*EX112+(1-EXP(-LN(2)/2))/(LN(2)/2)*ER113*EU113*VLOOKUP('Données projet'!$B$15,Paramètres!$A$1:$I$89,3,0)*0.475*44/12</f>
        <v>2.9073033858231382E-3</v>
      </c>
      <c r="EY113" s="22">
        <f t="shared" si="75"/>
        <v>7.4841519671730667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234.00000000000003</v>
      </c>
      <c r="FF113" s="17">
        <f>FE113*VLOOKUP('Données projet'!$B$16,Paramètres!$A$1:$I$89,3,0)*VLOOKUP('Données projet'!$B$16,Paramètres!$A$1:$I$89,5,0)</f>
        <v>189.82080000000005</v>
      </c>
      <c r="FG113" s="13">
        <f t="shared" si="101"/>
        <v>47.500332100049796</v>
      </c>
      <c r="FH113" s="20">
        <f t="shared" si="76"/>
        <v>413.33430507425345</v>
      </c>
      <c r="FI113" s="59">
        <f t="shared" si="77"/>
        <v>706.66763840758676</v>
      </c>
      <c r="FJ113" s="59">
        <f ca="1">AVERAGE(OFFSET($FI$3,0,0,'Données projet'!$E$16+1,1))-AVERAGE(OFFSET($H$3,0,0,'Données projet'!$E$16+1,1))</f>
        <v>272.90535195666996</v>
      </c>
      <c r="FK113" s="59">
        <f t="shared" si="102"/>
        <v>222.25422164416898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3.1459398402150347</v>
      </c>
      <c r="FR113" s="21">
        <f>EXP(-LN(2)/25)*FR112+(1-EXP(-LN(2)/25))/(LN(2)/25)*Calculateur!FM113*Calculateur!FO113*VLOOKUP('Données projet'!$B$16,Paramètres!$A$1:$I$89,3,0)*0.475*44/12</f>
        <v>7.0738638393657149</v>
      </c>
      <c r="FS113" s="21">
        <f>EXP(-LN(2)/2)*FS112+(1-EXP(-LN(2)/2))/(LN(2)/2)*FM113*FP113*VLOOKUP('Données projet'!$B$16,Paramètres!$A$1:$I$89,3,0)*0.475*44/12</f>
        <v>1.3222795583452943E-3</v>
      </c>
      <c r="FT113" s="22">
        <f t="shared" si="78"/>
        <v>10.221125959139094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884.47872444804648</v>
      </c>
      <c r="S114" s="59">
        <f ca="1">AVERAGE(OFFSET($R$3,0,0,'Données projet'!$E$9+1,1))-AVERAGE(OFFSET($H$3,0,0,'Données projet'!$E$9+1,1))</f>
        <v>384.05928630855732</v>
      </c>
      <c r="T114" s="59">
        <f t="shared" si="88"/>
        <v>279.93992813630513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304.99999999999983</v>
      </c>
      <c r="AJ114" s="13">
        <f>AI114*VLOOKUP('Données projet'!$B$10,Paramètres!$A$1:$I$89,3,0)*VLOOKUP('Données projet'!$B$10,Paramètres!$A$1:$I$89,5,0)</f>
        <v>275.96399999999983</v>
      </c>
      <c r="AK114" s="13">
        <f t="shared" si="89"/>
        <v>66.113366665488854</v>
      </c>
      <c r="AL114" s="20">
        <f t="shared" si="58"/>
        <v>595.78474694239264</v>
      </c>
      <c r="AM114" s="59">
        <f t="shared" si="59"/>
        <v>889.11808027572602</v>
      </c>
      <c r="AN114" s="59">
        <f ca="1">AVERAGE(OFFSET($AM$3,0,0,'Données projet'!$E$10+1,1))-AVERAGE(OFFSET($H$3,0,0,'Données projet'!$E$10+1,1))</f>
        <v>366.69125512029831</v>
      </c>
      <c r="AO114" s="59">
        <f t="shared" si="90"/>
        <v>513.80016421153414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0.32497025811394858</v>
      </c>
      <c r="AV114" s="21">
        <f>EXP(-LN(2)/25)*AV113+(1-EXP(-LN(2)/25))/(LN(2)/25)*Calculateur!AQ114*Calculateur!AS114*VLOOKUP('Données projet'!$B$10,Paramètres!$A$1:$I$89,3,0)*0.475*44/12</f>
        <v>0.78144054102564253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1.1064107991395911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212.28480000000002</v>
      </c>
      <c r="BF114" s="13">
        <f t="shared" si="91"/>
        <v>52.434557099704193</v>
      </c>
      <c r="BG114" s="20">
        <f t="shared" si="61"/>
        <v>461.05288028198476</v>
      </c>
      <c r="BH114" s="59">
        <f t="shared" si="62"/>
        <v>754.38621361531807</v>
      </c>
      <c r="BI114" s="59">
        <f ca="1">AVERAGE(OFFSET($BH$3,0,0,'Données projet'!$E$11+1,1))-AVERAGE(OFFSET($H$3,0,0,'Données projet'!$E$11+1,1))</f>
        <v>354.24684313982857</v>
      </c>
      <c r="BJ114" s="59">
        <f t="shared" si="92"/>
        <v>322.65043486962185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21.917755090121688</v>
      </c>
      <c r="BQ114" s="21">
        <f>EXP(-LN(2)/25)*BQ113+(1-EXP(-LN(2)/25))/(LN(2)/25)*Calculateur!BL114*Calculateur!BN114*VLOOKUP('Données projet'!$B$11,Paramètres!$A$1:$I$89,3,0)*0.475*44/12</f>
        <v>10.976326482257292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32.89408157237898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6.8461538461538511</v>
      </c>
      <c r="BY114" s="12">
        <f>IF('Données projet'!$A$114&gt;35,BY113+BX114-CG113,IF(A114&lt;'Données projet'!$A$114,$BV$205^A114,IF(A114='Données projet'!$A$114,'Données projet'!$B$114,BY113+BX114-CG113)))</f>
        <v>302.57051282051316</v>
      </c>
      <c r="BZ114" s="13">
        <f>BY114*VLOOKUP('Données projet'!$B$12,Paramètres!$A$1:$I$89,3,0)*VLOOKUP('Données projet'!$B$12,Paramètres!$A$1:$I$89,5,0)</f>
        <v>292.64620000000036</v>
      </c>
      <c r="CA114" s="13">
        <f t="shared" si="93"/>
        <v>69.632604846888739</v>
      </c>
      <c r="CB114" s="20">
        <f t="shared" si="64"/>
        <v>630.9689184416651</v>
      </c>
      <c r="CC114" s="59">
        <f t="shared" si="65"/>
        <v>924.30225177499847</v>
      </c>
      <c r="CD114" s="59">
        <f ca="1">AVERAGE(OFFSET($CC$3,0,0,'Données projet'!$E$12+1,1))-AVERAGE(OFFSET($H$3,0,0,'Données projet'!$E$12+1,1))</f>
        <v>407.73540492005355</v>
      </c>
      <c r="CE114" s="59">
        <f t="shared" si="94"/>
        <v>296.29416764204774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61.819923373230267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61.819923373230267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266.99999999999983</v>
      </c>
      <c r="CU114" s="17">
        <f>CT114*VLOOKUP('Données projet'!$B$13,Paramètres!$A$1:$I$89,3,0)*VLOOKUP('Données projet'!$B$13,Paramètres!$A$1:$I$89,5,0)</f>
        <v>212.42519999999985</v>
      </c>
      <c r="CV114" s="13">
        <f t="shared" si="95"/>
        <v>52.465198231787184</v>
      </c>
      <c r="CW114" s="20">
        <f t="shared" si="67"/>
        <v>461.35077692036231</v>
      </c>
      <c r="CX114" s="59">
        <f t="shared" si="68"/>
        <v>754.68411025369562</v>
      </c>
      <c r="CY114" s="59">
        <f ca="1">AVERAGE(OFFSET($CX$3,0,0,'Données projet'!$E$13+1,1))-AVERAGE(OFFSET($H$3,0,0,'Données projet'!$E$13+1,1))</f>
        <v>299.10536994156814</v>
      </c>
      <c r="CZ114" s="59">
        <f t="shared" si="96"/>
        <v>292.57799203101769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15.582424826270067</v>
      </c>
      <c r="DG114" s="21">
        <f>EXP(-LN(2)/25)*DG113+(1-EXP(-LN(2)/25))/(LN(2)/25)*Calculateur!DB114*Calculateur!DD114*VLOOKUP('Données projet'!$B$13,Paramètres!$A$1:$I$89,3,0)*0.475*44/12</f>
        <v>3.5262370744842473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19.108661900754313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266.99999999999983</v>
      </c>
      <c r="DP114" s="17">
        <f>DO114*VLOOKUP('Données projet'!$B$14,Paramètres!$A$1:$I$89,3,0)*VLOOKUP('Données projet'!$B$14,Paramètres!$A$1:$I$89,5,0)</f>
        <v>212.42519999999985</v>
      </c>
      <c r="DQ114" s="13">
        <f t="shared" si="97"/>
        <v>52.465198231787184</v>
      </c>
      <c r="DR114" s="20">
        <f t="shared" si="70"/>
        <v>461.35077692036231</v>
      </c>
      <c r="DS114" s="59">
        <f t="shared" si="71"/>
        <v>754.68411025369562</v>
      </c>
      <c r="DT114" s="59">
        <f ca="1">AVERAGE(OFFSET($DS$3,0,0,'Données projet'!$E$14+1,1))-AVERAGE(OFFSET($H$3,0,0,'Données projet'!$E$14+1,1))</f>
        <v>299.10536994156814</v>
      </c>
      <c r="DU114" s="59">
        <f t="shared" si="98"/>
        <v>292.57799203101769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15.582424826270067</v>
      </c>
      <c r="EB114" s="21">
        <f>EXP(-LN(2)/25)*EB113+(1-EXP(-LN(2)/25))/(LN(2)/25)*Calculateur!DW114*Calculateur!DY114*VLOOKUP('Données projet'!$B$14,Paramètres!$A$1:$I$89,3,0)*0.475*44/12</f>
        <v>3.5262370744842473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19.108661900754313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204.00000000000017</v>
      </c>
      <c r="EK114" s="17">
        <f>EJ114*VLOOKUP('Données projet'!$B$15,Paramètres!$A$1:$I$89,3,0)*VLOOKUP('Données projet'!$B$15,Paramètres!$A$1:$I$89,5,0)</f>
        <v>133.66080000000011</v>
      </c>
      <c r="EL114" s="13">
        <f t="shared" si="99"/>
        <v>34.840890682716783</v>
      </c>
      <c r="EM114" s="20">
        <f t="shared" si="73"/>
        <v>293.4737779390652</v>
      </c>
      <c r="EN114" s="59">
        <f t="shared" si="74"/>
        <v>586.80711127239852</v>
      </c>
      <c r="EO114" s="59">
        <f ca="1">AVERAGE(OFFSET($EN$3,0,0,'Données projet'!$E$15+1,1))-AVERAGE(OFFSET($H$3,0,0,'Données projet'!$E$15+1,1))</f>
        <v>230.58262378842818</v>
      </c>
      <c r="EP114" s="59">
        <f t="shared" si="100"/>
        <v>235.68746142880792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1.2598705350431851</v>
      </c>
      <c r="EW114" s="21">
        <f>EXP(-LN(2)/25)*EW113+(1-EXP(-LN(2)/25))/(LN(2)/25)*Calculateur!ER114*Calculateur!ET114*VLOOKUP('Données projet'!$B$15,Paramètres!$A$1:$I$89,3,0)*0.475*44/12</f>
        <v>6.0267399676297169</v>
      </c>
      <c r="EX114" s="21">
        <f>EXP(-LN(2)/2)*EX113+(1-EXP(-LN(2)/2))/(LN(2)/2)*ER114*EU114*VLOOKUP('Données projet'!$B$15,Paramètres!$A$1:$I$89,3,0)*0.475*44/12</f>
        <v>2.0557739390821505E-3</v>
      </c>
      <c r="EY114" s="22">
        <f t="shared" si="75"/>
        <v>7.2886662766119841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234.00000000000003</v>
      </c>
      <c r="FF114" s="17">
        <f>FE114*VLOOKUP('Données projet'!$B$16,Paramètres!$A$1:$I$89,3,0)*VLOOKUP('Données projet'!$B$16,Paramètres!$A$1:$I$89,5,0)</f>
        <v>189.82080000000005</v>
      </c>
      <c r="FG114" s="13">
        <f t="shared" si="101"/>
        <v>47.500332100049796</v>
      </c>
      <c r="FH114" s="20">
        <f t="shared" si="76"/>
        <v>413.33430507425345</v>
      </c>
      <c r="FI114" s="59">
        <f t="shared" si="77"/>
        <v>706.66763840758676</v>
      </c>
      <c r="FJ114" s="59">
        <f ca="1">AVERAGE(OFFSET($FI$3,0,0,'Données projet'!$E$16+1,1))-AVERAGE(OFFSET($H$3,0,0,'Données projet'!$E$16+1,1))</f>
        <v>272.90535195666996</v>
      </c>
      <c r="FK114" s="59">
        <f t="shared" si="102"/>
        <v>222.25422164416898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3.0842498787822512</v>
      </c>
      <c r="FR114" s="21">
        <f>EXP(-LN(2)/25)*FR113+(1-EXP(-LN(2)/25))/(LN(2)/25)*Calculateur!FM114*Calculateur!FO114*VLOOKUP('Données projet'!$B$16,Paramètres!$A$1:$I$89,3,0)*0.475*44/12</f>
        <v>6.8804286606799279</v>
      </c>
      <c r="FS114" s="21">
        <f>EXP(-LN(2)/2)*FS113+(1-EXP(-LN(2)/2))/(LN(2)/2)*FM114*FP114*VLOOKUP('Données projet'!$B$16,Paramètres!$A$1:$I$89,3,0)*0.475*44/12</f>
        <v>9.3499284233031069E-4</v>
      </c>
      <c r="FT114" s="22">
        <f t="shared" si="78"/>
        <v>9.9656135323045092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897.55023972357117</v>
      </c>
      <c r="S115" s="59">
        <f ca="1">AVERAGE(OFFSET($R$3,0,0,'Données projet'!$E$9+1,1))-AVERAGE(OFFSET($H$3,0,0,'Données projet'!$E$9+1,1))</f>
        <v>384.05928630855732</v>
      </c>
      <c r="T115" s="59">
        <f t="shared" si="88"/>
        <v>279.93992813630513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304.99999999999983</v>
      </c>
      <c r="AJ115" s="13">
        <f>AI115*VLOOKUP('Données projet'!$B$10,Paramètres!$A$1:$I$89,3,0)*VLOOKUP('Données projet'!$B$10,Paramètres!$A$1:$I$89,5,0)</f>
        <v>275.96399999999983</v>
      </c>
      <c r="AK115" s="13">
        <f t="shared" si="89"/>
        <v>66.113366665488854</v>
      </c>
      <c r="AL115" s="20">
        <f t="shared" si="58"/>
        <v>595.78474694239264</v>
      </c>
      <c r="AM115" s="59">
        <f t="shared" si="59"/>
        <v>889.11808027572602</v>
      </c>
      <c r="AN115" s="59">
        <f ca="1">AVERAGE(OFFSET($AM$3,0,0,'Données projet'!$E$10+1,1))-AVERAGE(OFFSET($H$3,0,0,'Données projet'!$E$10+1,1))</f>
        <v>366.69125512029831</v>
      </c>
      <c r="AO115" s="59">
        <f t="shared" si="90"/>
        <v>513.80016421153414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0.31859778956461965</v>
      </c>
      <c r="AV115" s="21">
        <f>EXP(-LN(2)/25)*AV114+(1-EXP(-LN(2)/25))/(LN(2)/25)*Calculateur!AQ115*Calculateur!AS115*VLOOKUP('Données projet'!$B$10,Paramètres!$A$1:$I$89,3,0)*0.475*44/12</f>
        <v>0.76007200833712429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1.0786697979017439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212.28480000000002</v>
      </c>
      <c r="BF115" s="13">
        <f t="shared" si="91"/>
        <v>52.434557099704193</v>
      </c>
      <c r="BG115" s="20">
        <f t="shared" si="61"/>
        <v>461.05288028198476</v>
      </c>
      <c r="BH115" s="59">
        <f t="shared" si="62"/>
        <v>754.38621361531807</v>
      </c>
      <c r="BI115" s="59">
        <f ca="1">AVERAGE(OFFSET($BH$3,0,0,'Données projet'!$E$11+1,1))-AVERAGE(OFFSET($H$3,0,0,'Données projet'!$E$11+1,1))</f>
        <v>354.24684313982857</v>
      </c>
      <c r="BJ115" s="59">
        <f t="shared" si="92"/>
        <v>322.65043486962185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21.487961281314977</v>
      </c>
      <c r="BQ115" s="21">
        <f>EXP(-LN(2)/25)*BQ114+(1-EXP(-LN(2)/25))/(LN(2)/25)*Calculateur!BL115*Calculateur!BN115*VLOOKUP('Données projet'!$B$11,Paramètres!$A$1:$I$89,3,0)*0.475*44/12</f>
        <v>10.676178257380043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32.164139538695018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6.8461538461538511</v>
      </c>
      <c r="BY115" s="12">
        <f>IF('Données projet'!$A$114&gt;35,BY114+BX115-CG114,IF(A115&lt;'Données projet'!$A$114,$BV$205^A115,IF(A115='Données projet'!$A$114,'Données projet'!$B$114,BY114+BX115-CG114)))</f>
        <v>309.41666666666703</v>
      </c>
      <c r="BZ115" s="13">
        <f>BY115*VLOOKUP('Données projet'!$B$12,Paramètres!$A$1:$I$89,3,0)*VLOOKUP('Données projet'!$B$12,Paramètres!$A$1:$I$89,5,0)</f>
        <v>299.26780000000036</v>
      </c>
      <c r="CA115" s="13">
        <f t="shared" si="93"/>
        <v>71.022944407954824</v>
      </c>
      <c r="CB115" s="20">
        <f t="shared" si="64"/>
        <v>644.92304651052189</v>
      </c>
      <c r="CC115" s="59">
        <f t="shared" si="65"/>
        <v>938.25637984385526</v>
      </c>
      <c r="CD115" s="59">
        <f ca="1">AVERAGE(OFFSET($CC$3,0,0,'Données projet'!$E$12+1,1))-AVERAGE(OFFSET($H$3,0,0,'Données projet'!$E$12+1,1))</f>
        <v>407.73540492005355</v>
      </c>
      <c r="CE115" s="59">
        <f t="shared" si="94"/>
        <v>296.29416764204774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60.607672382311279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60.607672382311279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266.99999999999983</v>
      </c>
      <c r="CU115" s="17">
        <f>CT115*VLOOKUP('Données projet'!$B$13,Paramètres!$A$1:$I$89,3,0)*VLOOKUP('Données projet'!$B$13,Paramètres!$A$1:$I$89,5,0)</f>
        <v>212.42519999999985</v>
      </c>
      <c r="CV115" s="13">
        <f t="shared" si="95"/>
        <v>52.465198231787184</v>
      </c>
      <c r="CW115" s="20">
        <f t="shared" si="67"/>
        <v>461.35077692036231</v>
      </c>
      <c r="CX115" s="59">
        <f t="shared" si="68"/>
        <v>754.68411025369562</v>
      </c>
      <c r="CY115" s="59">
        <f ca="1">AVERAGE(OFFSET($CX$3,0,0,'Données projet'!$E$13+1,1))-AVERAGE(OFFSET($H$3,0,0,'Données projet'!$E$13+1,1))</f>
        <v>299.10536994156814</v>
      </c>
      <c r="CZ115" s="59">
        <f t="shared" si="96"/>
        <v>292.57799203101769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15.276862979767579</v>
      </c>
      <c r="DG115" s="21">
        <f>EXP(-LN(2)/25)*DG114+(1-EXP(-LN(2)/25))/(LN(2)/25)*Calculateur!DB115*Calculateur!DD115*VLOOKUP('Données projet'!$B$13,Paramètres!$A$1:$I$89,3,0)*0.475*44/12</f>
        <v>3.4298119362457271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18.706674916013306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266.99999999999983</v>
      </c>
      <c r="DP115" s="17">
        <f>DO115*VLOOKUP('Données projet'!$B$14,Paramètres!$A$1:$I$89,3,0)*VLOOKUP('Données projet'!$B$14,Paramètres!$A$1:$I$89,5,0)</f>
        <v>212.42519999999985</v>
      </c>
      <c r="DQ115" s="13">
        <f t="shared" si="97"/>
        <v>52.465198231787184</v>
      </c>
      <c r="DR115" s="20">
        <f t="shared" si="70"/>
        <v>461.35077692036231</v>
      </c>
      <c r="DS115" s="59">
        <f t="shared" si="71"/>
        <v>754.68411025369562</v>
      </c>
      <c r="DT115" s="59">
        <f ca="1">AVERAGE(OFFSET($DS$3,0,0,'Données projet'!$E$14+1,1))-AVERAGE(OFFSET($H$3,0,0,'Données projet'!$E$14+1,1))</f>
        <v>299.10536994156814</v>
      </c>
      <c r="DU115" s="59">
        <f t="shared" si="98"/>
        <v>292.57799203101769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15.276862979767579</v>
      </c>
      <c r="EB115" s="21">
        <f>EXP(-LN(2)/25)*EB114+(1-EXP(-LN(2)/25))/(LN(2)/25)*Calculateur!DW115*Calculateur!DY115*VLOOKUP('Données projet'!$B$14,Paramètres!$A$1:$I$89,3,0)*0.475*44/12</f>
        <v>3.4298119362457271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18.706674916013306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204.00000000000017</v>
      </c>
      <c r="EK115" s="17">
        <f>EJ115*VLOOKUP('Données projet'!$B$15,Paramètres!$A$1:$I$89,3,0)*VLOOKUP('Données projet'!$B$15,Paramètres!$A$1:$I$89,5,0)</f>
        <v>133.66080000000011</v>
      </c>
      <c r="EL115" s="13">
        <f t="shared" si="99"/>
        <v>34.840890682716783</v>
      </c>
      <c r="EM115" s="20">
        <f t="shared" si="73"/>
        <v>293.4737779390652</v>
      </c>
      <c r="EN115" s="59">
        <f t="shared" si="74"/>
        <v>586.80711127239852</v>
      </c>
      <c r="EO115" s="59">
        <f ca="1">AVERAGE(OFFSET($EN$3,0,0,'Données projet'!$E$15+1,1))-AVERAGE(OFFSET($H$3,0,0,'Données projet'!$E$15+1,1))</f>
        <v>230.58262378842818</v>
      </c>
      <c r="EP115" s="59">
        <f t="shared" si="100"/>
        <v>235.68746142880792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1.235165242296137</v>
      </c>
      <c r="EW115" s="21">
        <f>EXP(-LN(2)/25)*EW114+(1-EXP(-LN(2)/25))/(LN(2)/25)*Calculateur!ER115*Calculateur!ET115*VLOOKUP('Données projet'!$B$15,Paramètres!$A$1:$I$89,3,0)*0.475*44/12</f>
        <v>5.8619384462824016</v>
      </c>
      <c r="EX115" s="21">
        <f>EXP(-LN(2)/2)*EX114+(1-EXP(-LN(2)/2))/(LN(2)/2)*ER115*EU115*VLOOKUP('Données projet'!$B$15,Paramètres!$A$1:$I$89,3,0)*0.475*44/12</f>
        <v>1.4536516929115691E-3</v>
      </c>
      <c r="EY115" s="22">
        <f t="shared" si="75"/>
        <v>7.0985573402714506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234.00000000000003</v>
      </c>
      <c r="FF115" s="17">
        <f>FE115*VLOOKUP('Données projet'!$B$16,Paramètres!$A$1:$I$89,3,0)*VLOOKUP('Données projet'!$B$16,Paramètres!$A$1:$I$89,5,0)</f>
        <v>189.82080000000005</v>
      </c>
      <c r="FG115" s="13">
        <f t="shared" si="101"/>
        <v>47.500332100049796</v>
      </c>
      <c r="FH115" s="20">
        <f t="shared" si="76"/>
        <v>413.33430507425345</v>
      </c>
      <c r="FI115" s="59">
        <f t="shared" si="77"/>
        <v>706.66763840758676</v>
      </c>
      <c r="FJ115" s="59">
        <f ca="1">AVERAGE(OFFSET($FI$3,0,0,'Données projet'!$E$16+1,1))-AVERAGE(OFFSET($H$3,0,0,'Données projet'!$E$16+1,1))</f>
        <v>272.90535195666996</v>
      </c>
      <c r="FK115" s="59">
        <f t="shared" si="102"/>
        <v>222.25422164416898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3.0237696198660036</v>
      </c>
      <c r="FR115" s="21">
        <f>EXP(-LN(2)/25)*FR114+(1-EXP(-LN(2)/25))/(LN(2)/25)*Calculateur!FM115*Calculateur!FO115*VLOOKUP('Données projet'!$B$16,Paramètres!$A$1:$I$89,3,0)*0.475*44/12</f>
        <v>6.6922829771276175</v>
      </c>
      <c r="FS115" s="21">
        <f>EXP(-LN(2)/2)*FS114+(1-EXP(-LN(2)/2))/(LN(2)/2)*FM115*FP115*VLOOKUP('Données projet'!$B$16,Paramètres!$A$1:$I$89,3,0)*0.475*44/12</f>
        <v>6.6113977917264713E-4</v>
      </c>
      <c r="FT115" s="22">
        <f t="shared" si="78"/>
        <v>9.7167137367727925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910.61588243385177</v>
      </c>
      <c r="S116" s="59">
        <f ca="1">AVERAGE(OFFSET($R$3,0,0,'Données projet'!$E$9+1,1))-AVERAGE(OFFSET($H$3,0,0,'Données projet'!$E$9+1,1))</f>
        <v>384.05928630855732</v>
      </c>
      <c r="T116" s="59">
        <f t="shared" si="88"/>
        <v>279.93992813630513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304.99999999999983</v>
      </c>
      <c r="AJ116" s="13">
        <f>AI116*VLOOKUP('Données projet'!$B$10,Paramètres!$A$1:$I$89,3,0)*VLOOKUP('Données projet'!$B$10,Paramètres!$A$1:$I$89,5,0)</f>
        <v>275.96399999999983</v>
      </c>
      <c r="AK116" s="13">
        <f t="shared" si="89"/>
        <v>66.113366665488854</v>
      </c>
      <c r="AL116" s="20">
        <f t="shared" si="58"/>
        <v>595.78474694239264</v>
      </c>
      <c r="AM116" s="59">
        <f t="shared" si="59"/>
        <v>889.11808027572602</v>
      </c>
      <c r="AN116" s="59">
        <f ca="1">AVERAGE(OFFSET($AM$3,0,0,'Données projet'!$E$10+1,1))-AVERAGE(OFFSET($H$3,0,0,'Données projet'!$E$10+1,1))</f>
        <v>366.69125512029831</v>
      </c>
      <c r="AO116" s="59">
        <f t="shared" si="90"/>
        <v>513.80016421153414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0.31235028123672104</v>
      </c>
      <c r="AV116" s="21">
        <f>EXP(-LN(2)/25)*AV115+(1-EXP(-LN(2)/25))/(LN(2)/25)*Calculateur!AQ116*Calculateur!AS116*VLOOKUP('Données projet'!$B$10,Paramètres!$A$1:$I$89,3,0)*0.475*44/12</f>
        <v>0.73928779929869592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1.0516380805354171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212.28480000000002</v>
      </c>
      <c r="BF116" s="13">
        <f t="shared" si="91"/>
        <v>52.434557099704193</v>
      </c>
      <c r="BG116" s="20">
        <f t="shared" si="61"/>
        <v>461.05288028198476</v>
      </c>
      <c r="BH116" s="59">
        <f t="shared" si="62"/>
        <v>754.38621361531807</v>
      </c>
      <c r="BI116" s="59">
        <f ca="1">AVERAGE(OFFSET($BH$3,0,0,'Données projet'!$E$11+1,1))-AVERAGE(OFFSET($H$3,0,0,'Données projet'!$E$11+1,1))</f>
        <v>354.24684313982857</v>
      </c>
      <c r="BJ116" s="59">
        <f t="shared" si="92"/>
        <v>322.65043486962185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21.066595466950627</v>
      </c>
      <c r="BQ116" s="21">
        <f>EXP(-LN(2)/25)*BQ115+(1-EXP(-LN(2)/25))/(LN(2)/25)*Calculateur!BL116*Calculateur!BN116*VLOOKUP('Données projet'!$B$11,Paramètres!$A$1:$I$89,3,0)*0.475*44/12</f>
        <v>10.384237601496171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31.450833068446798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6.8461538461538511</v>
      </c>
      <c r="BY116" s="12">
        <f>IF('Données projet'!$A$114&gt;35,BY115+BX116-CG115,IF(A116&lt;'Données projet'!$A$114,$BV$205^A116,IF(A116='Données projet'!$A$114,'Données projet'!$B$114,BY115+BX116-CG115)))</f>
        <v>316.26282051282089</v>
      </c>
      <c r="BZ116" s="13">
        <f>BY116*VLOOKUP('Données projet'!$B$12,Paramètres!$A$1:$I$89,3,0)*VLOOKUP('Données projet'!$B$12,Paramètres!$A$1:$I$89,5,0)</f>
        <v>305.88940000000042</v>
      </c>
      <c r="CA116" s="13">
        <f t="shared" si="93"/>
        <v>72.409707494527041</v>
      </c>
      <c r="CB116" s="20">
        <f t="shared" si="64"/>
        <v>658.87094555296858</v>
      </c>
      <c r="CC116" s="59">
        <f t="shared" si="65"/>
        <v>952.20427888630184</v>
      </c>
      <c r="CD116" s="59">
        <f ca="1">AVERAGE(OFFSET($CC$3,0,0,'Données projet'!$E$12+1,1))-AVERAGE(OFFSET($H$3,0,0,'Données projet'!$E$12+1,1))</f>
        <v>407.73540492005355</v>
      </c>
      <c r="CE116" s="59">
        <f t="shared" si="94"/>
        <v>296.29416764204774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59.419192893924119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59.419192893924119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266.99999999999983</v>
      </c>
      <c r="CU116" s="17">
        <f>CT116*VLOOKUP('Données projet'!$B$13,Paramètres!$A$1:$I$89,3,0)*VLOOKUP('Données projet'!$B$13,Paramètres!$A$1:$I$89,5,0)</f>
        <v>212.42519999999985</v>
      </c>
      <c r="CV116" s="13">
        <f t="shared" si="95"/>
        <v>52.465198231787184</v>
      </c>
      <c r="CW116" s="20">
        <f t="shared" si="67"/>
        <v>461.35077692036231</v>
      </c>
      <c r="CX116" s="59">
        <f t="shared" si="68"/>
        <v>754.68411025369562</v>
      </c>
      <c r="CY116" s="59">
        <f ca="1">AVERAGE(OFFSET($CX$3,0,0,'Données projet'!$E$13+1,1))-AVERAGE(OFFSET($H$3,0,0,'Données projet'!$E$13+1,1))</f>
        <v>299.10536994156814</v>
      </c>
      <c r="CZ116" s="59">
        <f t="shared" si="96"/>
        <v>292.57799203101769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14.977293014700681</v>
      </c>
      <c r="DG116" s="21">
        <f>EXP(-LN(2)/25)*DG115+(1-EXP(-LN(2)/25))/(LN(2)/25)*Calculateur!DB116*Calculateur!DD116*VLOOKUP('Données projet'!$B$13,Paramètres!$A$1:$I$89,3,0)*0.475*44/12</f>
        <v>3.3360235484831171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18.313316563183797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266.99999999999983</v>
      </c>
      <c r="DP116" s="17">
        <f>DO116*VLOOKUP('Données projet'!$B$14,Paramètres!$A$1:$I$89,3,0)*VLOOKUP('Données projet'!$B$14,Paramètres!$A$1:$I$89,5,0)</f>
        <v>212.42519999999985</v>
      </c>
      <c r="DQ116" s="13">
        <f t="shared" si="97"/>
        <v>52.465198231787184</v>
      </c>
      <c r="DR116" s="20">
        <f t="shared" si="70"/>
        <v>461.35077692036231</v>
      </c>
      <c r="DS116" s="59">
        <f t="shared" si="71"/>
        <v>754.68411025369562</v>
      </c>
      <c r="DT116" s="59">
        <f ca="1">AVERAGE(OFFSET($DS$3,0,0,'Données projet'!$E$14+1,1))-AVERAGE(OFFSET($H$3,0,0,'Données projet'!$E$14+1,1))</f>
        <v>299.10536994156814</v>
      </c>
      <c r="DU116" s="59">
        <f t="shared" si="98"/>
        <v>292.57799203101769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14.977293014700681</v>
      </c>
      <c r="EB116" s="21">
        <f>EXP(-LN(2)/25)*EB115+(1-EXP(-LN(2)/25))/(LN(2)/25)*Calculateur!DW116*Calculateur!DY116*VLOOKUP('Données projet'!$B$14,Paramètres!$A$1:$I$89,3,0)*0.475*44/12</f>
        <v>3.3360235484831171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18.313316563183797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204.00000000000017</v>
      </c>
      <c r="EK116" s="17">
        <f>EJ116*VLOOKUP('Données projet'!$B$15,Paramètres!$A$1:$I$89,3,0)*VLOOKUP('Données projet'!$B$15,Paramètres!$A$1:$I$89,5,0)</f>
        <v>133.66080000000011</v>
      </c>
      <c r="EL116" s="13">
        <f t="shared" si="99"/>
        <v>34.840890682716783</v>
      </c>
      <c r="EM116" s="20">
        <f t="shared" si="73"/>
        <v>293.4737779390652</v>
      </c>
      <c r="EN116" s="59">
        <f t="shared" si="74"/>
        <v>586.80711127239852</v>
      </c>
      <c r="EO116" s="59">
        <f ca="1">AVERAGE(OFFSET($EN$3,0,0,'Données projet'!$E$15+1,1))-AVERAGE(OFFSET($H$3,0,0,'Données projet'!$E$15+1,1))</f>
        <v>230.58262378842818</v>
      </c>
      <c r="EP116" s="59">
        <f t="shared" si="100"/>
        <v>235.68746142880792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1.2109444052711178</v>
      </c>
      <c r="EW116" s="21">
        <f>EXP(-LN(2)/25)*EW115+(1-EXP(-LN(2)/25))/(LN(2)/25)*Calculateur!ER116*Calculateur!ET116*VLOOKUP('Données projet'!$B$15,Paramètres!$A$1:$I$89,3,0)*0.475*44/12</f>
        <v>5.7016434312028643</v>
      </c>
      <c r="EX116" s="21">
        <f>EXP(-LN(2)/2)*EX115+(1-EXP(-LN(2)/2))/(LN(2)/2)*ER116*EU116*VLOOKUP('Données projet'!$B$15,Paramètres!$A$1:$I$89,3,0)*0.475*44/12</f>
        <v>1.0278869695410752E-3</v>
      </c>
      <c r="EY116" s="22">
        <f t="shared" si="75"/>
        <v>6.9136157234435229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234.00000000000003</v>
      </c>
      <c r="FF116" s="17">
        <f>FE116*VLOOKUP('Données projet'!$B$16,Paramètres!$A$1:$I$89,3,0)*VLOOKUP('Données projet'!$B$16,Paramètres!$A$1:$I$89,5,0)</f>
        <v>189.82080000000005</v>
      </c>
      <c r="FG116" s="13">
        <f t="shared" si="101"/>
        <v>47.500332100049796</v>
      </c>
      <c r="FH116" s="20">
        <f t="shared" si="76"/>
        <v>413.33430507425345</v>
      </c>
      <c r="FI116" s="59">
        <f t="shared" si="77"/>
        <v>706.66763840758676</v>
      </c>
      <c r="FJ116" s="59">
        <f ca="1">AVERAGE(OFFSET($FI$3,0,0,'Données projet'!$E$16+1,1))-AVERAGE(OFFSET($H$3,0,0,'Données projet'!$E$16+1,1))</f>
        <v>272.90535195666996</v>
      </c>
      <c r="FK116" s="59">
        <f t="shared" si="102"/>
        <v>222.25422164416898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2.9644753419377881</v>
      </c>
      <c r="FR116" s="21">
        <f>EXP(-LN(2)/25)*FR115+(1-EXP(-LN(2)/25))/(LN(2)/25)*Calculateur!FM116*Calculateur!FO116*VLOOKUP('Données projet'!$B$16,Paramètres!$A$1:$I$89,3,0)*0.475*44/12</f>
        <v>6.5092821471861964</v>
      </c>
      <c r="FS116" s="21">
        <f>EXP(-LN(2)/2)*FS115+(1-EXP(-LN(2)/2))/(LN(2)/2)*FM116*FP116*VLOOKUP('Données projet'!$B$16,Paramètres!$A$1:$I$89,3,0)*0.475*44/12</f>
        <v>4.6749642116515535E-4</v>
      </c>
      <c r="FT116" s="22">
        <f t="shared" si="78"/>
        <v>9.4742249855451508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923.67579434344702</v>
      </c>
      <c r="S117" s="59">
        <f ca="1">AVERAGE(OFFSET($R$3,0,0,'Données projet'!$E$9+1,1))-AVERAGE(OFFSET($H$3,0,0,'Données projet'!$E$9+1,1))</f>
        <v>384.05928630855732</v>
      </c>
      <c r="T117" s="59">
        <f t="shared" si="88"/>
        <v>279.93992813630513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304.99999999999983</v>
      </c>
      <c r="AJ117" s="13">
        <f>AI117*VLOOKUP('Données projet'!$B$10,Paramètres!$A$1:$I$89,3,0)*VLOOKUP('Données projet'!$B$10,Paramètres!$A$1:$I$89,5,0)</f>
        <v>275.96399999999983</v>
      </c>
      <c r="AK117" s="13">
        <f t="shared" si="89"/>
        <v>66.113366665488854</v>
      </c>
      <c r="AL117" s="20">
        <f t="shared" si="58"/>
        <v>595.78474694239264</v>
      </c>
      <c r="AM117" s="59">
        <f t="shared" si="59"/>
        <v>889.11808027572602</v>
      </c>
      <c r="AN117" s="59">
        <f ca="1">AVERAGE(OFFSET($AM$3,0,0,'Données projet'!$E$10+1,1))-AVERAGE(OFFSET($H$3,0,0,'Données projet'!$E$10+1,1))</f>
        <v>366.69125512029831</v>
      </c>
      <c r="AO117" s="59">
        <f t="shared" si="90"/>
        <v>513.80016421153414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0.30622528273652871</v>
      </c>
      <c r="AV117" s="21">
        <f>EXP(-LN(2)/25)*AV116+(1-EXP(-LN(2)/25))/(LN(2)/25)*Calculateur!AQ117*Calculateur!AS117*VLOOKUP('Données projet'!$B$10,Paramètres!$A$1:$I$89,3,0)*0.475*44/12</f>
        <v>0.7190719355494174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1.0252972182859461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212.28480000000002</v>
      </c>
      <c r="BF117" s="13">
        <f t="shared" si="91"/>
        <v>52.434557099704193</v>
      </c>
      <c r="BG117" s="20">
        <f t="shared" si="61"/>
        <v>461.05288028198476</v>
      </c>
      <c r="BH117" s="59">
        <f t="shared" si="62"/>
        <v>754.38621361531807</v>
      </c>
      <c r="BI117" s="59">
        <f ca="1">AVERAGE(OFFSET($BH$3,0,0,'Données projet'!$E$11+1,1))-AVERAGE(OFFSET($H$3,0,0,'Données projet'!$E$11+1,1))</f>
        <v>354.24684313982857</v>
      </c>
      <c r="BJ117" s="59">
        <f t="shared" si="92"/>
        <v>322.65043486962185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20.653492379198191</v>
      </c>
      <c r="BQ117" s="21">
        <f>EXP(-LN(2)/25)*BQ116+(1-EXP(-LN(2)/25))/(LN(2)/25)*Calculateur!BL117*Calculateur!BN117*VLOOKUP('Données projet'!$B$11,Paramètres!$A$1:$I$89,3,0)*0.475*44/12</f>
        <v>10.100280078199937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30.753772457398128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6.8461538461538511</v>
      </c>
      <c r="BY117" s="12">
        <f>IF('Données projet'!$A$114&gt;35,BY116+BX117-CG116,IF(A117&lt;'Données projet'!$A$114,$BV$205^A117,IF(A117='Données projet'!$A$114,'Données projet'!$B$114,BY116+BX117-CG116)))</f>
        <v>323.10897435897476</v>
      </c>
      <c r="BZ117" s="13">
        <f>BY117*VLOOKUP('Données projet'!$B$12,Paramètres!$A$1:$I$89,3,0)*VLOOKUP('Données projet'!$B$12,Paramètres!$A$1:$I$89,5,0)</f>
        <v>312.51100000000037</v>
      </c>
      <c r="CA117" s="13">
        <f t="shared" si="93"/>
        <v>73.792980443207668</v>
      </c>
      <c r="CB117" s="20">
        <f t="shared" si="64"/>
        <v>672.81276593858729</v>
      </c>
      <c r="CC117" s="59">
        <f t="shared" si="65"/>
        <v>966.14609927192055</v>
      </c>
      <c r="CD117" s="59">
        <f ca="1">AVERAGE(OFFSET($CC$3,0,0,'Données projet'!$E$12+1,1))-AVERAGE(OFFSET($H$3,0,0,'Données projet'!$E$12+1,1))</f>
        <v>407.73540492005355</v>
      </c>
      <c r="CE117" s="59">
        <f t="shared" si="94"/>
        <v>296.29416764204774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58.254018763403323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58.254018763403323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266.99999999999983</v>
      </c>
      <c r="CU117" s="17">
        <f>CT117*VLOOKUP('Données projet'!$B$13,Paramètres!$A$1:$I$89,3,0)*VLOOKUP('Données projet'!$B$13,Paramètres!$A$1:$I$89,5,0)</f>
        <v>212.42519999999985</v>
      </c>
      <c r="CV117" s="13">
        <f t="shared" si="95"/>
        <v>52.465198231787184</v>
      </c>
      <c r="CW117" s="20">
        <f t="shared" si="67"/>
        <v>461.35077692036231</v>
      </c>
      <c r="CX117" s="59">
        <f t="shared" si="68"/>
        <v>754.68411025369562</v>
      </c>
      <c r="CY117" s="59">
        <f ca="1">AVERAGE(OFFSET($CX$3,0,0,'Données projet'!$E$13+1,1))-AVERAGE(OFFSET($H$3,0,0,'Données projet'!$E$13+1,1))</f>
        <v>299.10536994156814</v>
      </c>
      <c r="CZ117" s="59">
        <f t="shared" si="96"/>
        <v>292.57799203101769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14.683597433929108</v>
      </c>
      <c r="DG117" s="21">
        <f>EXP(-LN(2)/25)*DG116+(1-EXP(-LN(2)/25))/(LN(2)/25)*Calculateur!DB117*Calculateur!DD117*VLOOKUP('Données projet'!$B$13,Paramètres!$A$1:$I$89,3,0)*0.475*44/12</f>
        <v>3.2447998091159924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17.928397243045101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266.99999999999983</v>
      </c>
      <c r="DP117" s="17">
        <f>DO117*VLOOKUP('Données projet'!$B$14,Paramètres!$A$1:$I$89,3,0)*VLOOKUP('Données projet'!$B$14,Paramètres!$A$1:$I$89,5,0)</f>
        <v>212.42519999999985</v>
      </c>
      <c r="DQ117" s="13">
        <f t="shared" si="97"/>
        <v>52.465198231787184</v>
      </c>
      <c r="DR117" s="20">
        <f t="shared" si="70"/>
        <v>461.35077692036231</v>
      </c>
      <c r="DS117" s="59">
        <f t="shared" si="71"/>
        <v>754.68411025369562</v>
      </c>
      <c r="DT117" s="59">
        <f ca="1">AVERAGE(OFFSET($DS$3,0,0,'Données projet'!$E$14+1,1))-AVERAGE(OFFSET($H$3,0,0,'Données projet'!$E$14+1,1))</f>
        <v>299.10536994156814</v>
      </c>
      <c r="DU117" s="59">
        <f t="shared" si="98"/>
        <v>292.57799203101769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14.683597433929108</v>
      </c>
      <c r="EB117" s="21">
        <f>EXP(-LN(2)/25)*EB116+(1-EXP(-LN(2)/25))/(LN(2)/25)*Calculateur!DW117*Calculateur!DY117*VLOOKUP('Données projet'!$B$14,Paramètres!$A$1:$I$89,3,0)*0.475*44/12</f>
        <v>3.2447998091159924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17.928397243045101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204.00000000000017</v>
      </c>
      <c r="EK117" s="17">
        <f>EJ117*VLOOKUP('Données projet'!$B$15,Paramètres!$A$1:$I$89,3,0)*VLOOKUP('Données projet'!$B$15,Paramètres!$A$1:$I$89,5,0)</f>
        <v>133.66080000000011</v>
      </c>
      <c r="EL117" s="13">
        <f t="shared" si="99"/>
        <v>34.840890682716783</v>
      </c>
      <c r="EM117" s="20">
        <f t="shared" si="73"/>
        <v>293.4737779390652</v>
      </c>
      <c r="EN117" s="59">
        <f t="shared" si="74"/>
        <v>586.80711127239852</v>
      </c>
      <c r="EO117" s="59">
        <f ca="1">AVERAGE(OFFSET($EN$3,0,0,'Données projet'!$E$15+1,1))-AVERAGE(OFFSET($H$3,0,0,'Données projet'!$E$15+1,1))</f>
        <v>230.58262378842818</v>
      </c>
      <c r="EP117" s="59">
        <f t="shared" si="100"/>
        <v>235.68746142880792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1.1871985240869074</v>
      </c>
      <c r="EW117" s="21">
        <f>EXP(-LN(2)/25)*EW116+(1-EXP(-LN(2)/25))/(LN(2)/25)*Calculateur!ER117*Calculateur!ET117*VLOOKUP('Données projet'!$B$15,Paramètres!$A$1:$I$89,3,0)*0.475*44/12</f>
        <v>5.5457316917402251</v>
      </c>
      <c r="EX117" s="21">
        <f>EXP(-LN(2)/2)*EX116+(1-EXP(-LN(2)/2))/(LN(2)/2)*ER117*EU117*VLOOKUP('Données projet'!$B$15,Paramètres!$A$1:$I$89,3,0)*0.475*44/12</f>
        <v>7.2682584645578454E-4</v>
      </c>
      <c r="EY117" s="22">
        <f t="shared" si="75"/>
        <v>6.7336570416735881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234.00000000000003</v>
      </c>
      <c r="FF117" s="17">
        <f>FE117*VLOOKUP('Données projet'!$B$16,Paramètres!$A$1:$I$89,3,0)*VLOOKUP('Données projet'!$B$16,Paramètres!$A$1:$I$89,5,0)</f>
        <v>189.82080000000005</v>
      </c>
      <c r="FG117" s="13">
        <f t="shared" si="101"/>
        <v>47.500332100049796</v>
      </c>
      <c r="FH117" s="20">
        <f t="shared" si="76"/>
        <v>413.33430507425345</v>
      </c>
      <c r="FI117" s="59">
        <f t="shared" si="77"/>
        <v>706.66763840758676</v>
      </c>
      <c r="FJ117" s="59">
        <f ca="1">AVERAGE(OFFSET($FI$3,0,0,'Données projet'!$E$16+1,1))-AVERAGE(OFFSET($H$3,0,0,'Données projet'!$E$16+1,1))</f>
        <v>272.90535195666996</v>
      </c>
      <c r="FK117" s="59">
        <f t="shared" si="102"/>
        <v>222.25422164416898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2.9063437886338064</v>
      </c>
      <c r="FR117" s="21">
        <f>EXP(-LN(2)/25)*FR116+(1-EXP(-LN(2)/25))/(LN(2)/25)*Calculateur!FM117*Calculateur!FO117*VLOOKUP('Données projet'!$B$16,Paramètres!$A$1:$I$89,3,0)*0.475*44/12</f>
        <v>6.3312854845631188</v>
      </c>
      <c r="FS117" s="21">
        <f>EXP(-LN(2)/2)*FS116+(1-EXP(-LN(2)/2))/(LN(2)/2)*FM117*FP117*VLOOKUP('Données projet'!$B$16,Paramètres!$A$1:$I$89,3,0)*0.475*44/12</f>
        <v>3.3056988958632356E-4</v>
      </c>
      <c r="FT117" s="22">
        <f t="shared" si="78"/>
        <v>9.2379598430865109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936.73011086616384</v>
      </c>
      <c r="S118" s="59">
        <f ca="1">AVERAGE(OFFSET($R$3,0,0,'Données projet'!$E$9+1,1))-AVERAGE(OFFSET($H$3,0,0,'Données projet'!$E$9+1,1))</f>
        <v>384.05928630855732</v>
      </c>
      <c r="T118" s="59">
        <f t="shared" si="88"/>
        <v>279.93992813630513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304.99999999999983</v>
      </c>
      <c r="AJ118" s="13">
        <f>AI118*VLOOKUP('Données projet'!$B$10,Paramètres!$A$1:$I$89,3,0)*VLOOKUP('Données projet'!$B$10,Paramètres!$A$1:$I$89,5,0)</f>
        <v>275.96399999999983</v>
      </c>
      <c r="AK118" s="13">
        <f t="shared" si="89"/>
        <v>66.113366665488854</v>
      </c>
      <c r="AL118" s="20">
        <f t="shared" si="58"/>
        <v>595.78474694239264</v>
      </c>
      <c r="AM118" s="59">
        <f t="shared" si="59"/>
        <v>889.11808027572602</v>
      </c>
      <c r="AN118" s="59">
        <f ca="1">AVERAGE(OFFSET($AM$3,0,0,'Données projet'!$E$10+1,1))-AVERAGE(OFFSET($H$3,0,0,'Données projet'!$E$10+1,1))</f>
        <v>366.69125512029831</v>
      </c>
      <c r="AO118" s="59">
        <f t="shared" si="90"/>
        <v>513.80016421153414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0.30022039172104498</v>
      </c>
      <c r="AV118" s="21">
        <f>EXP(-LN(2)/25)*AV117+(1-EXP(-LN(2)/25))/(LN(2)/25)*Calculateur!AQ118*Calculateur!AS118*VLOOKUP('Données projet'!$B$10,Paramètres!$A$1:$I$89,3,0)*0.475*44/12</f>
        <v>0.6994088756574689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0.99962926737851387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212.28480000000002</v>
      </c>
      <c r="BF118" s="13">
        <f t="shared" si="91"/>
        <v>52.434557099704193</v>
      </c>
      <c r="BG118" s="20">
        <f t="shared" si="61"/>
        <v>461.05288028198476</v>
      </c>
      <c r="BH118" s="59">
        <f t="shared" si="62"/>
        <v>754.38621361531807</v>
      </c>
      <c r="BI118" s="59">
        <f ca="1">AVERAGE(OFFSET($BH$3,0,0,'Données projet'!$E$11+1,1))-AVERAGE(OFFSET($H$3,0,0,'Données projet'!$E$11+1,1))</f>
        <v>354.24684313982857</v>
      </c>
      <c r="BJ118" s="59">
        <f t="shared" si="92"/>
        <v>322.65043486962185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20.248489991028578</v>
      </c>
      <c r="BQ118" s="21">
        <f>EXP(-LN(2)/25)*BQ117+(1-EXP(-LN(2)/25))/(LN(2)/25)*Calculateur!BL118*Calculateur!BN118*VLOOKUP('Données projet'!$B$11,Paramètres!$A$1:$I$89,3,0)*0.475*44/12</f>
        <v>9.8240873883109145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30.072577379339492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6.8461538461538511</v>
      </c>
      <c r="BY118" s="12">
        <f>IF('Données projet'!$A$114&gt;35,BY117+BX118-CG117,IF(A118&lt;'Données projet'!$A$114,$BV$205^A118,IF(A118='Données projet'!$A$114,'Données projet'!$B$114,BY117+BX118-CG117)))</f>
        <v>329.95512820512863</v>
      </c>
      <c r="BZ118" s="13">
        <f>BY118*VLOOKUP('Données projet'!$B$12,Paramètres!$A$1:$I$89,3,0)*VLOOKUP('Données projet'!$B$12,Paramètres!$A$1:$I$89,5,0)</f>
        <v>319.13260000000042</v>
      </c>
      <c r="CA118" s="13">
        <f t="shared" si="93"/>
        <v>75.172845722901712</v>
      </c>
      <c r="CB118" s="20">
        <f t="shared" si="64"/>
        <v>686.74865130072124</v>
      </c>
      <c r="CC118" s="59">
        <f t="shared" si="65"/>
        <v>980.08198463405461</v>
      </c>
      <c r="CD118" s="59">
        <f ca="1">AVERAGE(OFFSET($CC$3,0,0,'Données projet'!$E$12+1,1))-AVERAGE(OFFSET($H$3,0,0,'Données projet'!$E$12+1,1))</f>
        <v>407.73540492005355</v>
      </c>
      <c r="CE118" s="59">
        <f t="shared" si="94"/>
        <v>296.29416764204774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57.111692986895989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57.111692986895989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266.99999999999983</v>
      </c>
      <c r="CU118" s="17">
        <f>CT118*VLOOKUP('Données projet'!$B$13,Paramètres!$A$1:$I$89,3,0)*VLOOKUP('Données projet'!$B$13,Paramètres!$A$1:$I$89,5,0)</f>
        <v>212.42519999999985</v>
      </c>
      <c r="CV118" s="13">
        <f t="shared" si="95"/>
        <v>52.465198231787184</v>
      </c>
      <c r="CW118" s="20">
        <f t="shared" si="67"/>
        <v>461.35077692036231</v>
      </c>
      <c r="CX118" s="59">
        <f t="shared" si="68"/>
        <v>754.68411025369562</v>
      </c>
      <c r="CY118" s="59">
        <f ca="1">AVERAGE(OFFSET($CX$3,0,0,'Données projet'!$E$13+1,1))-AVERAGE(OFFSET($H$3,0,0,'Données projet'!$E$13+1,1))</f>
        <v>299.10536994156814</v>
      </c>
      <c r="CZ118" s="59">
        <f t="shared" si="96"/>
        <v>292.57799203101769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14.395661044359851</v>
      </c>
      <c r="DG118" s="21">
        <f>EXP(-LN(2)/25)*DG117+(1-EXP(-LN(2)/25))/(LN(2)/25)*Calculateur!DB118*Calculateur!DD118*VLOOKUP('Données projet'!$B$13,Paramètres!$A$1:$I$89,3,0)*0.475*44/12</f>
        <v>3.1560705876991095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17.55173163205896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266.99999999999983</v>
      </c>
      <c r="DP118" s="17">
        <f>DO118*VLOOKUP('Données projet'!$B$14,Paramètres!$A$1:$I$89,3,0)*VLOOKUP('Données projet'!$B$14,Paramètres!$A$1:$I$89,5,0)</f>
        <v>212.42519999999985</v>
      </c>
      <c r="DQ118" s="13">
        <f t="shared" si="97"/>
        <v>52.465198231787184</v>
      </c>
      <c r="DR118" s="20">
        <f t="shared" si="70"/>
        <v>461.35077692036231</v>
      </c>
      <c r="DS118" s="59">
        <f t="shared" si="71"/>
        <v>754.68411025369562</v>
      </c>
      <c r="DT118" s="59">
        <f ca="1">AVERAGE(OFFSET($DS$3,0,0,'Données projet'!$E$14+1,1))-AVERAGE(OFFSET($H$3,0,0,'Données projet'!$E$14+1,1))</f>
        <v>299.10536994156814</v>
      </c>
      <c r="DU118" s="59">
        <f t="shared" si="98"/>
        <v>292.57799203101769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14.395661044359851</v>
      </c>
      <c r="EB118" s="21">
        <f>EXP(-LN(2)/25)*EB117+(1-EXP(-LN(2)/25))/(LN(2)/25)*Calculateur!DW118*Calculateur!DY118*VLOOKUP('Données projet'!$B$14,Paramètres!$A$1:$I$89,3,0)*0.475*44/12</f>
        <v>3.1560705876991095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17.55173163205896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204.00000000000017</v>
      </c>
      <c r="EK118" s="17">
        <f>EJ118*VLOOKUP('Données projet'!$B$15,Paramètres!$A$1:$I$89,3,0)*VLOOKUP('Données projet'!$B$15,Paramètres!$A$1:$I$89,5,0)</f>
        <v>133.66080000000011</v>
      </c>
      <c r="EL118" s="13">
        <f t="shared" si="99"/>
        <v>34.840890682716783</v>
      </c>
      <c r="EM118" s="20">
        <f t="shared" si="73"/>
        <v>293.4737779390652</v>
      </c>
      <c r="EN118" s="59">
        <f t="shared" si="74"/>
        <v>586.80711127239852</v>
      </c>
      <c r="EO118" s="59">
        <f ca="1">AVERAGE(OFFSET($EN$3,0,0,'Données projet'!$E$15+1,1))-AVERAGE(OFFSET($H$3,0,0,'Données projet'!$E$15+1,1))</f>
        <v>230.58262378842818</v>
      </c>
      <c r="EP118" s="59">
        <f t="shared" si="100"/>
        <v>235.68746142880792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1.1639182851491621</v>
      </c>
      <c r="EW118" s="21">
        <f>EXP(-LN(2)/25)*EW117+(1-EXP(-LN(2)/25))/(LN(2)/25)*Calculateur!ER118*Calculateur!ET118*VLOOKUP('Données projet'!$B$15,Paramètres!$A$1:$I$89,3,0)*0.475*44/12</f>
        <v>5.3940833669922341</v>
      </c>
      <c r="EX118" s="21">
        <f>EXP(-LN(2)/2)*EX117+(1-EXP(-LN(2)/2))/(LN(2)/2)*ER118*EU118*VLOOKUP('Données projet'!$B$15,Paramètres!$A$1:$I$89,3,0)*0.475*44/12</f>
        <v>5.1394348477053762E-4</v>
      </c>
      <c r="EY118" s="22">
        <f t="shared" si="75"/>
        <v>6.5585155956261669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234.00000000000003</v>
      </c>
      <c r="FF118" s="17">
        <f>FE118*VLOOKUP('Données projet'!$B$16,Paramètres!$A$1:$I$89,3,0)*VLOOKUP('Données projet'!$B$16,Paramètres!$A$1:$I$89,5,0)</f>
        <v>189.82080000000005</v>
      </c>
      <c r="FG118" s="13">
        <f t="shared" si="101"/>
        <v>47.500332100049796</v>
      </c>
      <c r="FH118" s="20">
        <f t="shared" si="76"/>
        <v>413.33430507425345</v>
      </c>
      <c r="FI118" s="59">
        <f t="shared" si="77"/>
        <v>706.66763840758676</v>
      </c>
      <c r="FJ118" s="59">
        <f ca="1">AVERAGE(OFFSET($FI$3,0,0,'Données projet'!$E$16+1,1))-AVERAGE(OFFSET($H$3,0,0,'Données projet'!$E$16+1,1))</f>
        <v>272.90535195666996</v>
      </c>
      <c r="FK118" s="59">
        <f t="shared" si="102"/>
        <v>222.25422164416898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2.8493521596333693</v>
      </c>
      <c r="FR118" s="21">
        <f>EXP(-LN(2)/25)*FR117+(1-EXP(-LN(2)/25))/(LN(2)/25)*Calculateur!FM118*Calculateur!FO118*VLOOKUP('Données projet'!$B$16,Paramètres!$A$1:$I$89,3,0)*0.475*44/12</f>
        <v>6.1581561500399067</v>
      </c>
      <c r="FS118" s="21">
        <f>EXP(-LN(2)/2)*FS117+(1-EXP(-LN(2)/2))/(LN(2)/2)*FM118*FP118*VLOOKUP('Données projet'!$B$16,Paramètres!$A$1:$I$89,3,0)*0.475*44/12</f>
        <v>2.3374821058257767E-4</v>
      </c>
      <c r="FT118" s="22">
        <f t="shared" si="78"/>
        <v>9.0077420578838598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949.77896147532647</v>
      </c>
      <c r="S119" s="59">
        <f ca="1">AVERAGE(OFFSET($R$3,0,0,'Données projet'!$E$9+1,1))-AVERAGE(OFFSET($H$3,0,0,'Données projet'!$E$9+1,1))</f>
        <v>384.05928630855732</v>
      </c>
      <c r="T119" s="59">
        <f t="shared" si="88"/>
        <v>279.93992813630513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304.99999999999983</v>
      </c>
      <c r="AJ119" s="13">
        <f>AI119*VLOOKUP('Données projet'!$B$10,Paramètres!$A$1:$I$89,3,0)*VLOOKUP('Données projet'!$B$10,Paramètres!$A$1:$I$89,5,0)</f>
        <v>275.96399999999983</v>
      </c>
      <c r="AK119" s="13">
        <f t="shared" si="89"/>
        <v>66.113366665488854</v>
      </c>
      <c r="AL119" s="20">
        <f t="shared" si="58"/>
        <v>595.78474694239264</v>
      </c>
      <c r="AM119" s="59">
        <f t="shared" si="59"/>
        <v>889.11808027572602</v>
      </c>
      <c r="AN119" s="59">
        <f ca="1">AVERAGE(OFFSET($AM$3,0,0,'Données projet'!$E$10+1,1))-AVERAGE(OFFSET($H$3,0,0,'Données projet'!$E$10+1,1))</f>
        <v>366.69125512029831</v>
      </c>
      <c r="AO119" s="59">
        <f t="shared" si="90"/>
        <v>513.80016421153414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0.29433325295575302</v>
      </c>
      <c r="AV119" s="21">
        <f>EXP(-LN(2)/25)*AV118+(1-EXP(-LN(2)/25))/(LN(2)/25)*Calculateur!AQ119*Calculateur!AS119*VLOOKUP('Données projet'!$B$10,Paramètres!$A$1:$I$89,3,0)*0.475*44/12</f>
        <v>0.68028350317230113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0.9746167561280541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212.28480000000002</v>
      </c>
      <c r="BF119" s="13">
        <f t="shared" si="91"/>
        <v>52.434557099704193</v>
      </c>
      <c r="BG119" s="20">
        <f t="shared" si="61"/>
        <v>461.05288028198476</v>
      </c>
      <c r="BH119" s="59">
        <f t="shared" si="62"/>
        <v>754.38621361531807</v>
      </c>
      <c r="BI119" s="59">
        <f ca="1">AVERAGE(OFFSET($BH$3,0,0,'Données projet'!$E$11+1,1))-AVERAGE(OFFSET($H$3,0,0,'Données projet'!$E$11+1,1))</f>
        <v>354.24684313982857</v>
      </c>
      <c r="BJ119" s="59">
        <f t="shared" si="92"/>
        <v>322.65043486962185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19.851429452663904</v>
      </c>
      <c r="BQ119" s="21">
        <f>EXP(-LN(2)/25)*BQ118+(1-EXP(-LN(2)/25))/(LN(2)/25)*Calculateur!BL119*Calculateur!BN119*VLOOKUP('Données projet'!$B$11,Paramètres!$A$1:$I$89,3,0)*0.475*44/12</f>
        <v>9.5554472020512495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29.406876654715155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6.8461538461538511</v>
      </c>
      <c r="BY119" s="12">
        <f>IF('Données projet'!$A$114&gt;35,BY118+BX119-CG118,IF(A119&lt;'Données projet'!$A$114,$BV$205^A119,IF(A119='Données projet'!$A$114,'Données projet'!$B$114,BY118+BX119-CG118)))</f>
        <v>336.8012820512825</v>
      </c>
      <c r="BZ119" s="13">
        <f>BY119*VLOOKUP('Données projet'!$B$12,Paramètres!$A$1:$I$89,3,0)*VLOOKUP('Données projet'!$B$12,Paramètres!$A$1:$I$89,5,0)</f>
        <v>325.75420000000042</v>
      </c>
      <c r="CA119" s="13">
        <f t="shared" si="93"/>
        <v>76.549382184677185</v>
      </c>
      <c r="CB119" s="20">
        <f t="shared" si="64"/>
        <v>700.67873897164679</v>
      </c>
      <c r="CC119" s="59">
        <f t="shared" si="65"/>
        <v>994.01207230498017</v>
      </c>
      <c r="CD119" s="59">
        <f ca="1">AVERAGE(OFFSET($CC$3,0,0,'Données projet'!$E$12+1,1))-AVERAGE(OFFSET($H$3,0,0,'Données projet'!$E$12+1,1))</f>
        <v>407.73540492005355</v>
      </c>
      <c r="CE119" s="59">
        <f t="shared" si="94"/>
        <v>296.29416764204774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55.991767522116042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55.991767522116042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266.99999999999983</v>
      </c>
      <c r="CU119" s="17">
        <f>CT119*VLOOKUP('Données projet'!$B$13,Paramètres!$A$1:$I$89,3,0)*VLOOKUP('Données projet'!$B$13,Paramètres!$A$1:$I$89,5,0)</f>
        <v>212.42519999999985</v>
      </c>
      <c r="CV119" s="13">
        <f t="shared" si="95"/>
        <v>52.465198231787184</v>
      </c>
      <c r="CW119" s="20">
        <f t="shared" si="67"/>
        <v>461.35077692036231</v>
      </c>
      <c r="CX119" s="59">
        <f t="shared" si="68"/>
        <v>754.68411025369562</v>
      </c>
      <c r="CY119" s="59">
        <f ca="1">AVERAGE(OFFSET($CX$3,0,0,'Données projet'!$E$13+1,1))-AVERAGE(OFFSET($H$3,0,0,'Données projet'!$E$13+1,1))</f>
        <v>299.10536994156814</v>
      </c>
      <c r="CZ119" s="59">
        <f t="shared" si="96"/>
        <v>292.57799203101769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14.113370911766191</v>
      </c>
      <c r="DG119" s="21">
        <f>EXP(-LN(2)/25)*DG118+(1-EXP(-LN(2)/25))/(LN(2)/25)*Calculateur!DB119*Calculateur!DD119*VLOOKUP('Données projet'!$B$13,Paramètres!$A$1:$I$89,3,0)*0.475*44/12</f>
        <v>3.0697676715079383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17.183138583274129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266.99999999999983</v>
      </c>
      <c r="DP119" s="17">
        <f>DO119*VLOOKUP('Données projet'!$B$14,Paramètres!$A$1:$I$89,3,0)*VLOOKUP('Données projet'!$B$14,Paramètres!$A$1:$I$89,5,0)</f>
        <v>212.42519999999985</v>
      </c>
      <c r="DQ119" s="13">
        <f t="shared" si="97"/>
        <v>52.465198231787184</v>
      </c>
      <c r="DR119" s="20">
        <f t="shared" si="70"/>
        <v>461.35077692036231</v>
      </c>
      <c r="DS119" s="59">
        <f t="shared" si="71"/>
        <v>754.68411025369562</v>
      </c>
      <c r="DT119" s="59">
        <f ca="1">AVERAGE(OFFSET($DS$3,0,0,'Données projet'!$E$14+1,1))-AVERAGE(OFFSET($H$3,0,0,'Données projet'!$E$14+1,1))</f>
        <v>299.10536994156814</v>
      </c>
      <c r="DU119" s="59">
        <f t="shared" si="98"/>
        <v>292.57799203101769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14.113370911766191</v>
      </c>
      <c r="EB119" s="21">
        <f>EXP(-LN(2)/25)*EB118+(1-EXP(-LN(2)/25))/(LN(2)/25)*Calculateur!DW119*Calculateur!DY119*VLOOKUP('Données projet'!$B$14,Paramètres!$A$1:$I$89,3,0)*0.475*44/12</f>
        <v>3.0697676715079383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17.183138583274129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204.00000000000017</v>
      </c>
      <c r="EK119" s="17">
        <f>EJ119*VLOOKUP('Données projet'!$B$15,Paramètres!$A$1:$I$89,3,0)*VLOOKUP('Données projet'!$B$15,Paramètres!$A$1:$I$89,5,0)</f>
        <v>133.66080000000011</v>
      </c>
      <c r="EL119" s="13">
        <f t="shared" si="99"/>
        <v>34.840890682716783</v>
      </c>
      <c r="EM119" s="20">
        <f t="shared" si="73"/>
        <v>293.4737779390652</v>
      </c>
      <c r="EN119" s="59">
        <f t="shared" si="74"/>
        <v>586.80711127239852</v>
      </c>
      <c r="EO119" s="59">
        <f ca="1">AVERAGE(OFFSET($EN$3,0,0,'Données projet'!$E$15+1,1))-AVERAGE(OFFSET($H$3,0,0,'Données projet'!$E$15+1,1))</f>
        <v>230.58262378842818</v>
      </c>
      <c r="EP119" s="59">
        <f t="shared" si="100"/>
        <v>235.68746142880792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1.1410945574974423</v>
      </c>
      <c r="EW119" s="21">
        <f>EXP(-LN(2)/25)*EW118+(1-EXP(-LN(2)/25))/(LN(2)/25)*Calculateur!ER119*Calculateur!ET119*VLOOKUP('Données projet'!$B$15,Paramètres!$A$1:$I$89,3,0)*0.475*44/12</f>
        <v>5.2465818736593155</v>
      </c>
      <c r="EX119" s="21">
        <f>EXP(-LN(2)/2)*EX118+(1-EXP(-LN(2)/2))/(LN(2)/2)*ER119*EU119*VLOOKUP('Données projet'!$B$15,Paramètres!$A$1:$I$89,3,0)*0.475*44/12</f>
        <v>3.6341292322789227E-4</v>
      </c>
      <c r="EY119" s="22">
        <f t="shared" si="75"/>
        <v>6.3880398440799855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234.00000000000003</v>
      </c>
      <c r="FF119" s="17">
        <f>FE119*VLOOKUP('Données projet'!$B$16,Paramètres!$A$1:$I$89,3,0)*VLOOKUP('Données projet'!$B$16,Paramètres!$A$1:$I$89,5,0)</f>
        <v>189.82080000000005</v>
      </c>
      <c r="FG119" s="13">
        <f t="shared" si="101"/>
        <v>47.500332100049796</v>
      </c>
      <c r="FH119" s="20">
        <f t="shared" si="76"/>
        <v>413.33430507425345</v>
      </c>
      <c r="FI119" s="59">
        <f t="shared" si="77"/>
        <v>706.66763840758676</v>
      </c>
      <c r="FJ119" s="59">
        <f ca="1">AVERAGE(OFFSET($FI$3,0,0,'Données projet'!$E$16+1,1))-AVERAGE(OFFSET($H$3,0,0,'Données projet'!$E$16+1,1))</f>
        <v>272.90535195666996</v>
      </c>
      <c r="FK119" s="59">
        <f t="shared" si="102"/>
        <v>222.25422164416898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2.7934781017161696</v>
      </c>
      <c r="FR119" s="21">
        <f>EXP(-LN(2)/25)*FR118+(1-EXP(-LN(2)/25))/(LN(2)/25)*Calculateur!FM119*Calculateur!FO119*VLOOKUP('Données projet'!$B$16,Paramètres!$A$1:$I$89,3,0)*0.475*44/12</f>
        <v>5.9897610462737081</v>
      </c>
      <c r="FS119" s="21">
        <f>EXP(-LN(2)/2)*FS118+(1-EXP(-LN(2)/2))/(LN(2)/2)*FM119*FP119*VLOOKUP('Données projet'!$B$16,Paramètres!$A$1:$I$89,3,0)*0.475*44/12</f>
        <v>1.6528494479316178E-4</v>
      </c>
      <c r="FT119" s="22">
        <f t="shared" si="78"/>
        <v>8.7834044329346721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962.82247007974752</v>
      </c>
      <c r="S120" s="59">
        <f ca="1">AVERAGE(OFFSET($R$3,0,0,'Données projet'!$E$9+1,1))-AVERAGE(OFFSET($H$3,0,0,'Données projet'!$E$9+1,1))</f>
        <v>384.05928630855732</v>
      </c>
      <c r="T120" s="59">
        <f t="shared" si="88"/>
        <v>279.93992813630513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304.99999999999983</v>
      </c>
      <c r="AJ120" s="13">
        <f>AI120*VLOOKUP('Données projet'!$B$10,Paramètres!$A$1:$I$89,3,0)*VLOOKUP('Données projet'!$B$10,Paramètres!$A$1:$I$89,5,0)</f>
        <v>275.96399999999983</v>
      </c>
      <c r="AK120" s="13">
        <f t="shared" si="89"/>
        <v>66.113366665488854</v>
      </c>
      <c r="AL120" s="20">
        <f t="shared" si="58"/>
        <v>595.78474694239264</v>
      </c>
      <c r="AM120" s="59">
        <f t="shared" si="59"/>
        <v>889.11808027572602</v>
      </c>
      <c r="AN120" s="59">
        <f ca="1">AVERAGE(OFFSET($AM$3,0,0,'Données projet'!$E$10+1,1))-AVERAGE(OFFSET($H$3,0,0,'Données projet'!$E$10+1,1))</f>
        <v>366.69125512029831</v>
      </c>
      <c r="AO120" s="59">
        <f t="shared" si="90"/>
        <v>513.80016421153414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0.28856155739084832</v>
      </c>
      <c r="AV120" s="21">
        <f>EXP(-LN(2)/25)*AV119+(1-EXP(-LN(2)/25))/(LN(2)/25)*Calculateur!AQ120*Calculateur!AS120*VLOOKUP('Données projet'!$B$10,Paramètres!$A$1:$I$89,3,0)*0.475*44/12</f>
        <v>0.66168111500349991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0.95024267239434823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212.28480000000002</v>
      </c>
      <c r="BF120" s="13">
        <f t="shared" si="91"/>
        <v>52.434557099704193</v>
      </c>
      <c r="BG120" s="20">
        <f t="shared" si="61"/>
        <v>461.05288028198476</v>
      </c>
      <c r="BH120" s="59">
        <f t="shared" si="62"/>
        <v>754.38621361531807</v>
      </c>
      <c r="BI120" s="59">
        <f ca="1">AVERAGE(OFFSET($BH$3,0,0,'Données projet'!$E$11+1,1))-AVERAGE(OFFSET($H$3,0,0,'Données projet'!$E$11+1,1))</f>
        <v>354.24684313982857</v>
      </c>
      <c r="BJ120" s="59">
        <f t="shared" si="92"/>
        <v>322.65043486962185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19.462155029273546</v>
      </c>
      <c r="BQ120" s="21">
        <f>EXP(-LN(2)/25)*BQ119+(1-EXP(-LN(2)/25))/(LN(2)/25)*Calculateur!BL120*Calculateur!BN120*VLOOKUP('Données projet'!$B$11,Paramètres!$A$1:$I$89,3,0)*0.475*44/12</f>
        <v>9.2941529958120288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28.756308025085573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6.8461538461538511</v>
      </c>
      <c r="BY120" s="12">
        <f>IF('Données projet'!$A$114&gt;35,BY119+BX120-CG119,IF(A120&lt;'Données projet'!$A$114,$BV$205^A120,IF(A120='Données projet'!$A$114,'Données projet'!$B$114,BY119+BX120-CG119)))</f>
        <v>343.64743589743637</v>
      </c>
      <c r="BZ120" s="13">
        <f>BY120*VLOOKUP('Données projet'!$B$12,Paramètres!$A$1:$I$89,3,0)*VLOOKUP('Données projet'!$B$12,Paramètres!$A$1:$I$89,5,0)</f>
        <v>332.37580000000042</v>
      </c>
      <c r="CA120" s="13">
        <f t="shared" si="93"/>
        <v>77.922665290736944</v>
      </c>
      <c r="CB120" s="20">
        <f t="shared" si="64"/>
        <v>714.6031603813675</v>
      </c>
      <c r="CC120" s="59">
        <f t="shared" si="65"/>
        <v>1007.9364937147009</v>
      </c>
      <c r="CD120" s="59">
        <f ca="1">AVERAGE(OFFSET($CC$3,0,0,'Données projet'!$E$12+1,1))-AVERAGE(OFFSET($H$3,0,0,'Données projet'!$E$12+1,1))</f>
        <v>407.73540492005355</v>
      </c>
      <c r="CE120" s="59">
        <f t="shared" si="94"/>
        <v>296.29416764204774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54.893803112613341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54.893803112613341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266.99999999999983</v>
      </c>
      <c r="CU120" s="17">
        <f>CT120*VLOOKUP('Données projet'!$B$13,Paramètres!$A$1:$I$89,3,0)*VLOOKUP('Données projet'!$B$13,Paramètres!$A$1:$I$89,5,0)</f>
        <v>212.42519999999985</v>
      </c>
      <c r="CV120" s="13">
        <f t="shared" si="95"/>
        <v>52.465198231787184</v>
      </c>
      <c r="CW120" s="20">
        <f t="shared" si="67"/>
        <v>461.35077692036231</v>
      </c>
      <c r="CX120" s="59">
        <f t="shared" si="68"/>
        <v>754.68411025369562</v>
      </c>
      <c r="CY120" s="59">
        <f ca="1">AVERAGE(OFFSET($CX$3,0,0,'Données projet'!$E$13+1,1))-AVERAGE(OFFSET($H$3,0,0,'Données projet'!$E$13+1,1))</f>
        <v>299.10536994156814</v>
      </c>
      <c r="CZ120" s="59">
        <f t="shared" si="96"/>
        <v>292.57799203101769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13.836616316492712</v>
      </c>
      <c r="DG120" s="21">
        <f>EXP(-LN(2)/25)*DG119+(1-EXP(-LN(2)/25))/(LN(2)/25)*Calculateur!DB120*Calculateur!DD120*VLOOKUP('Données projet'!$B$13,Paramètres!$A$1:$I$89,3,0)*0.475*44/12</f>
        <v>2.9858247130984878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16.8224410295912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266.99999999999983</v>
      </c>
      <c r="DP120" s="17">
        <f>DO120*VLOOKUP('Données projet'!$B$14,Paramètres!$A$1:$I$89,3,0)*VLOOKUP('Données projet'!$B$14,Paramètres!$A$1:$I$89,5,0)</f>
        <v>212.42519999999985</v>
      </c>
      <c r="DQ120" s="13">
        <f t="shared" si="97"/>
        <v>52.465198231787184</v>
      </c>
      <c r="DR120" s="20">
        <f t="shared" si="70"/>
        <v>461.35077692036231</v>
      </c>
      <c r="DS120" s="59">
        <f t="shared" si="71"/>
        <v>754.68411025369562</v>
      </c>
      <c r="DT120" s="59">
        <f ca="1">AVERAGE(OFFSET($DS$3,0,0,'Données projet'!$E$14+1,1))-AVERAGE(OFFSET($H$3,0,0,'Données projet'!$E$14+1,1))</f>
        <v>299.10536994156814</v>
      </c>
      <c r="DU120" s="59">
        <f t="shared" si="98"/>
        <v>292.57799203101769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13.836616316492712</v>
      </c>
      <c r="EB120" s="21">
        <f>EXP(-LN(2)/25)*EB119+(1-EXP(-LN(2)/25))/(LN(2)/25)*Calculateur!DW120*Calculateur!DY120*VLOOKUP('Données projet'!$B$14,Paramètres!$A$1:$I$89,3,0)*0.475*44/12</f>
        <v>2.9858247130984878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16.8224410295912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204.00000000000017</v>
      </c>
      <c r="EK120" s="17">
        <f>EJ120*VLOOKUP('Données projet'!$B$15,Paramètres!$A$1:$I$89,3,0)*VLOOKUP('Données projet'!$B$15,Paramètres!$A$1:$I$89,5,0)</f>
        <v>133.66080000000011</v>
      </c>
      <c r="EL120" s="13">
        <f t="shared" si="99"/>
        <v>34.840890682716783</v>
      </c>
      <c r="EM120" s="20">
        <f t="shared" si="73"/>
        <v>293.4737779390652</v>
      </c>
      <c r="EN120" s="59">
        <f t="shared" si="74"/>
        <v>586.80711127239852</v>
      </c>
      <c r="EO120" s="59">
        <f ca="1">AVERAGE(OFFSET($EN$3,0,0,'Données projet'!$E$15+1,1))-AVERAGE(OFFSET($H$3,0,0,'Données projet'!$E$15+1,1))</f>
        <v>230.58262378842818</v>
      </c>
      <c r="EP120" s="59">
        <f t="shared" si="100"/>
        <v>235.68746142880792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1.1187183892238732</v>
      </c>
      <c r="EW120" s="21">
        <f>EXP(-LN(2)/25)*EW119+(1-EXP(-LN(2)/25))/(LN(2)/25)*Calculateur!ER120*Calculateur!ET120*VLOOKUP('Données projet'!$B$15,Paramètres!$A$1:$I$89,3,0)*0.475*44/12</f>
        <v>5.103113816418352</v>
      </c>
      <c r="EX120" s="21">
        <f>EXP(-LN(2)/2)*EX119+(1-EXP(-LN(2)/2))/(LN(2)/2)*ER120*EU120*VLOOKUP('Données projet'!$B$15,Paramètres!$A$1:$I$89,3,0)*0.475*44/12</f>
        <v>2.5697174238526881E-4</v>
      </c>
      <c r="EY120" s="22">
        <f t="shared" si="75"/>
        <v>6.2220891773846105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234.00000000000003</v>
      </c>
      <c r="FF120" s="17">
        <f>FE120*VLOOKUP('Données projet'!$B$16,Paramètres!$A$1:$I$89,3,0)*VLOOKUP('Données projet'!$B$16,Paramètres!$A$1:$I$89,5,0)</f>
        <v>189.82080000000005</v>
      </c>
      <c r="FG120" s="13">
        <f t="shared" si="101"/>
        <v>47.500332100049796</v>
      </c>
      <c r="FH120" s="20">
        <f t="shared" si="76"/>
        <v>413.33430507425345</v>
      </c>
      <c r="FI120" s="59">
        <f t="shared" si="77"/>
        <v>706.66763840758676</v>
      </c>
      <c r="FJ120" s="59">
        <f ca="1">AVERAGE(OFFSET($FI$3,0,0,'Données projet'!$E$16+1,1))-AVERAGE(OFFSET($H$3,0,0,'Données projet'!$E$16+1,1))</f>
        <v>272.90535195666996</v>
      </c>
      <c r="FK120" s="59">
        <f t="shared" si="102"/>
        <v>222.25422164416898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2.7386996999949162</v>
      </c>
      <c r="FR120" s="21">
        <f>EXP(-LN(2)/25)*FR119+(1-EXP(-LN(2)/25))/(LN(2)/25)*Calculateur!FM120*Calculateur!FO120*VLOOKUP('Données projet'!$B$16,Paramètres!$A$1:$I$89,3,0)*0.475*44/12</f>
        <v>5.8259707154755098</v>
      </c>
      <c r="FS120" s="21">
        <f>EXP(-LN(2)/2)*FS119+(1-EXP(-LN(2)/2))/(LN(2)/2)*FM120*FP120*VLOOKUP('Données projet'!$B$16,Paramètres!$A$1:$I$89,3,0)*0.475*44/12</f>
        <v>1.1687410529128884E-4</v>
      </c>
      <c r="FT120" s="22">
        <f t="shared" si="78"/>
        <v>8.5647872895757171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384.05928630855732</v>
      </c>
      <c r="T121" s="59">
        <f t="shared" si="88"/>
        <v>279.93992813630513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304.99999999999983</v>
      </c>
      <c r="AJ121" s="13">
        <f>AI121*VLOOKUP('Données projet'!$B$10,Paramètres!$A$1:$I$89,3,0)*VLOOKUP('Données projet'!$B$10,Paramètres!$A$1:$I$89,5,0)</f>
        <v>275.96399999999983</v>
      </c>
      <c r="AK121" s="13">
        <f t="shared" si="89"/>
        <v>66.113366665488854</v>
      </c>
      <c r="AL121" s="20">
        <f t="shared" si="58"/>
        <v>595.78474694239264</v>
      </c>
      <c r="AM121" s="59">
        <f t="shared" si="59"/>
        <v>889.11808027572602</v>
      </c>
      <c r="AN121" s="59">
        <f ca="1">AVERAGE(OFFSET($AM$3,0,0,'Données projet'!$E$10+1,1))-AVERAGE(OFFSET($H$3,0,0,'Données projet'!$E$10+1,1))</f>
        <v>366.69125512029831</v>
      </c>
      <c r="AO121" s="59">
        <f t="shared" si="90"/>
        <v>513.80016421153414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0.28290304125558474</v>
      </c>
      <c r="AV121" s="21">
        <f>EXP(-LN(2)/25)*AV120+(1-EXP(-LN(2)/25))/(LN(2)/25)*Calculateur!AQ121*Calculateur!AS121*VLOOKUP('Données projet'!$B$10,Paramètres!$A$1:$I$89,3,0)*0.475*44/12</f>
        <v>0.6435874101174317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0.92649045137301644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212.28480000000002</v>
      </c>
      <c r="BF121" s="13">
        <f t="shared" si="91"/>
        <v>52.434557099704193</v>
      </c>
      <c r="BG121" s="20">
        <f t="shared" si="61"/>
        <v>461.05288028198476</v>
      </c>
      <c r="BH121" s="59">
        <f t="shared" si="62"/>
        <v>754.38621361531807</v>
      </c>
      <c r="BI121" s="59">
        <f ca="1">AVERAGE(OFFSET($BH$3,0,0,'Données projet'!$E$11+1,1))-AVERAGE(OFFSET($H$3,0,0,'Données projet'!$E$11+1,1))</f>
        <v>354.24684313982857</v>
      </c>
      <c r="BJ121" s="59">
        <f t="shared" si="92"/>
        <v>322.65043486962185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19.08051403989192</v>
      </c>
      <c r="BQ121" s="21">
        <f>EXP(-LN(2)/25)*BQ120+(1-EXP(-LN(2)/25))/(LN(2)/25)*Calculateur!BL121*Calculateur!BN121*VLOOKUP('Données projet'!$B$11,Paramètres!$A$1:$I$89,3,0)*0.475*44/12</f>
        <v>9.0400038933832843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28.120517933275202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6.8461538461538511</v>
      </c>
      <c r="BY121" s="12">
        <f>IF('Données projet'!$A$114&gt;35,BY120+BX121-CG120,IF(A121&lt;'Données projet'!$A$114,$BV$205^A121,IF(A121='Données projet'!$A$114,'Données projet'!$B$114,BY120+BX121-CG120)))</f>
        <v>350.49358974359023</v>
      </c>
      <c r="BZ121" s="13">
        <f>BY121*VLOOKUP('Données projet'!$B$12,Paramètres!$A$1:$I$89,3,0)*VLOOKUP('Données projet'!$B$12,Paramètres!$A$1:$I$89,5,0)</f>
        <v>338.99740000000048</v>
      </c>
      <c r="CA121" s="13">
        <f t="shared" si="93"/>
        <v>79.292767324628201</v>
      </c>
      <c r="CB121" s="20">
        <f t="shared" si="64"/>
        <v>728.52204142372818</v>
      </c>
      <c r="CC121" s="59">
        <f t="shared" si="65"/>
        <v>1021.8553747570616</v>
      </c>
      <c r="CD121" s="59">
        <f ca="1">AVERAGE(OFFSET($CC$3,0,0,'Données projet'!$E$12+1,1))-AVERAGE(OFFSET($H$3,0,0,'Données projet'!$E$12+1,1))</f>
        <v>407.73540492005355</v>
      </c>
      <c r="CE121" s="59">
        <f t="shared" si="94"/>
        <v>296.29416764204774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53.81736911548883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53.81736911548883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266.99999999999983</v>
      </c>
      <c r="CU121" s="17">
        <f>CT121*VLOOKUP('Données projet'!$B$13,Paramètres!$A$1:$I$89,3,0)*VLOOKUP('Données projet'!$B$13,Paramètres!$A$1:$I$89,5,0)</f>
        <v>212.42519999999985</v>
      </c>
      <c r="CV121" s="13">
        <f t="shared" si="95"/>
        <v>52.465198231787184</v>
      </c>
      <c r="CW121" s="20">
        <f t="shared" si="67"/>
        <v>461.35077692036231</v>
      </c>
      <c r="CX121" s="59">
        <f t="shared" si="68"/>
        <v>754.68411025369562</v>
      </c>
      <c r="CY121" s="59">
        <f ca="1">AVERAGE(OFFSET($CX$3,0,0,'Données projet'!$E$13+1,1))-AVERAGE(OFFSET($H$3,0,0,'Données projet'!$E$13+1,1))</f>
        <v>299.10536994156814</v>
      </c>
      <c r="CZ121" s="59">
        <f t="shared" si="96"/>
        <v>292.57799203101769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13.565288710028911</v>
      </c>
      <c r="DG121" s="21">
        <f>EXP(-LN(2)/25)*DG120+(1-EXP(-LN(2)/25))/(LN(2)/25)*Calculateur!DB121*Calculateur!DD121*VLOOKUP('Données projet'!$B$13,Paramètres!$A$1:$I$89,3,0)*0.475*44/12</f>
        <v>2.9041771793011124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16.469465889330024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266.99999999999983</v>
      </c>
      <c r="DP121" s="17">
        <f>DO121*VLOOKUP('Données projet'!$B$14,Paramètres!$A$1:$I$89,3,0)*VLOOKUP('Données projet'!$B$14,Paramètres!$A$1:$I$89,5,0)</f>
        <v>212.42519999999985</v>
      </c>
      <c r="DQ121" s="13">
        <f t="shared" si="97"/>
        <v>52.465198231787184</v>
      </c>
      <c r="DR121" s="20">
        <f t="shared" si="70"/>
        <v>461.35077692036231</v>
      </c>
      <c r="DS121" s="59">
        <f t="shared" si="71"/>
        <v>754.68411025369562</v>
      </c>
      <c r="DT121" s="59">
        <f ca="1">AVERAGE(OFFSET($DS$3,0,0,'Données projet'!$E$14+1,1))-AVERAGE(OFFSET($H$3,0,0,'Données projet'!$E$14+1,1))</f>
        <v>299.10536994156814</v>
      </c>
      <c r="DU121" s="59">
        <f t="shared" si="98"/>
        <v>292.57799203101769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13.565288710028911</v>
      </c>
      <c r="EB121" s="21">
        <f>EXP(-LN(2)/25)*EB120+(1-EXP(-LN(2)/25))/(LN(2)/25)*Calculateur!DW121*Calculateur!DY121*VLOOKUP('Données projet'!$B$14,Paramètres!$A$1:$I$89,3,0)*0.475*44/12</f>
        <v>2.9041771793011124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16.469465889330024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204.00000000000017</v>
      </c>
      <c r="EK121" s="17">
        <f>EJ121*VLOOKUP('Données projet'!$B$15,Paramètres!$A$1:$I$89,3,0)*VLOOKUP('Données projet'!$B$15,Paramètres!$A$1:$I$89,5,0)</f>
        <v>133.66080000000011</v>
      </c>
      <c r="EL121" s="13">
        <f t="shared" si="99"/>
        <v>34.840890682716783</v>
      </c>
      <c r="EM121" s="20">
        <f t="shared" si="73"/>
        <v>293.4737779390652</v>
      </c>
      <c r="EN121" s="59">
        <f t="shared" si="74"/>
        <v>586.80711127239852</v>
      </c>
      <c r="EO121" s="59">
        <f ca="1">AVERAGE(OFFSET($EN$3,0,0,'Données projet'!$E$15+1,1))-AVERAGE(OFFSET($H$3,0,0,'Données projet'!$E$15+1,1))</f>
        <v>230.58262378842818</v>
      </c>
      <c r="EP121" s="59">
        <f t="shared" si="100"/>
        <v>235.68746142880792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1.096781003962034</v>
      </c>
      <c r="EW121" s="21">
        <f>EXP(-LN(2)/25)*EW120+(1-EXP(-LN(2)/25))/(LN(2)/25)*Calculateur!ER121*Calculateur!ET121*VLOOKUP('Données projet'!$B$15,Paramètres!$A$1:$I$89,3,0)*0.475*44/12</f>
        <v>4.9635689007473003</v>
      </c>
      <c r="EX121" s="21">
        <f>EXP(-LN(2)/2)*EX120+(1-EXP(-LN(2)/2))/(LN(2)/2)*ER121*EU121*VLOOKUP('Données projet'!$B$15,Paramètres!$A$1:$I$89,3,0)*0.475*44/12</f>
        <v>1.8170646161394614E-4</v>
      </c>
      <c r="EY121" s="22">
        <f t="shared" si="75"/>
        <v>6.0605316111709486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234.00000000000003</v>
      </c>
      <c r="FF121" s="17">
        <f>FE121*VLOOKUP('Données projet'!$B$16,Paramètres!$A$1:$I$89,3,0)*VLOOKUP('Données projet'!$B$16,Paramètres!$A$1:$I$89,5,0)</f>
        <v>189.82080000000005</v>
      </c>
      <c r="FG121" s="13">
        <f t="shared" si="101"/>
        <v>47.500332100049796</v>
      </c>
      <c r="FH121" s="20">
        <f t="shared" si="76"/>
        <v>413.33430507425345</v>
      </c>
      <c r="FI121" s="59">
        <f t="shared" si="77"/>
        <v>706.66763840758676</v>
      </c>
      <c r="FJ121" s="59">
        <f ca="1">AVERAGE(OFFSET($FI$3,0,0,'Données projet'!$E$16+1,1))-AVERAGE(OFFSET($H$3,0,0,'Données projet'!$E$16+1,1))</f>
        <v>272.90535195666996</v>
      </c>
      <c r="FK121" s="59">
        <f t="shared" si="102"/>
        <v>222.25422164416898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2.6849954693198903</v>
      </c>
      <c r="FR121" s="21">
        <f>EXP(-LN(2)/25)*FR120+(1-EXP(-LN(2)/25))/(LN(2)/25)*Calculateur!FM121*Calculateur!FO121*VLOOKUP('Données projet'!$B$16,Paramètres!$A$1:$I$89,3,0)*0.475*44/12</f>
        <v>5.6666592398863473</v>
      </c>
      <c r="FS121" s="21">
        <f>EXP(-LN(2)/2)*FS120+(1-EXP(-LN(2)/2))/(LN(2)/2)*FM121*FP121*VLOOKUP('Données projet'!$B$16,Paramètres!$A$1:$I$89,3,0)*0.475*44/12</f>
        <v>8.2642472396580891E-5</v>
      </c>
      <c r="FT121" s="22">
        <f t="shared" si="78"/>
        <v>8.3517373516786328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988.89393113031406</v>
      </c>
      <c r="S122" s="59">
        <f ca="1">AVERAGE(OFFSET($R$3,0,0,'Données projet'!$E$9+1,1))-AVERAGE(OFFSET($H$3,0,0,'Données projet'!$E$9+1,1))</f>
        <v>384.05928630855732</v>
      </c>
      <c r="T122" s="59">
        <f t="shared" si="88"/>
        <v>279.93992813630513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304.99999999999983</v>
      </c>
      <c r="AJ122" s="13">
        <f>AI122*VLOOKUP('Données projet'!$B$10,Paramètres!$A$1:$I$89,3,0)*VLOOKUP('Données projet'!$B$10,Paramètres!$A$1:$I$89,5,0)</f>
        <v>275.96399999999983</v>
      </c>
      <c r="AK122" s="13">
        <f t="shared" si="89"/>
        <v>66.113366665488854</v>
      </c>
      <c r="AL122" s="20">
        <f t="shared" si="58"/>
        <v>595.78474694239264</v>
      </c>
      <c r="AM122" s="59">
        <f t="shared" si="59"/>
        <v>889.11808027572602</v>
      </c>
      <c r="AN122" s="59">
        <f ca="1">AVERAGE(OFFSET($AM$3,0,0,'Données projet'!$E$10+1,1))-AVERAGE(OFFSET($H$3,0,0,'Données projet'!$E$10+1,1))</f>
        <v>366.69125512029831</v>
      </c>
      <c r="AO122" s="59">
        <f t="shared" si="90"/>
        <v>513.80016421153414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0.27735548517037961</v>
      </c>
      <c r="AV122" s="21">
        <f>EXP(-LN(2)/25)*AV121+(1-EXP(-LN(2)/25))/(LN(2)/25)*Calculateur!AQ122*Calculateur!AS122*VLOOKUP('Données projet'!$B$10,Paramètres!$A$1:$I$89,3,0)*0.475*44/12</f>
        <v>0.62598847854297957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0.90334396371335912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212.28480000000002</v>
      </c>
      <c r="BF122" s="13">
        <f t="shared" si="91"/>
        <v>52.434557099704193</v>
      </c>
      <c r="BG122" s="20">
        <f t="shared" si="61"/>
        <v>461.05288028198476</v>
      </c>
      <c r="BH122" s="59">
        <f t="shared" si="62"/>
        <v>754.38621361531807</v>
      </c>
      <c r="BI122" s="59">
        <f ca="1">AVERAGE(OFFSET($BH$3,0,0,'Données projet'!$E$11+1,1))-AVERAGE(OFFSET($H$3,0,0,'Données projet'!$E$11+1,1))</f>
        <v>354.24684313982857</v>
      </c>
      <c r="BJ122" s="59">
        <f t="shared" si="92"/>
        <v>322.65043486962185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18.706356797534049</v>
      </c>
      <c r="BQ122" s="21">
        <f>EXP(-LN(2)/25)*BQ121+(1-EXP(-LN(2)/25))/(LN(2)/25)*Calculateur!BL122*Calculateur!BN122*VLOOKUP('Données projet'!$B$11,Paramètres!$A$1:$I$89,3,0)*0.475*44/12</f>
        <v>8.7928045115255742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27.499161309059623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>
        <f>VLOOKUP(A122,'Données projet'!$A$113:$I$133,2,0)</f>
        <v>357.33974358974359</v>
      </c>
      <c r="BW122" s="12">
        <f>VLOOKUP(A122,'Données projet'!$A$113:$I$133,9,0)</f>
        <v>6.8461538461538511</v>
      </c>
      <c r="BX122" s="12">
        <f t="array" ref="BX122">INDEX(BW:BW,MIN(IF(ISNUMBER(BW122:BW318),ROW(BW122:BW318),"")))</f>
        <v>6.8461538461538511</v>
      </c>
      <c r="BY122" s="12">
        <f>IF('Données projet'!$A$114&gt;35,BY121+BX122-CG121,IF(A122&lt;'Données projet'!$A$114,$BV$205^A122,IF(A122='Données projet'!$A$114,'Données projet'!$B$114,BY121+BX122-CG121)))</f>
        <v>357.3397435897441</v>
      </c>
      <c r="BZ122" s="13">
        <f>BY122*VLOOKUP('Données projet'!$B$12,Paramètres!$A$1:$I$89,3,0)*VLOOKUP('Données projet'!$B$12,Paramètres!$A$1:$I$89,5,0)</f>
        <v>345.61900000000048</v>
      </c>
      <c r="CA122" s="13">
        <f t="shared" si="93"/>
        <v>80.659757584563494</v>
      </c>
      <c r="CB122" s="20">
        <f t="shared" si="64"/>
        <v>742.43550279311557</v>
      </c>
      <c r="CC122" s="59">
        <f t="shared" si="65"/>
        <v>1035.7688361264488</v>
      </c>
      <c r="CD122" s="59">
        <f ca="1">AVERAGE(OFFSET($CC$3,0,0,'Données projet'!$E$12+1,1))-AVERAGE(OFFSET($H$3,0,0,'Données projet'!$E$12+1,1))</f>
        <v>407.73540492005355</v>
      </c>
      <c r="CE122" s="59">
        <f t="shared" si="94"/>
        <v>296.29416764204774</v>
      </c>
      <c r="CF122" s="15">
        <f>IF(ISNA(VLOOKUP(A122,'Données projet'!$A$113:$I$133,3,0)),0,VLOOKUP(A122,'Données projet'!$A$113:$I$133,3,0))</f>
        <v>11</v>
      </c>
      <c r="CG122" s="15">
        <f>IF(ISNA(VLOOKUP(A122,'Données projet'!$A$113:$I$133,4,0)),0,VLOOKUP(A122,'Données projet'!$A$113:$I$133,4,0))</f>
        <v>150.02564102564102</v>
      </c>
      <c r="CH122" s="16">
        <f>IF(ISNA(VLOOKUP(A122,'Données projet'!$A$113:$I$133,5,0)),0%,VLOOKUP(A122,'Données projet'!$A$113:$I$133,5,0)*VLOOKUP('Données projet'!$B$12,Paramètres!$A$1:$I$89,7,0))</f>
        <v>0.38700000000000001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114.84034890544444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114.84034890544444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266.99999999999983</v>
      </c>
      <c r="CU122" s="17">
        <f>CT122*VLOOKUP('Données projet'!$B$13,Paramètres!$A$1:$I$89,3,0)*VLOOKUP('Données projet'!$B$13,Paramètres!$A$1:$I$89,5,0)</f>
        <v>212.42519999999985</v>
      </c>
      <c r="CV122" s="13">
        <f t="shared" si="95"/>
        <v>52.465198231787184</v>
      </c>
      <c r="CW122" s="20">
        <f t="shared" si="67"/>
        <v>461.35077692036231</v>
      </c>
      <c r="CX122" s="59">
        <f t="shared" si="68"/>
        <v>754.68411025369562</v>
      </c>
      <c r="CY122" s="59">
        <f ca="1">AVERAGE(OFFSET($CX$3,0,0,'Données projet'!$E$13+1,1))-AVERAGE(OFFSET($H$3,0,0,'Données projet'!$E$13+1,1))</f>
        <v>299.10536994156814</v>
      </c>
      <c r="CZ122" s="59">
        <f t="shared" si="96"/>
        <v>292.57799203101769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13.299281672434367</v>
      </c>
      <c r="DG122" s="21">
        <f>EXP(-LN(2)/25)*DG121+(1-EXP(-LN(2)/25))/(LN(2)/25)*Calculateur!DB122*Calculateur!DD122*VLOOKUP('Données projet'!$B$13,Paramètres!$A$1:$I$89,3,0)*0.475*44/12</f>
        <v>2.8247623016090833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16.124043974043449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266.99999999999983</v>
      </c>
      <c r="DP122" s="17">
        <f>DO122*VLOOKUP('Données projet'!$B$14,Paramètres!$A$1:$I$89,3,0)*VLOOKUP('Données projet'!$B$14,Paramètres!$A$1:$I$89,5,0)</f>
        <v>212.42519999999985</v>
      </c>
      <c r="DQ122" s="13">
        <f t="shared" si="97"/>
        <v>52.465198231787184</v>
      </c>
      <c r="DR122" s="20">
        <f t="shared" si="70"/>
        <v>461.35077692036231</v>
      </c>
      <c r="DS122" s="59">
        <f t="shared" si="71"/>
        <v>754.68411025369562</v>
      </c>
      <c r="DT122" s="59">
        <f ca="1">AVERAGE(OFFSET($DS$3,0,0,'Données projet'!$E$14+1,1))-AVERAGE(OFFSET($H$3,0,0,'Données projet'!$E$14+1,1))</f>
        <v>299.10536994156814</v>
      </c>
      <c r="DU122" s="59">
        <f t="shared" si="98"/>
        <v>292.57799203101769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13.299281672434367</v>
      </c>
      <c r="EB122" s="21">
        <f>EXP(-LN(2)/25)*EB121+(1-EXP(-LN(2)/25))/(LN(2)/25)*Calculateur!DW122*Calculateur!DY122*VLOOKUP('Données projet'!$B$14,Paramètres!$A$1:$I$89,3,0)*0.475*44/12</f>
        <v>2.8247623016090833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16.124043974043449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204.00000000000017</v>
      </c>
      <c r="EK122" s="17">
        <f>EJ122*VLOOKUP('Données projet'!$B$15,Paramètres!$A$1:$I$89,3,0)*VLOOKUP('Données projet'!$B$15,Paramètres!$A$1:$I$89,5,0)</f>
        <v>133.66080000000011</v>
      </c>
      <c r="EL122" s="13">
        <f t="shared" si="99"/>
        <v>34.840890682716783</v>
      </c>
      <c r="EM122" s="20">
        <f t="shared" si="73"/>
        <v>293.4737779390652</v>
      </c>
      <c r="EN122" s="59">
        <f t="shared" si="74"/>
        <v>586.80711127239852</v>
      </c>
      <c r="EO122" s="59">
        <f ca="1">AVERAGE(OFFSET($EN$3,0,0,'Données projet'!$E$15+1,1))-AVERAGE(OFFSET($H$3,0,0,'Données projet'!$E$15+1,1))</f>
        <v>230.58262378842818</v>
      </c>
      <c r="EP122" s="59">
        <f t="shared" si="100"/>
        <v>235.68746142880792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1.0752737974446955</v>
      </c>
      <c r="EW122" s="21">
        <f>EXP(-LN(2)/25)*EW121+(1-EXP(-LN(2)/25))/(LN(2)/25)*Calculateur!ER122*Calculateur!ET122*VLOOKUP('Données projet'!$B$15,Paramètres!$A$1:$I$89,3,0)*0.475*44/12</f>
        <v>4.8278398481336211</v>
      </c>
      <c r="EX122" s="21">
        <f>EXP(-LN(2)/2)*EX121+(1-EXP(-LN(2)/2))/(LN(2)/2)*ER122*EU122*VLOOKUP('Données projet'!$B$15,Paramètres!$A$1:$I$89,3,0)*0.475*44/12</f>
        <v>1.284858711926344E-4</v>
      </c>
      <c r="EY122" s="22">
        <f t="shared" si="75"/>
        <v>5.9032421314495087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234.00000000000003</v>
      </c>
      <c r="FF122" s="17">
        <f>FE122*VLOOKUP('Données projet'!$B$16,Paramètres!$A$1:$I$89,3,0)*VLOOKUP('Données projet'!$B$16,Paramètres!$A$1:$I$89,5,0)</f>
        <v>189.82080000000005</v>
      </c>
      <c r="FG122" s="13">
        <f t="shared" si="101"/>
        <v>47.500332100049796</v>
      </c>
      <c r="FH122" s="20">
        <f t="shared" si="76"/>
        <v>413.33430507425345</v>
      </c>
      <c r="FI122" s="59">
        <f t="shared" si="77"/>
        <v>706.66763840758676</v>
      </c>
      <c r="FJ122" s="59">
        <f ca="1">AVERAGE(OFFSET($FI$3,0,0,'Données projet'!$E$16+1,1))-AVERAGE(OFFSET($H$3,0,0,'Données projet'!$E$16+1,1))</f>
        <v>272.90535195666996</v>
      </c>
      <c r="FK122" s="59">
        <f t="shared" si="102"/>
        <v>222.25422164416898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2.6323443458520557</v>
      </c>
      <c r="FR122" s="21">
        <f>EXP(-LN(2)/25)*FR121+(1-EXP(-LN(2)/25))/(LN(2)/25)*Calculateur!FM122*Calculateur!FO122*VLOOKUP('Données projet'!$B$16,Paramètres!$A$1:$I$89,3,0)*0.475*44/12</f>
        <v>5.5117041449749973</v>
      </c>
      <c r="FS122" s="21">
        <f>EXP(-LN(2)/2)*FS121+(1-EXP(-LN(2)/2))/(LN(2)/2)*FM122*FP122*VLOOKUP('Données projet'!$B$16,Paramètres!$A$1:$I$89,3,0)*0.475*44/12</f>
        <v>5.8437052645644418E-5</v>
      </c>
      <c r="FT122" s="22">
        <f t="shared" si="78"/>
        <v>8.1441069278796991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709.26743469892858</v>
      </c>
      <c r="S123" s="59">
        <f ca="1">AVERAGE(OFFSET($R$3,0,0,'Données projet'!$E$9+1,1))-AVERAGE(OFFSET($H$3,0,0,'Données projet'!$E$9+1,1))</f>
        <v>384.05928630855732</v>
      </c>
      <c r="T123" s="59">
        <f t="shared" si="88"/>
        <v>279.93992813630513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304.99999999999983</v>
      </c>
      <c r="AJ123" s="13">
        <f>AI123*VLOOKUP('Données projet'!$B$10,Paramètres!$A$1:$I$89,3,0)*VLOOKUP('Données projet'!$B$10,Paramètres!$A$1:$I$89,5,0)</f>
        <v>275.96399999999983</v>
      </c>
      <c r="AK123" s="13">
        <f t="shared" si="89"/>
        <v>66.113366665488854</v>
      </c>
      <c r="AL123" s="20">
        <f t="shared" si="58"/>
        <v>595.78474694239264</v>
      </c>
      <c r="AM123" s="59">
        <f t="shared" si="59"/>
        <v>889.11808027572602</v>
      </c>
      <c r="AN123" s="59">
        <f ca="1">AVERAGE(OFFSET($AM$3,0,0,'Données projet'!$E$10+1,1))-AVERAGE(OFFSET($H$3,0,0,'Données projet'!$E$10+1,1))</f>
        <v>366.69125512029831</v>
      </c>
      <c r="AO123" s="59">
        <f t="shared" si="90"/>
        <v>513.80016421153414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0.27191671327633027</v>
      </c>
      <c r="AV123" s="21">
        <f>EXP(-LN(2)/25)*AV122+(1-EXP(-LN(2)/25))/(LN(2)/25)*Calculateur!AQ123*Calculateur!AS123*VLOOKUP('Données projet'!$B$10,Paramètres!$A$1:$I$89,3,0)*0.475*44/12</f>
        <v>0.60887079067791838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0.88078750395424865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212.28480000000002</v>
      </c>
      <c r="BF123" s="13">
        <f t="shared" si="91"/>
        <v>52.434557099704193</v>
      </c>
      <c r="BG123" s="20">
        <f t="shared" si="61"/>
        <v>461.05288028198476</v>
      </c>
      <c r="BH123" s="59">
        <f t="shared" si="62"/>
        <v>754.38621361531807</v>
      </c>
      <c r="BI123" s="59">
        <f ca="1">AVERAGE(OFFSET($BH$3,0,0,'Données projet'!$E$11+1,1))-AVERAGE(OFFSET($H$3,0,0,'Données projet'!$E$11+1,1))</f>
        <v>354.24684313982857</v>
      </c>
      <c r="BJ123" s="59">
        <f t="shared" si="92"/>
        <v>322.65043486962185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18.339536550485434</v>
      </c>
      <c r="BQ123" s="21">
        <f>EXP(-LN(2)/25)*BQ122+(1-EXP(-LN(2)/25))/(LN(2)/25)*Calculateur!BL123*Calculateur!BN123*VLOOKUP('Données projet'!$B$11,Paramètres!$A$1:$I$89,3,0)*0.475*44/12</f>
        <v>8.5523648097644145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26.891901360249847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3.8301282051282044</v>
      </c>
      <c r="BY123" s="12">
        <f>IF('Données projet'!$A$114&gt;35,BY122+BX123-CG122,IF(A123&lt;'Données projet'!$A$114,$BV$205^A123,IF(A123='Données projet'!$A$114,'Données projet'!$B$114,BY122+BX123-CG122)))</f>
        <v>211.14423076923126</v>
      </c>
      <c r="BZ123" s="13">
        <f>BY123*VLOOKUP('Données projet'!$B$12,Paramètres!$A$1:$I$89,3,0)*VLOOKUP('Données projet'!$B$12,Paramètres!$A$1:$I$89,5,0)</f>
        <v>204.2187000000005</v>
      </c>
      <c r="CA123" s="13">
        <f t="shared" si="93"/>
        <v>50.670180935130624</v>
      </c>
      <c r="CB123" s="20">
        <f t="shared" si="64"/>
        <v>443.93146762868668</v>
      </c>
      <c r="CC123" s="59">
        <f t="shared" si="65"/>
        <v>737.26480096201999</v>
      </c>
      <c r="CD123" s="59">
        <f ca="1">AVERAGE(OFFSET($CC$3,0,0,'Données projet'!$E$12+1,1))-AVERAGE(OFFSET($H$3,0,0,'Données projet'!$E$12+1,1))</f>
        <v>407.73540492005355</v>
      </c>
      <c r="CE123" s="59">
        <f t="shared" si="94"/>
        <v>296.29416764204774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112.58839970910508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112.58839970910508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266.99999999999983</v>
      </c>
      <c r="CU123" s="17">
        <f>CT123*VLOOKUP('Données projet'!$B$13,Paramètres!$A$1:$I$89,3,0)*VLOOKUP('Données projet'!$B$13,Paramètres!$A$1:$I$89,5,0)</f>
        <v>212.42519999999985</v>
      </c>
      <c r="CV123" s="13">
        <f t="shared" si="95"/>
        <v>52.465198231787184</v>
      </c>
      <c r="CW123" s="20">
        <f t="shared" si="67"/>
        <v>461.35077692036231</v>
      </c>
      <c r="CX123" s="59">
        <f t="shared" si="68"/>
        <v>754.68411025369562</v>
      </c>
      <c r="CY123" s="59">
        <f ca="1">AVERAGE(OFFSET($CX$3,0,0,'Données projet'!$E$13+1,1))-AVERAGE(OFFSET($H$3,0,0,'Données projet'!$E$13+1,1))</f>
        <v>299.10536994156814</v>
      </c>
      <c r="CZ123" s="59">
        <f t="shared" si="96"/>
        <v>292.57799203101769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13.038490870598778</v>
      </c>
      <c r="DG123" s="21">
        <f>EXP(-LN(2)/25)*DG122+(1-EXP(-LN(2)/25))/(LN(2)/25)*Calculateur!DB123*Calculateur!DD123*VLOOKUP('Données projet'!$B$13,Paramètres!$A$1:$I$89,3,0)*0.475*44/12</f>
        <v>2.7475190279237895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15.786009898522568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266.99999999999983</v>
      </c>
      <c r="DP123" s="17">
        <f>DO123*VLOOKUP('Données projet'!$B$14,Paramètres!$A$1:$I$89,3,0)*VLOOKUP('Données projet'!$B$14,Paramètres!$A$1:$I$89,5,0)</f>
        <v>212.42519999999985</v>
      </c>
      <c r="DQ123" s="13">
        <f t="shared" si="97"/>
        <v>52.465198231787184</v>
      </c>
      <c r="DR123" s="20">
        <f t="shared" si="70"/>
        <v>461.35077692036231</v>
      </c>
      <c r="DS123" s="59">
        <f t="shared" si="71"/>
        <v>754.68411025369562</v>
      </c>
      <c r="DT123" s="59">
        <f ca="1">AVERAGE(OFFSET($DS$3,0,0,'Données projet'!$E$14+1,1))-AVERAGE(OFFSET($H$3,0,0,'Données projet'!$E$14+1,1))</f>
        <v>299.10536994156814</v>
      </c>
      <c r="DU123" s="59">
        <f t="shared" si="98"/>
        <v>292.57799203101769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13.038490870598778</v>
      </c>
      <c r="EB123" s="21">
        <f>EXP(-LN(2)/25)*EB122+(1-EXP(-LN(2)/25))/(LN(2)/25)*Calculateur!DW123*Calculateur!DY123*VLOOKUP('Données projet'!$B$14,Paramètres!$A$1:$I$89,3,0)*0.475*44/12</f>
        <v>2.7475190279237895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15.786009898522568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204.00000000000017</v>
      </c>
      <c r="EK123" s="17">
        <f>EJ123*VLOOKUP('Données projet'!$B$15,Paramètres!$A$1:$I$89,3,0)*VLOOKUP('Données projet'!$B$15,Paramètres!$A$1:$I$89,5,0)</f>
        <v>133.66080000000011</v>
      </c>
      <c r="EL123" s="13">
        <f t="shared" si="99"/>
        <v>34.840890682716783</v>
      </c>
      <c r="EM123" s="20">
        <f t="shared" si="73"/>
        <v>293.4737779390652</v>
      </c>
      <c r="EN123" s="59">
        <f t="shared" si="74"/>
        <v>586.80711127239852</v>
      </c>
      <c r="EO123" s="59">
        <f ca="1">AVERAGE(OFFSET($EN$3,0,0,'Données projet'!$E$15+1,1))-AVERAGE(OFFSET($H$3,0,0,'Données projet'!$E$15+1,1))</f>
        <v>230.58262378842818</v>
      </c>
      <c r="EP123" s="59">
        <f t="shared" si="100"/>
        <v>235.68746142880792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1.0541883341290614</v>
      </c>
      <c r="EW123" s="21">
        <f>EXP(-LN(2)/25)*EW122+(1-EXP(-LN(2)/25))/(LN(2)/25)*Calculateur!ER123*Calculateur!ET123*VLOOKUP('Données projet'!$B$15,Paramètres!$A$1:$I$89,3,0)*0.475*44/12</f>
        <v>4.6958223136013437</v>
      </c>
      <c r="EX123" s="21">
        <f>EXP(-LN(2)/2)*EX122+(1-EXP(-LN(2)/2))/(LN(2)/2)*ER123*EU123*VLOOKUP('Données projet'!$B$15,Paramètres!$A$1:$I$89,3,0)*0.475*44/12</f>
        <v>9.0853230806973068E-5</v>
      </c>
      <c r="EY123" s="22">
        <f t="shared" si="75"/>
        <v>5.750101500961212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234.00000000000003</v>
      </c>
      <c r="FF123" s="17">
        <f>FE123*VLOOKUP('Données projet'!$B$16,Paramètres!$A$1:$I$89,3,0)*VLOOKUP('Données projet'!$B$16,Paramètres!$A$1:$I$89,5,0)</f>
        <v>189.82080000000005</v>
      </c>
      <c r="FG123" s="13">
        <f t="shared" si="101"/>
        <v>47.500332100049796</v>
      </c>
      <c r="FH123" s="20">
        <f t="shared" si="76"/>
        <v>413.33430507425345</v>
      </c>
      <c r="FI123" s="59">
        <f t="shared" si="77"/>
        <v>706.66763840758676</v>
      </c>
      <c r="FJ123" s="59">
        <f ca="1">AVERAGE(OFFSET($FI$3,0,0,'Données projet'!$E$16+1,1))-AVERAGE(OFFSET($H$3,0,0,'Données projet'!$E$16+1,1))</f>
        <v>272.90535195666996</v>
      </c>
      <c r="FK123" s="59">
        <f t="shared" si="102"/>
        <v>222.25422164416898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2.5807256788014108</v>
      </c>
      <c r="FR123" s="21">
        <f>EXP(-LN(2)/25)*FR122+(1-EXP(-LN(2)/25))/(LN(2)/25)*Calculateur!FM123*Calculateur!FO123*VLOOKUP('Données projet'!$B$16,Paramètres!$A$1:$I$89,3,0)*0.475*44/12</f>
        <v>5.360986305282732</v>
      </c>
      <c r="FS123" s="21">
        <f>EXP(-LN(2)/2)*FS122+(1-EXP(-LN(2)/2))/(LN(2)/2)*FM123*FP123*VLOOKUP('Données projet'!$B$16,Paramètres!$A$1:$I$89,3,0)*0.475*44/12</f>
        <v>4.1321236198290445E-5</v>
      </c>
      <c r="FT123" s="22">
        <f t="shared" si="78"/>
        <v>7.9417533053203408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716.63534945189031</v>
      </c>
      <c r="S124" s="59">
        <f ca="1">AVERAGE(OFFSET($R$3,0,0,'Données projet'!$E$9+1,1))-AVERAGE(OFFSET($H$3,0,0,'Données projet'!$E$9+1,1))</f>
        <v>384.05928630855732</v>
      </c>
      <c r="T124" s="59">
        <f t="shared" si="88"/>
        <v>279.93992813630513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304.99999999999983</v>
      </c>
      <c r="AJ124" s="13">
        <f>AI124*VLOOKUP('Données projet'!$B$10,Paramètres!$A$1:$I$89,3,0)*VLOOKUP('Données projet'!$B$10,Paramètres!$A$1:$I$89,5,0)</f>
        <v>275.96399999999983</v>
      </c>
      <c r="AK124" s="13">
        <f t="shared" si="89"/>
        <v>66.113366665488854</v>
      </c>
      <c r="AL124" s="20">
        <f t="shared" si="58"/>
        <v>595.78474694239264</v>
      </c>
      <c r="AM124" s="59">
        <f t="shared" si="59"/>
        <v>889.11808027572602</v>
      </c>
      <c r="AN124" s="59">
        <f ca="1">AVERAGE(OFFSET($AM$3,0,0,'Données projet'!$E$10+1,1))-AVERAGE(OFFSET($H$3,0,0,'Données projet'!$E$10+1,1))</f>
        <v>366.69125512029831</v>
      </c>
      <c r="AO124" s="59">
        <f t="shared" si="90"/>
        <v>513.80016421153414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0.26658459238179993</v>
      </c>
      <c r="AV124" s="21">
        <f>EXP(-LN(2)/25)*AV123+(1-EXP(-LN(2)/25))/(LN(2)/25)*Calculateur!AQ124*Calculateur!AS124*VLOOKUP('Données projet'!$B$10,Paramètres!$A$1:$I$89,3,0)*0.475*44/12</f>
        <v>0.59222118688770742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0.85880577926950741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212.28480000000002</v>
      </c>
      <c r="BF124" s="13">
        <f t="shared" si="91"/>
        <v>52.434557099704193</v>
      </c>
      <c r="BG124" s="20">
        <f t="shared" si="61"/>
        <v>461.05288028198476</v>
      </c>
      <c r="BH124" s="59">
        <f t="shared" si="62"/>
        <v>754.38621361531807</v>
      </c>
      <c r="BI124" s="59">
        <f ca="1">AVERAGE(OFFSET($BH$3,0,0,'Données projet'!$E$11+1,1))-AVERAGE(OFFSET($H$3,0,0,'Données projet'!$E$11+1,1))</f>
        <v>354.24684313982857</v>
      </c>
      <c r="BJ124" s="59">
        <f t="shared" si="92"/>
        <v>322.65043486962185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17.979909424743184</v>
      </c>
      <c r="BQ124" s="21">
        <f>EXP(-LN(2)/25)*BQ123+(1-EXP(-LN(2)/25))/(LN(2)/25)*Calculateur!BL124*Calculateur!BN124*VLOOKUP('Données projet'!$B$11,Paramètres!$A$1:$I$89,3,0)*0.475*44/12</f>
        <v>8.3184999442920873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26.298409369035269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3.8301282051282044</v>
      </c>
      <c r="BY124" s="12">
        <f>IF('Données projet'!$A$114&gt;35,BY123+BX124-CG123,IF(A124&lt;'Données projet'!$A$114,$BV$205^A124,IF(A124='Données projet'!$A$114,'Données projet'!$B$114,BY123+BX124-CG123)))</f>
        <v>214.97435897435946</v>
      </c>
      <c r="BZ124" s="13">
        <f>BY124*VLOOKUP('Données projet'!$B$12,Paramètres!$A$1:$I$89,3,0)*VLOOKUP('Données projet'!$B$12,Paramètres!$A$1:$I$89,5,0)</f>
        <v>207.92320000000046</v>
      </c>
      <c r="CA124" s="13">
        <f t="shared" si="93"/>
        <v>51.481490467572804</v>
      </c>
      <c r="CB124" s="20">
        <f t="shared" si="64"/>
        <v>451.79650256435679</v>
      </c>
      <c r="CC124" s="59">
        <f t="shared" si="65"/>
        <v>745.1298358976901</v>
      </c>
      <c r="CD124" s="59">
        <f ca="1">AVERAGE(OFFSET($CC$3,0,0,'Données projet'!$E$12+1,1))-AVERAGE(OFFSET($H$3,0,0,'Données projet'!$E$12+1,1))</f>
        <v>407.73540492005355</v>
      </c>
      <c r="CE124" s="59">
        <f t="shared" si="94"/>
        <v>296.29416764204774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110.38060986295254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110.38060986295254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266.99999999999983</v>
      </c>
      <c r="CU124" s="17">
        <f>CT124*VLOOKUP('Données projet'!$B$13,Paramètres!$A$1:$I$89,3,0)*VLOOKUP('Données projet'!$B$13,Paramètres!$A$1:$I$89,5,0)</f>
        <v>212.42519999999985</v>
      </c>
      <c r="CV124" s="13">
        <f t="shared" si="95"/>
        <v>52.465198231787184</v>
      </c>
      <c r="CW124" s="20">
        <f t="shared" si="67"/>
        <v>461.35077692036231</v>
      </c>
      <c r="CX124" s="59">
        <f t="shared" si="68"/>
        <v>754.68411025369562</v>
      </c>
      <c r="CY124" s="59">
        <f ca="1">AVERAGE(OFFSET($CX$3,0,0,'Données projet'!$E$13+1,1))-AVERAGE(OFFSET($H$3,0,0,'Données projet'!$E$13+1,1))</f>
        <v>299.10536994156814</v>
      </c>
      <c r="CZ124" s="59">
        <f t="shared" si="96"/>
        <v>292.57799203101769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12.782814017320504</v>
      </c>
      <c r="DG124" s="21">
        <f>EXP(-LN(2)/25)*DG123+(1-EXP(-LN(2)/25))/(LN(2)/25)*Calculateur!DB124*Calculateur!DD124*VLOOKUP('Données projet'!$B$13,Paramètres!$A$1:$I$89,3,0)*0.475*44/12</f>
        <v>2.6723879756194675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15.455201992939973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266.99999999999983</v>
      </c>
      <c r="DP124" s="17">
        <f>DO124*VLOOKUP('Données projet'!$B$14,Paramètres!$A$1:$I$89,3,0)*VLOOKUP('Données projet'!$B$14,Paramètres!$A$1:$I$89,5,0)</f>
        <v>212.42519999999985</v>
      </c>
      <c r="DQ124" s="13">
        <f t="shared" si="97"/>
        <v>52.465198231787184</v>
      </c>
      <c r="DR124" s="20">
        <f t="shared" si="70"/>
        <v>461.35077692036231</v>
      </c>
      <c r="DS124" s="59">
        <f t="shared" si="71"/>
        <v>754.68411025369562</v>
      </c>
      <c r="DT124" s="59">
        <f ca="1">AVERAGE(OFFSET($DS$3,0,0,'Données projet'!$E$14+1,1))-AVERAGE(OFFSET($H$3,0,0,'Données projet'!$E$14+1,1))</f>
        <v>299.10536994156814</v>
      </c>
      <c r="DU124" s="59">
        <f t="shared" si="98"/>
        <v>292.57799203101769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12.782814017320504</v>
      </c>
      <c r="EB124" s="21">
        <f>EXP(-LN(2)/25)*EB123+(1-EXP(-LN(2)/25))/(LN(2)/25)*Calculateur!DW124*Calculateur!DY124*VLOOKUP('Données projet'!$B$14,Paramètres!$A$1:$I$89,3,0)*0.475*44/12</f>
        <v>2.6723879756194675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15.455201992939973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204.00000000000017</v>
      </c>
      <c r="EK124" s="17">
        <f>EJ124*VLOOKUP('Données projet'!$B$15,Paramètres!$A$1:$I$89,3,0)*VLOOKUP('Données projet'!$B$15,Paramètres!$A$1:$I$89,5,0)</f>
        <v>133.66080000000011</v>
      </c>
      <c r="EL124" s="13">
        <f t="shared" si="99"/>
        <v>34.840890682716783</v>
      </c>
      <c r="EM124" s="20">
        <f t="shared" si="73"/>
        <v>293.4737779390652</v>
      </c>
      <c r="EN124" s="59">
        <f t="shared" si="74"/>
        <v>586.80711127239852</v>
      </c>
      <c r="EO124" s="59">
        <f ca="1">AVERAGE(OFFSET($EN$3,0,0,'Données projet'!$E$15+1,1))-AVERAGE(OFFSET($H$3,0,0,'Données projet'!$E$15+1,1))</f>
        <v>230.58262378842818</v>
      </c>
      <c r="EP124" s="59">
        <f t="shared" si="100"/>
        <v>235.68746142880792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1.0335163438881843</v>
      </c>
      <c r="EW124" s="21">
        <f>EXP(-LN(2)/25)*EW123+(1-EXP(-LN(2)/25))/(LN(2)/25)*Calculateur!ER124*Calculateur!ET124*VLOOKUP('Données projet'!$B$15,Paramètres!$A$1:$I$89,3,0)*0.475*44/12</f>
        <v>4.5674148054933523</v>
      </c>
      <c r="EX124" s="21">
        <f>EXP(-LN(2)/2)*EX123+(1-EXP(-LN(2)/2))/(LN(2)/2)*ER124*EU124*VLOOKUP('Données projet'!$B$15,Paramètres!$A$1:$I$89,3,0)*0.475*44/12</f>
        <v>6.4242935596317202E-5</v>
      </c>
      <c r="EY124" s="22">
        <f t="shared" si="75"/>
        <v>5.6009953923171327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234.00000000000003</v>
      </c>
      <c r="FF124" s="17">
        <f>FE124*VLOOKUP('Données projet'!$B$16,Paramètres!$A$1:$I$89,3,0)*VLOOKUP('Données projet'!$B$16,Paramètres!$A$1:$I$89,5,0)</f>
        <v>189.82080000000005</v>
      </c>
      <c r="FG124" s="13">
        <f t="shared" si="101"/>
        <v>47.500332100049796</v>
      </c>
      <c r="FH124" s="20">
        <f t="shared" si="76"/>
        <v>413.33430507425345</v>
      </c>
      <c r="FI124" s="59">
        <f t="shared" si="77"/>
        <v>706.66763840758676</v>
      </c>
      <c r="FJ124" s="59">
        <f ca="1">AVERAGE(OFFSET($FI$3,0,0,'Données projet'!$E$16+1,1))-AVERAGE(OFFSET($H$3,0,0,'Données projet'!$E$16+1,1))</f>
        <v>272.90535195666996</v>
      </c>
      <c r="FK124" s="59">
        <f t="shared" si="102"/>
        <v>222.25422164416898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2.5301192223273512</v>
      </c>
      <c r="FR124" s="21">
        <f>EXP(-LN(2)/25)*FR123+(1-EXP(-LN(2)/25))/(LN(2)/25)*Calculateur!FM124*Calculateur!FO124*VLOOKUP('Données projet'!$B$16,Paramètres!$A$1:$I$89,3,0)*0.475*44/12</f>
        <v>5.2143898528427588</v>
      </c>
      <c r="FS124" s="21">
        <f>EXP(-LN(2)/2)*FS123+(1-EXP(-LN(2)/2))/(LN(2)/2)*FM124*FP124*VLOOKUP('Données projet'!$B$16,Paramètres!$A$1:$I$89,3,0)*0.475*44/12</f>
        <v>2.9218526322822209E-5</v>
      </c>
      <c r="FT124" s="22">
        <f t="shared" si="78"/>
        <v>7.7445382936964329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724.00050418019487</v>
      </c>
      <c r="S125" s="59">
        <f ca="1">AVERAGE(OFFSET($R$3,0,0,'Données projet'!$E$9+1,1))-AVERAGE(OFFSET($H$3,0,0,'Données projet'!$E$9+1,1))</f>
        <v>384.05928630855732</v>
      </c>
      <c r="T125" s="59">
        <f t="shared" si="88"/>
        <v>279.93992813630513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304.99999999999983</v>
      </c>
      <c r="AJ125" s="13">
        <f>AI125*VLOOKUP('Données projet'!$B$10,Paramètres!$A$1:$I$89,3,0)*VLOOKUP('Données projet'!$B$10,Paramètres!$A$1:$I$89,5,0)</f>
        <v>275.96399999999983</v>
      </c>
      <c r="AK125" s="13">
        <f t="shared" si="89"/>
        <v>66.113366665488854</v>
      </c>
      <c r="AL125" s="20">
        <f t="shared" si="58"/>
        <v>595.78474694239264</v>
      </c>
      <c r="AM125" s="59">
        <f t="shared" si="59"/>
        <v>889.11808027572602</v>
      </c>
      <c r="AN125" s="59">
        <f ca="1">AVERAGE(OFFSET($AM$3,0,0,'Données projet'!$E$10+1,1))-AVERAGE(OFFSET($H$3,0,0,'Données projet'!$E$10+1,1))</f>
        <v>366.69125512029831</v>
      </c>
      <c r="AO125" s="59">
        <f t="shared" si="90"/>
        <v>513.80016421153414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0.26135703112573871</v>
      </c>
      <c r="AV125" s="21">
        <f>EXP(-LN(2)/25)*AV124+(1-EXP(-LN(2)/25))/(LN(2)/25)*Calculateur!AQ125*Calculateur!AS125*VLOOKUP('Données projet'!$B$10,Paramètres!$A$1:$I$89,3,0)*0.475*44/12</f>
        <v>0.57602686738870434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0.83738389851444306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212.28480000000002</v>
      </c>
      <c r="BF125" s="13">
        <f t="shared" si="91"/>
        <v>52.434557099704193</v>
      </c>
      <c r="BG125" s="20">
        <f t="shared" si="61"/>
        <v>461.05288028198476</v>
      </c>
      <c r="BH125" s="59">
        <f t="shared" si="62"/>
        <v>754.38621361531807</v>
      </c>
      <c r="BI125" s="59">
        <f ca="1">AVERAGE(OFFSET($BH$3,0,0,'Données projet'!$E$11+1,1))-AVERAGE(OFFSET($H$3,0,0,'Données projet'!$E$11+1,1))</f>
        <v>354.24684313982857</v>
      </c>
      <c r="BJ125" s="59">
        <f t="shared" si="92"/>
        <v>322.65043486962185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17.627334367585853</v>
      </c>
      <c r="BQ125" s="21">
        <f>EXP(-LN(2)/25)*BQ124+(1-EXP(-LN(2)/25))/(LN(2)/25)*Calculateur!BL125*Calculateur!BN125*VLOOKUP('Données projet'!$B$11,Paramètres!$A$1:$I$89,3,0)*0.475*44/12</f>
        <v>8.0910301258645205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25.718364493450373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3.8301282051282044</v>
      </c>
      <c r="BY125" s="12">
        <f>IF('Données projet'!$A$114&gt;35,BY124+BX125-CG124,IF(A125&lt;'Données projet'!$A$114,$BV$205^A125,IF(A125='Données projet'!$A$114,'Données projet'!$B$114,BY124+BX125-CG124)))</f>
        <v>218.80448717948767</v>
      </c>
      <c r="BZ125" s="13">
        <f>BY125*VLOOKUP('Données projet'!$B$12,Paramètres!$A$1:$I$89,3,0)*VLOOKUP('Données projet'!$B$12,Paramètres!$A$1:$I$89,5,0)</f>
        <v>211.62770000000046</v>
      </c>
      <c r="CA125" s="13">
        <f t="shared" si="93"/>
        <v>52.291119106337845</v>
      </c>
      <c r="CB125" s="20">
        <f t="shared" si="64"/>
        <v>459.65860994353926</v>
      </c>
      <c r="CC125" s="59">
        <f t="shared" si="65"/>
        <v>752.99194327687258</v>
      </c>
      <c r="CD125" s="59">
        <f ca="1">AVERAGE(OFFSET($CC$3,0,0,'Données projet'!$E$12+1,1))-AVERAGE(OFFSET($H$3,0,0,'Données projet'!$E$12+1,1))</f>
        <v>407.73540492005355</v>
      </c>
      <c r="CE125" s="59">
        <f t="shared" si="94"/>
        <v>296.29416764204774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108.21611342906421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108.21611342906421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266.99999999999983</v>
      </c>
      <c r="CU125" s="17">
        <f>CT125*VLOOKUP('Données projet'!$B$13,Paramètres!$A$1:$I$89,3,0)*VLOOKUP('Données projet'!$B$13,Paramètres!$A$1:$I$89,5,0)</f>
        <v>212.42519999999985</v>
      </c>
      <c r="CV125" s="13">
        <f t="shared" si="95"/>
        <v>52.465198231787184</v>
      </c>
      <c r="CW125" s="20">
        <f t="shared" si="67"/>
        <v>461.35077692036231</v>
      </c>
      <c r="CX125" s="59">
        <f t="shared" si="68"/>
        <v>754.68411025369562</v>
      </c>
      <c r="CY125" s="59">
        <f ca="1">AVERAGE(OFFSET($CX$3,0,0,'Données projet'!$E$13+1,1))-AVERAGE(OFFSET($H$3,0,0,'Données projet'!$E$13+1,1))</f>
        <v>299.10536994156814</v>
      </c>
      <c r="CZ125" s="59">
        <f t="shared" si="96"/>
        <v>292.57799203101769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12.532150831187534</v>
      </c>
      <c r="DG125" s="21">
        <f>EXP(-LN(2)/25)*DG124+(1-EXP(-LN(2)/25))/(LN(2)/25)*Calculateur!DB125*Calculateur!DD125*VLOOKUP('Données projet'!$B$13,Paramètres!$A$1:$I$89,3,0)*0.475*44/12</f>
        <v>2.5993113858913772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15.131462217078912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266.99999999999983</v>
      </c>
      <c r="DP125" s="17">
        <f>DO125*VLOOKUP('Données projet'!$B$14,Paramètres!$A$1:$I$89,3,0)*VLOOKUP('Données projet'!$B$14,Paramètres!$A$1:$I$89,5,0)</f>
        <v>212.42519999999985</v>
      </c>
      <c r="DQ125" s="13">
        <f t="shared" si="97"/>
        <v>52.465198231787184</v>
      </c>
      <c r="DR125" s="20">
        <f t="shared" si="70"/>
        <v>461.35077692036231</v>
      </c>
      <c r="DS125" s="59">
        <f t="shared" si="71"/>
        <v>754.68411025369562</v>
      </c>
      <c r="DT125" s="59">
        <f ca="1">AVERAGE(OFFSET($DS$3,0,0,'Données projet'!$E$14+1,1))-AVERAGE(OFFSET($H$3,0,0,'Données projet'!$E$14+1,1))</f>
        <v>299.10536994156814</v>
      </c>
      <c r="DU125" s="59">
        <f t="shared" si="98"/>
        <v>292.57799203101769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12.532150831187534</v>
      </c>
      <c r="EB125" s="21">
        <f>EXP(-LN(2)/25)*EB124+(1-EXP(-LN(2)/25))/(LN(2)/25)*Calculateur!DW125*Calculateur!DY125*VLOOKUP('Données projet'!$B$14,Paramètres!$A$1:$I$89,3,0)*0.475*44/12</f>
        <v>2.5993113858913772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15.131462217078912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204.00000000000017</v>
      </c>
      <c r="EK125" s="17">
        <f>EJ125*VLOOKUP('Données projet'!$B$15,Paramètres!$A$1:$I$89,3,0)*VLOOKUP('Données projet'!$B$15,Paramètres!$A$1:$I$89,5,0)</f>
        <v>133.66080000000011</v>
      </c>
      <c r="EL125" s="13">
        <f t="shared" si="99"/>
        <v>34.840890682716783</v>
      </c>
      <c r="EM125" s="20">
        <f t="shared" si="73"/>
        <v>293.4737779390652</v>
      </c>
      <c r="EN125" s="59">
        <f t="shared" si="74"/>
        <v>586.80711127239852</v>
      </c>
      <c r="EO125" s="59">
        <f ca="1">AVERAGE(OFFSET($EN$3,0,0,'Données projet'!$E$15+1,1))-AVERAGE(OFFSET($H$3,0,0,'Données projet'!$E$15+1,1))</f>
        <v>230.58262378842818</v>
      </c>
      <c r="EP125" s="59">
        <f t="shared" si="100"/>
        <v>235.68746142880792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1.0132497187672616</v>
      </c>
      <c r="EW125" s="21">
        <f>EXP(-LN(2)/25)*EW124+(1-EXP(-LN(2)/25))/(LN(2)/25)*Calculateur!ER125*Calculateur!ET125*VLOOKUP('Données projet'!$B$15,Paramètres!$A$1:$I$89,3,0)*0.475*44/12</f>
        <v>4.4425186074472309</v>
      </c>
      <c r="EX125" s="21">
        <f>EXP(-LN(2)/2)*EX124+(1-EXP(-LN(2)/2))/(LN(2)/2)*ER125*EU125*VLOOKUP('Données projet'!$B$15,Paramètres!$A$1:$I$89,3,0)*0.475*44/12</f>
        <v>4.5426615403486534E-5</v>
      </c>
      <c r="EY125" s="22">
        <f t="shared" si="75"/>
        <v>5.4558137528298962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234.00000000000003</v>
      </c>
      <c r="FF125" s="17">
        <f>FE125*VLOOKUP('Données projet'!$B$16,Paramètres!$A$1:$I$89,3,0)*VLOOKUP('Données projet'!$B$16,Paramètres!$A$1:$I$89,5,0)</f>
        <v>189.82080000000005</v>
      </c>
      <c r="FG125" s="13">
        <f t="shared" si="101"/>
        <v>47.500332100049796</v>
      </c>
      <c r="FH125" s="20">
        <f t="shared" si="76"/>
        <v>413.33430507425345</v>
      </c>
      <c r="FI125" s="59">
        <f t="shared" si="77"/>
        <v>706.66763840758676</v>
      </c>
      <c r="FJ125" s="59">
        <f ca="1">AVERAGE(OFFSET($FI$3,0,0,'Données projet'!$E$16+1,1))-AVERAGE(OFFSET($H$3,0,0,'Données projet'!$E$16+1,1))</f>
        <v>272.90535195666996</v>
      </c>
      <c r="FK125" s="59">
        <f t="shared" si="102"/>
        <v>222.25422164416898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2.4805051275978571</v>
      </c>
      <c r="FR125" s="21">
        <f>EXP(-LN(2)/25)*FR124+(1-EXP(-LN(2)/25))/(LN(2)/25)*Calculateur!FM125*Calculateur!FO125*VLOOKUP('Données projet'!$B$16,Paramètres!$A$1:$I$89,3,0)*0.475*44/12</f>
        <v>5.0718020881039285</v>
      </c>
      <c r="FS125" s="21">
        <f>EXP(-LN(2)/2)*FS124+(1-EXP(-LN(2)/2))/(LN(2)/2)*FM125*FP125*VLOOKUP('Données projet'!$B$16,Paramètres!$A$1:$I$89,3,0)*0.475*44/12</f>
        <v>2.0660618099145223E-5</v>
      </c>
      <c r="FT125" s="22">
        <f t="shared" si="78"/>
        <v>7.5523278763198851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731.36295277186127</v>
      </c>
      <c r="S126" s="59">
        <f ca="1">AVERAGE(OFFSET($R$3,0,0,'Données projet'!$E$9+1,1))-AVERAGE(OFFSET($H$3,0,0,'Données projet'!$E$9+1,1))</f>
        <v>384.05928630855732</v>
      </c>
      <c r="T126" s="59">
        <f t="shared" si="88"/>
        <v>279.93992813630513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304.99999999999983</v>
      </c>
      <c r="AJ126" s="13">
        <f>AI126*VLOOKUP('Données projet'!$B$10,Paramètres!$A$1:$I$89,3,0)*VLOOKUP('Données projet'!$B$10,Paramètres!$A$1:$I$89,5,0)</f>
        <v>275.96399999999983</v>
      </c>
      <c r="AK126" s="13">
        <f t="shared" si="89"/>
        <v>66.113366665488854</v>
      </c>
      <c r="AL126" s="20">
        <f t="shared" si="58"/>
        <v>595.78474694239264</v>
      </c>
      <c r="AM126" s="59">
        <f t="shared" si="59"/>
        <v>889.11808027572602</v>
      </c>
      <c r="AN126" s="59">
        <f ca="1">AVERAGE(OFFSET($AM$3,0,0,'Données projet'!$E$10+1,1))-AVERAGE(OFFSET($H$3,0,0,'Données projet'!$E$10+1,1))</f>
        <v>366.69125512029831</v>
      </c>
      <c r="AO126" s="59">
        <f t="shared" si="90"/>
        <v>513.80016421153414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0.25623197915741136</v>
      </c>
      <c r="AV126" s="21">
        <f>EXP(-LN(2)/25)*AV125+(1-EXP(-LN(2)/25))/(LN(2)/25)*Calculateur!AQ126*Calculateur!AS126*VLOOKUP('Données projet'!$B$10,Paramètres!$A$1:$I$89,3,0)*0.475*44/12</f>
        <v>0.56027538240802377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0.81650736156543513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212.28480000000002</v>
      </c>
      <c r="BF126" s="13">
        <f t="shared" si="91"/>
        <v>52.434557099704193</v>
      </c>
      <c r="BG126" s="20">
        <f t="shared" si="61"/>
        <v>461.05288028198476</v>
      </c>
      <c r="BH126" s="59">
        <f t="shared" si="62"/>
        <v>754.38621361531807</v>
      </c>
      <c r="BI126" s="59">
        <f ca="1">AVERAGE(OFFSET($BH$3,0,0,'Données projet'!$E$11+1,1))-AVERAGE(OFFSET($H$3,0,0,'Données projet'!$E$11+1,1))</f>
        <v>354.24684313982857</v>
      </c>
      <c r="BJ126" s="59">
        <f t="shared" si="92"/>
        <v>322.65043486962185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17.281673092249825</v>
      </c>
      <c r="BQ126" s="21">
        <f>EXP(-LN(2)/25)*BQ125+(1-EXP(-LN(2)/25))/(LN(2)/25)*Calculateur!BL126*Calculateur!BN126*VLOOKUP('Données projet'!$B$11,Paramètres!$A$1:$I$89,3,0)*0.475*44/12</f>
        <v>7.8697804815839731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25.151453573833798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>
        <f>VLOOKUP(A126,'Données projet'!$A$113:$I$133,2,0)</f>
        <v>222.63461538461539</v>
      </c>
      <c r="BW126" s="12">
        <f>VLOOKUP(A126,'Données projet'!$A$113:$I$133,9,0)</f>
        <v>3.8301282051282044</v>
      </c>
      <c r="BX126" s="12">
        <f t="array" ref="BX126">INDEX(BW:BW,MIN(IF(ISNUMBER(BW126:BW322),ROW(BW126:BW322),"")))</f>
        <v>3.8301282051282044</v>
      </c>
      <c r="BY126" s="12">
        <f>IF('Données projet'!$A$114&gt;35,BY125+BX126-CG125,IF(A126&lt;'Données projet'!$A$114,$BV$205^A126,IF(A126='Données projet'!$A$114,'Données projet'!$B$114,BY125+BX126-CG125)))</f>
        <v>222.63461538461587</v>
      </c>
      <c r="BZ126" s="13">
        <f>BY126*VLOOKUP('Données projet'!$B$12,Paramètres!$A$1:$I$89,3,0)*VLOOKUP('Données projet'!$B$12,Paramètres!$A$1:$I$89,5,0)</f>
        <v>215.33220000000048</v>
      </c>
      <c r="CA126" s="13">
        <f t="shared" si="93"/>
        <v>53.09909966998385</v>
      </c>
      <c r="CB126" s="20">
        <f t="shared" si="64"/>
        <v>467.51784692522273</v>
      </c>
      <c r="CC126" s="59">
        <f t="shared" si="65"/>
        <v>760.85118025855604</v>
      </c>
      <c r="CD126" s="59">
        <f ca="1">AVERAGE(OFFSET($CC$3,0,0,'Données projet'!$E$12+1,1))-AVERAGE(OFFSET($H$3,0,0,'Données projet'!$E$12+1,1))</f>
        <v>407.73540492005355</v>
      </c>
      <c r="CE126" s="59">
        <f t="shared" si="94"/>
        <v>296.29416764204774</v>
      </c>
      <c r="CF126" s="15">
        <f>IF(ISNA(VLOOKUP(A126,'Données projet'!$A$113:$I$133,3,0)),0,VLOOKUP(A126,'Données projet'!$A$113:$I$133,3,0))</f>
        <v>12</v>
      </c>
      <c r="CG126" s="15">
        <f>IF(ISNA(VLOOKUP(A126,'Données projet'!$A$113:$I$133,4,0)),0,VLOOKUP(A126,'Données projet'!$A$113:$I$133,4,0))</f>
        <v>77.17307692307692</v>
      </c>
      <c r="CH126" s="16">
        <f>IF(ISNA(VLOOKUP(A126,'Données projet'!$A$113:$I$133,5,0)),0%,VLOOKUP(A126,'Données projet'!$A$113:$I$133,5,0)*VLOOKUP('Données projet'!$B$12,Paramètres!$A$1:$I$89,7,0))</f>
        <v>0.38700000000000001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138.02709515336571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138.02709515336571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266.99999999999983</v>
      </c>
      <c r="CU126" s="17">
        <f>CT126*VLOOKUP('Données projet'!$B$13,Paramètres!$A$1:$I$89,3,0)*VLOOKUP('Données projet'!$B$13,Paramètres!$A$1:$I$89,5,0)</f>
        <v>212.42519999999985</v>
      </c>
      <c r="CV126" s="13">
        <f t="shared" si="95"/>
        <v>52.465198231787184</v>
      </c>
      <c r="CW126" s="20">
        <f t="shared" si="67"/>
        <v>461.35077692036231</v>
      </c>
      <c r="CX126" s="59">
        <f t="shared" si="68"/>
        <v>754.68411025369562</v>
      </c>
      <c r="CY126" s="59">
        <f ca="1">AVERAGE(OFFSET($CX$3,0,0,'Données projet'!$E$13+1,1))-AVERAGE(OFFSET($H$3,0,0,'Données projet'!$E$13+1,1))</f>
        <v>299.10536994156814</v>
      </c>
      <c r="CZ126" s="59">
        <f t="shared" si="96"/>
        <v>292.57799203101769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12.286402997245185</v>
      </c>
      <c r="DG126" s="21">
        <f>EXP(-LN(2)/25)*DG125+(1-EXP(-LN(2)/25))/(LN(2)/25)*Calculateur!DB126*Calculateur!DD126*VLOOKUP('Données projet'!$B$13,Paramètres!$A$1:$I$89,3,0)*0.475*44/12</f>
        <v>2.5282330793523324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14.814636076597518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266.99999999999983</v>
      </c>
      <c r="DP126" s="17">
        <f>DO126*VLOOKUP('Données projet'!$B$14,Paramètres!$A$1:$I$89,3,0)*VLOOKUP('Données projet'!$B$14,Paramètres!$A$1:$I$89,5,0)</f>
        <v>212.42519999999985</v>
      </c>
      <c r="DQ126" s="13">
        <f t="shared" si="97"/>
        <v>52.465198231787184</v>
      </c>
      <c r="DR126" s="20">
        <f t="shared" si="70"/>
        <v>461.35077692036231</v>
      </c>
      <c r="DS126" s="59">
        <f t="shared" si="71"/>
        <v>754.68411025369562</v>
      </c>
      <c r="DT126" s="59">
        <f ca="1">AVERAGE(OFFSET($DS$3,0,0,'Données projet'!$E$14+1,1))-AVERAGE(OFFSET($H$3,0,0,'Données projet'!$E$14+1,1))</f>
        <v>299.10536994156814</v>
      </c>
      <c r="DU126" s="59">
        <f t="shared" si="98"/>
        <v>292.57799203101769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12.286402997245185</v>
      </c>
      <c r="EB126" s="21">
        <f>EXP(-LN(2)/25)*EB125+(1-EXP(-LN(2)/25))/(LN(2)/25)*Calculateur!DW126*Calculateur!DY126*VLOOKUP('Données projet'!$B$14,Paramètres!$A$1:$I$89,3,0)*0.475*44/12</f>
        <v>2.5282330793523324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14.814636076597518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204.00000000000017</v>
      </c>
      <c r="EK126" s="17">
        <f>EJ126*VLOOKUP('Données projet'!$B$15,Paramètres!$A$1:$I$89,3,0)*VLOOKUP('Données projet'!$B$15,Paramètres!$A$1:$I$89,5,0)</f>
        <v>133.66080000000011</v>
      </c>
      <c r="EL126" s="13">
        <f t="shared" si="99"/>
        <v>34.840890682716783</v>
      </c>
      <c r="EM126" s="20">
        <f t="shared" si="73"/>
        <v>293.4737779390652</v>
      </c>
      <c r="EN126" s="59">
        <f t="shared" si="74"/>
        <v>586.80711127239852</v>
      </c>
      <c r="EO126" s="59">
        <f ca="1">AVERAGE(OFFSET($EN$3,0,0,'Données projet'!$E$15+1,1))-AVERAGE(OFFSET($H$3,0,0,'Données projet'!$E$15+1,1))</f>
        <v>230.58262378842818</v>
      </c>
      <c r="EP126" s="59">
        <f t="shared" si="100"/>
        <v>235.68746142880792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0.99338050980353942</v>
      </c>
      <c r="EW126" s="21">
        <f>EXP(-LN(2)/25)*EW125+(1-EXP(-LN(2)/25))/(LN(2)/25)*Calculateur!ER126*Calculateur!ET126*VLOOKUP('Données projet'!$B$15,Paramètres!$A$1:$I$89,3,0)*0.475*44/12</f>
        <v>4.321037702504686</v>
      </c>
      <c r="EX126" s="21">
        <f>EXP(-LN(2)/2)*EX125+(1-EXP(-LN(2)/2))/(LN(2)/2)*ER126*EU126*VLOOKUP('Données projet'!$B$15,Paramètres!$A$1:$I$89,3,0)*0.475*44/12</f>
        <v>3.2121467798158601E-5</v>
      </c>
      <c r="EY126" s="22">
        <f t="shared" si="75"/>
        <v>5.3144503337760236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234.00000000000003</v>
      </c>
      <c r="FF126" s="17">
        <f>FE126*VLOOKUP('Données projet'!$B$16,Paramètres!$A$1:$I$89,3,0)*VLOOKUP('Données projet'!$B$16,Paramètres!$A$1:$I$89,5,0)</f>
        <v>189.82080000000005</v>
      </c>
      <c r="FG126" s="13">
        <f t="shared" si="101"/>
        <v>47.500332100049796</v>
      </c>
      <c r="FH126" s="20">
        <f t="shared" si="76"/>
        <v>413.33430507425345</v>
      </c>
      <c r="FI126" s="59">
        <f t="shared" si="77"/>
        <v>706.66763840758676</v>
      </c>
      <c r="FJ126" s="59">
        <f ca="1">AVERAGE(OFFSET($FI$3,0,0,'Données projet'!$E$16+1,1))-AVERAGE(OFFSET($H$3,0,0,'Données projet'!$E$16+1,1))</f>
        <v>272.90535195666996</v>
      </c>
      <c r="FK126" s="59">
        <f t="shared" si="102"/>
        <v>222.25422164416898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2.4318639350043987</v>
      </c>
      <c r="FR126" s="21">
        <f>EXP(-LN(2)/25)*FR125+(1-EXP(-LN(2)/25))/(LN(2)/25)*Calculateur!FM126*Calculateur!FO126*VLOOKUP('Données projet'!$B$16,Paramètres!$A$1:$I$89,3,0)*0.475*44/12</f>
        <v>4.9331133932902462</v>
      </c>
      <c r="FS126" s="21">
        <f>EXP(-LN(2)/2)*FS125+(1-EXP(-LN(2)/2))/(LN(2)/2)*FM126*FP126*VLOOKUP('Données projet'!$B$16,Paramètres!$A$1:$I$89,3,0)*0.475*44/12</f>
        <v>1.4609263161411105E-5</v>
      </c>
      <c r="FT126" s="22">
        <f t="shared" si="78"/>
        <v>7.3649919375578055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586.94735782334101</v>
      </c>
      <c r="S127" s="59">
        <f ca="1">AVERAGE(OFFSET($R$3,0,0,'Données projet'!$E$9+1,1))-AVERAGE(OFFSET($H$3,0,0,'Données projet'!$E$9+1,1))</f>
        <v>384.05928630855732</v>
      </c>
      <c r="T127" s="59">
        <f t="shared" si="88"/>
        <v>279.93992813630513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304.99999999999983</v>
      </c>
      <c r="AJ127" s="13">
        <f>AI127*VLOOKUP('Données projet'!$B$10,Paramètres!$A$1:$I$89,3,0)*VLOOKUP('Données projet'!$B$10,Paramètres!$A$1:$I$89,5,0)</f>
        <v>275.96399999999983</v>
      </c>
      <c r="AK127" s="13">
        <f t="shared" si="89"/>
        <v>66.113366665488854</v>
      </c>
      <c r="AL127" s="20">
        <f t="shared" si="58"/>
        <v>595.78474694239264</v>
      </c>
      <c r="AM127" s="59">
        <f t="shared" si="59"/>
        <v>889.11808027572602</v>
      </c>
      <c r="AN127" s="59">
        <f ca="1">AVERAGE(OFFSET($AM$3,0,0,'Données projet'!$E$10+1,1))-AVERAGE(OFFSET($H$3,0,0,'Données projet'!$E$10+1,1))</f>
        <v>366.69125512029831</v>
      </c>
      <c r="AO127" s="59">
        <f t="shared" si="90"/>
        <v>513.80016421153414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0.25120742633220983</v>
      </c>
      <c r="AV127" s="21">
        <f>EXP(-LN(2)/25)*AV126+(1-EXP(-LN(2)/25))/(LN(2)/25)*Calculateur!AQ127*Calculateur!AS127*VLOOKUP('Données projet'!$B$10,Paramètres!$A$1:$I$89,3,0)*0.475*44/12</f>
        <v>0.54495462261247452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0.79616204894468434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212.28480000000002</v>
      </c>
      <c r="BF127" s="13">
        <f t="shared" si="91"/>
        <v>52.434557099704193</v>
      </c>
      <c r="BG127" s="20">
        <f t="shared" si="61"/>
        <v>461.05288028198476</v>
      </c>
      <c r="BH127" s="59">
        <f t="shared" si="62"/>
        <v>754.38621361531807</v>
      </c>
      <c r="BI127" s="59">
        <f ca="1">AVERAGE(OFFSET($BH$3,0,0,'Données projet'!$E$11+1,1))-AVERAGE(OFFSET($H$3,0,0,'Données projet'!$E$11+1,1))</f>
        <v>354.24684313982857</v>
      </c>
      <c r="BJ127" s="59">
        <f t="shared" si="92"/>
        <v>322.65043486962185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16.942790023690577</v>
      </c>
      <c r="BQ127" s="21">
        <f>EXP(-LN(2)/25)*BQ126+(1-EXP(-LN(2)/25))/(LN(2)/25)*Calculateur!BL127*Calculateur!BN127*VLOOKUP('Données projet'!$B$11,Paramètres!$A$1:$I$89,3,0)*0.475*44/12</f>
        <v>7.6545809204612905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24.597370944151869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2.3349358974358978</v>
      </c>
      <c r="BY127" s="12">
        <f>IF('Données projet'!$A$114&gt;35,BY126+BX127-CG126,IF(A127&lt;'Données projet'!$A$114,$BV$205^A127,IF(A127='Données projet'!$A$114,'Données projet'!$B$114,BY126+BX127-CG126)))</f>
        <v>147.79647435897488</v>
      </c>
      <c r="BZ127" s="13">
        <f>BY127*VLOOKUP('Données projet'!$B$12,Paramètres!$A$1:$I$89,3,0)*VLOOKUP('Données projet'!$B$12,Paramètres!$A$1:$I$89,5,0)</f>
        <v>142.9487500000005</v>
      </c>
      <c r="CA127" s="13">
        <f t="shared" si="93"/>
        <v>36.97170105706271</v>
      </c>
      <c r="CB127" s="20">
        <f t="shared" si="64"/>
        <v>313.36145225771844</v>
      </c>
      <c r="CC127" s="59">
        <f t="shared" si="65"/>
        <v>606.69478559105175</v>
      </c>
      <c r="CD127" s="59">
        <f ca="1">AVERAGE(OFFSET($CC$3,0,0,'Données projet'!$E$12+1,1))-AVERAGE(OFFSET($H$3,0,0,'Données projet'!$E$12+1,1))</f>
        <v>407.73540492005355</v>
      </c>
      <c r="CE127" s="59">
        <f t="shared" si="94"/>
        <v>296.29416764204774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135.32046800562335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135.32046800562335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266.99999999999983</v>
      </c>
      <c r="CU127" s="17">
        <f>CT127*VLOOKUP('Données projet'!$B$13,Paramètres!$A$1:$I$89,3,0)*VLOOKUP('Données projet'!$B$13,Paramètres!$A$1:$I$89,5,0)</f>
        <v>212.42519999999985</v>
      </c>
      <c r="CV127" s="13">
        <f t="shared" si="95"/>
        <v>52.465198231787184</v>
      </c>
      <c r="CW127" s="20">
        <f t="shared" si="67"/>
        <v>461.35077692036231</v>
      </c>
      <c r="CX127" s="59">
        <f t="shared" si="68"/>
        <v>754.68411025369562</v>
      </c>
      <c r="CY127" s="59">
        <f ca="1">AVERAGE(OFFSET($CX$3,0,0,'Données projet'!$E$13+1,1))-AVERAGE(OFFSET($H$3,0,0,'Données projet'!$E$13+1,1))</f>
        <v>299.10536994156814</v>
      </c>
      <c r="CZ127" s="59">
        <f t="shared" si="96"/>
        <v>292.57799203101769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12.045474128435067</v>
      </c>
      <c r="DG127" s="21">
        <f>EXP(-LN(2)/25)*DG126+(1-EXP(-LN(2)/25))/(LN(2)/25)*Calculateur!DB127*Calculateur!DD127*VLOOKUP('Données projet'!$B$13,Paramètres!$A$1:$I$89,3,0)*0.475*44/12</f>
        <v>2.4590984128434434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14.504572541278511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266.99999999999983</v>
      </c>
      <c r="DP127" s="17">
        <f>DO127*VLOOKUP('Données projet'!$B$14,Paramètres!$A$1:$I$89,3,0)*VLOOKUP('Données projet'!$B$14,Paramètres!$A$1:$I$89,5,0)</f>
        <v>212.42519999999985</v>
      </c>
      <c r="DQ127" s="13">
        <f t="shared" si="97"/>
        <v>52.465198231787184</v>
      </c>
      <c r="DR127" s="20">
        <f t="shared" si="70"/>
        <v>461.35077692036231</v>
      </c>
      <c r="DS127" s="59">
        <f t="shared" si="71"/>
        <v>754.68411025369562</v>
      </c>
      <c r="DT127" s="59">
        <f ca="1">AVERAGE(OFFSET($DS$3,0,0,'Données projet'!$E$14+1,1))-AVERAGE(OFFSET($H$3,0,0,'Données projet'!$E$14+1,1))</f>
        <v>299.10536994156814</v>
      </c>
      <c r="DU127" s="59">
        <f t="shared" si="98"/>
        <v>292.57799203101769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12.045474128435067</v>
      </c>
      <c r="EB127" s="21">
        <f>EXP(-LN(2)/25)*EB126+(1-EXP(-LN(2)/25))/(LN(2)/25)*Calculateur!DW127*Calculateur!DY127*VLOOKUP('Données projet'!$B$14,Paramètres!$A$1:$I$89,3,0)*0.475*44/12</f>
        <v>2.4590984128434434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14.504572541278511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204.00000000000017</v>
      </c>
      <c r="EK127" s="17">
        <f>EJ127*VLOOKUP('Données projet'!$B$15,Paramètres!$A$1:$I$89,3,0)*VLOOKUP('Données projet'!$B$15,Paramètres!$A$1:$I$89,5,0)</f>
        <v>133.66080000000011</v>
      </c>
      <c r="EL127" s="13">
        <f t="shared" si="99"/>
        <v>34.840890682716783</v>
      </c>
      <c r="EM127" s="20">
        <f t="shared" si="73"/>
        <v>293.4737779390652</v>
      </c>
      <c r="EN127" s="59">
        <f t="shared" si="74"/>
        <v>586.80711127239852</v>
      </c>
      <c r="EO127" s="59">
        <f ca="1">AVERAGE(OFFSET($EN$3,0,0,'Données projet'!$E$15+1,1))-AVERAGE(OFFSET($H$3,0,0,'Données projet'!$E$15+1,1))</f>
        <v>230.58262378842818</v>
      </c>
      <c r="EP127" s="59">
        <f t="shared" si="100"/>
        <v>235.68746142880792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0.97390092390857508</v>
      </c>
      <c r="EW127" s="21">
        <f>EXP(-LN(2)/25)*EW126+(1-EXP(-LN(2)/25))/(LN(2)/25)*Calculateur!ER127*Calculateur!ET127*VLOOKUP('Données projet'!$B$15,Paramètres!$A$1:$I$89,3,0)*0.475*44/12</f>
        <v>4.2028786992961988</v>
      </c>
      <c r="EX127" s="21">
        <f>EXP(-LN(2)/2)*EX126+(1-EXP(-LN(2)/2))/(LN(2)/2)*ER127*EU127*VLOOKUP('Données projet'!$B$15,Paramètres!$A$1:$I$89,3,0)*0.475*44/12</f>
        <v>2.2713307701743267E-5</v>
      </c>
      <c r="EY127" s="22">
        <f t="shared" si="75"/>
        <v>5.1768023365124751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234.00000000000003</v>
      </c>
      <c r="FF127" s="17">
        <f>FE127*VLOOKUP('Données projet'!$B$16,Paramètres!$A$1:$I$89,3,0)*VLOOKUP('Données projet'!$B$16,Paramètres!$A$1:$I$89,5,0)</f>
        <v>189.82080000000005</v>
      </c>
      <c r="FG127" s="13">
        <f t="shared" si="101"/>
        <v>47.500332100049796</v>
      </c>
      <c r="FH127" s="20">
        <f t="shared" si="76"/>
        <v>413.33430507425345</v>
      </c>
      <c r="FI127" s="59">
        <f t="shared" si="77"/>
        <v>706.66763840758676</v>
      </c>
      <c r="FJ127" s="59">
        <f ca="1">AVERAGE(OFFSET($FI$3,0,0,'Données projet'!$E$16+1,1))-AVERAGE(OFFSET($H$3,0,0,'Données projet'!$E$16+1,1))</f>
        <v>272.90535195666996</v>
      </c>
      <c r="FK127" s="59">
        <f t="shared" si="102"/>
        <v>222.25422164416898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2.3841765665294998</v>
      </c>
      <c r="FR127" s="21">
        <f>EXP(-LN(2)/25)*FR126+(1-EXP(-LN(2)/25))/(LN(2)/25)*Calculateur!FM127*Calculateur!FO127*VLOOKUP('Données projet'!$B$16,Paramètres!$A$1:$I$89,3,0)*0.475*44/12</f>
        <v>4.7982171481295657</v>
      </c>
      <c r="FS127" s="21">
        <f>EXP(-LN(2)/2)*FS126+(1-EXP(-LN(2)/2))/(LN(2)/2)*FM127*FP127*VLOOKUP('Données projet'!$B$16,Paramètres!$A$1:$I$89,3,0)*0.475*44/12</f>
        <v>1.0330309049572611E-5</v>
      </c>
      <c r="FT127" s="22">
        <f t="shared" si="78"/>
        <v>7.1824040449681155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591.47355484524326</v>
      </c>
      <c r="S128" s="59">
        <f ca="1">AVERAGE(OFFSET($R$3,0,0,'Données projet'!$E$9+1,1))-AVERAGE(OFFSET($H$3,0,0,'Données projet'!$E$9+1,1))</f>
        <v>384.05928630855732</v>
      </c>
      <c r="T128" s="59">
        <f t="shared" si="88"/>
        <v>279.93992813630513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304.99999999999983</v>
      </c>
      <c r="AJ128" s="13">
        <f>AI128*VLOOKUP('Données projet'!$B$10,Paramètres!$A$1:$I$89,3,0)*VLOOKUP('Données projet'!$B$10,Paramètres!$A$1:$I$89,5,0)</f>
        <v>275.96399999999983</v>
      </c>
      <c r="AK128" s="13">
        <f t="shared" si="89"/>
        <v>66.113366665488854</v>
      </c>
      <c r="AL128" s="20">
        <f t="shared" si="58"/>
        <v>595.78474694239264</v>
      </c>
      <c r="AM128" s="59">
        <f t="shared" si="59"/>
        <v>889.11808027572602</v>
      </c>
      <c r="AN128" s="59">
        <f ca="1">AVERAGE(OFFSET($AM$3,0,0,'Données projet'!$E$10+1,1))-AVERAGE(OFFSET($H$3,0,0,'Données projet'!$E$10+1,1))</f>
        <v>366.69125512029831</v>
      </c>
      <c r="AO128" s="59">
        <f t="shared" si="90"/>
        <v>513.80016421153414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0.24628140192323589</v>
      </c>
      <c r="AV128" s="21">
        <f>EXP(-LN(2)/25)*AV127+(1-EXP(-LN(2)/25))/(LN(2)/25)*Calculateur!AQ128*Calculateur!AS128*VLOOKUP('Données projet'!$B$10,Paramètres!$A$1:$I$89,3,0)*0.475*44/12</f>
        <v>0.53005280979921832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0.7763342117224542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212.28480000000002</v>
      </c>
      <c r="BF128" s="13">
        <f t="shared" si="91"/>
        <v>52.434557099704193</v>
      </c>
      <c r="BG128" s="20">
        <f t="shared" si="61"/>
        <v>461.05288028198476</v>
      </c>
      <c r="BH128" s="59">
        <f t="shared" si="62"/>
        <v>754.38621361531807</v>
      </c>
      <c r="BI128" s="59">
        <f ca="1">AVERAGE(OFFSET($BH$3,0,0,'Données projet'!$E$11+1,1))-AVERAGE(OFFSET($H$3,0,0,'Données projet'!$E$11+1,1))</f>
        <v>354.24684313982857</v>
      </c>
      <c r="BJ128" s="59">
        <f t="shared" si="92"/>
        <v>322.65043486962185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16.610552245407515</v>
      </c>
      <c r="BQ128" s="21">
        <f>EXP(-LN(2)/25)*BQ127+(1-EXP(-LN(2)/25))/(LN(2)/25)*Calculateur!BL128*Calculateur!BN128*VLOOKUP('Données projet'!$B$11,Paramètres!$A$1:$I$89,3,0)*0.475*44/12</f>
        <v>7.4452660026543604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24.055818248061875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2.3349358974358978</v>
      </c>
      <c r="BY128" s="12">
        <f>IF('Données projet'!$A$114&gt;35,BY127+BX128-CG127,IF(A128&lt;'Données projet'!$A$114,$BV$205^A128,IF(A128='Données projet'!$A$114,'Données projet'!$B$114,BY127+BX128-CG127)))</f>
        <v>150.13141025641079</v>
      </c>
      <c r="BZ128" s="13">
        <f>BY128*VLOOKUP('Données projet'!$B$12,Paramètres!$A$1:$I$89,3,0)*VLOOKUP('Données projet'!$B$12,Paramètres!$A$1:$I$89,5,0)</f>
        <v>145.20710000000051</v>
      </c>
      <c r="CA128" s="13">
        <f t="shared" si="93"/>
        <v>37.487331864330997</v>
      </c>
      <c r="CB128" s="20">
        <f t="shared" si="64"/>
        <v>318.19280216371067</v>
      </c>
      <c r="CC128" s="59">
        <f t="shared" si="65"/>
        <v>611.52613549704392</v>
      </c>
      <c r="CD128" s="59">
        <f ca="1">AVERAGE(OFFSET($CC$3,0,0,'Données projet'!$E$12+1,1))-AVERAGE(OFFSET($H$3,0,0,'Données projet'!$E$12+1,1))</f>
        <v>407.73540492005355</v>
      </c>
      <c r="CE128" s="59">
        <f t="shared" si="94"/>
        <v>296.29416764204774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132.66691616536869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132.66691616536869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266.99999999999983</v>
      </c>
      <c r="CU128" s="17">
        <f>CT128*VLOOKUP('Données projet'!$B$13,Paramètres!$A$1:$I$89,3,0)*VLOOKUP('Données projet'!$B$13,Paramètres!$A$1:$I$89,5,0)</f>
        <v>212.42519999999985</v>
      </c>
      <c r="CV128" s="13">
        <f t="shared" si="95"/>
        <v>52.465198231787184</v>
      </c>
      <c r="CW128" s="20">
        <f t="shared" si="67"/>
        <v>461.35077692036231</v>
      </c>
      <c r="CX128" s="59">
        <f t="shared" si="68"/>
        <v>754.68411025369562</v>
      </c>
      <c r="CY128" s="59">
        <f ca="1">AVERAGE(OFFSET($CX$3,0,0,'Données projet'!$E$13+1,1))-AVERAGE(OFFSET($H$3,0,0,'Données projet'!$E$13+1,1))</f>
        <v>299.10536994156814</v>
      </c>
      <c r="CZ128" s="59">
        <f t="shared" si="96"/>
        <v>292.57799203101769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11.809269727790216</v>
      </c>
      <c r="DG128" s="21">
        <f>EXP(-LN(2)/25)*DG127+(1-EXP(-LN(2)/25))/(LN(2)/25)*Calculateur!DB128*Calculateur!DD128*VLOOKUP('Données projet'!$B$13,Paramètres!$A$1:$I$89,3,0)*0.475*44/12</f>
        <v>2.3918542374258744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14.201123965216091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266.99999999999983</v>
      </c>
      <c r="DP128" s="17">
        <f>DO128*VLOOKUP('Données projet'!$B$14,Paramètres!$A$1:$I$89,3,0)*VLOOKUP('Données projet'!$B$14,Paramètres!$A$1:$I$89,5,0)</f>
        <v>212.42519999999985</v>
      </c>
      <c r="DQ128" s="13">
        <f t="shared" si="97"/>
        <v>52.465198231787184</v>
      </c>
      <c r="DR128" s="20">
        <f t="shared" si="70"/>
        <v>461.35077692036231</v>
      </c>
      <c r="DS128" s="59">
        <f t="shared" si="71"/>
        <v>754.68411025369562</v>
      </c>
      <c r="DT128" s="59">
        <f ca="1">AVERAGE(OFFSET($DS$3,0,0,'Données projet'!$E$14+1,1))-AVERAGE(OFFSET($H$3,0,0,'Données projet'!$E$14+1,1))</f>
        <v>299.10536994156814</v>
      </c>
      <c r="DU128" s="59">
        <f t="shared" si="98"/>
        <v>292.57799203101769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11.809269727790216</v>
      </c>
      <c r="EB128" s="21">
        <f>EXP(-LN(2)/25)*EB127+(1-EXP(-LN(2)/25))/(LN(2)/25)*Calculateur!DW128*Calculateur!DY128*VLOOKUP('Données projet'!$B$14,Paramètres!$A$1:$I$89,3,0)*0.475*44/12</f>
        <v>2.3918542374258744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14.201123965216091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204.00000000000017</v>
      </c>
      <c r="EK128" s="17">
        <f>EJ128*VLOOKUP('Données projet'!$B$15,Paramètres!$A$1:$I$89,3,0)*VLOOKUP('Données projet'!$B$15,Paramètres!$A$1:$I$89,5,0)</f>
        <v>133.66080000000011</v>
      </c>
      <c r="EL128" s="13">
        <f t="shared" si="99"/>
        <v>34.840890682716783</v>
      </c>
      <c r="EM128" s="20">
        <f t="shared" si="73"/>
        <v>293.4737779390652</v>
      </c>
      <c r="EN128" s="59">
        <f t="shared" si="74"/>
        <v>586.80711127239852</v>
      </c>
      <c r="EO128" s="59">
        <f ca="1">AVERAGE(OFFSET($EN$3,0,0,'Données projet'!$E$15+1,1))-AVERAGE(OFFSET($H$3,0,0,'Données projet'!$E$15+1,1))</f>
        <v>230.58262378842818</v>
      </c>
      <c r="EP128" s="59">
        <f t="shared" si="100"/>
        <v>235.68746142880792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0.95480332081163677</v>
      </c>
      <c r="EW128" s="21">
        <f>EXP(-LN(2)/25)*EW127+(1-EXP(-LN(2)/25))/(LN(2)/25)*Calculateur!ER128*Calculateur!ET128*VLOOKUP('Données projet'!$B$15,Paramètres!$A$1:$I$89,3,0)*0.475*44/12</f>
        <v>4.0879507602441594</v>
      </c>
      <c r="EX128" s="21">
        <f>EXP(-LN(2)/2)*EX127+(1-EXP(-LN(2)/2))/(LN(2)/2)*ER128*EU128*VLOOKUP('Données projet'!$B$15,Paramètres!$A$1:$I$89,3,0)*0.475*44/12</f>
        <v>1.6060733899079301E-5</v>
      </c>
      <c r="EY128" s="22">
        <f t="shared" si="75"/>
        <v>5.0427701417896955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234.00000000000003</v>
      </c>
      <c r="FF128" s="17">
        <f>FE128*VLOOKUP('Données projet'!$B$16,Paramètres!$A$1:$I$89,3,0)*VLOOKUP('Données projet'!$B$16,Paramètres!$A$1:$I$89,5,0)</f>
        <v>189.82080000000005</v>
      </c>
      <c r="FG128" s="13">
        <f t="shared" si="101"/>
        <v>47.500332100049796</v>
      </c>
      <c r="FH128" s="20">
        <f t="shared" si="76"/>
        <v>413.33430507425345</v>
      </c>
      <c r="FI128" s="59">
        <f t="shared" si="77"/>
        <v>706.66763840758676</v>
      </c>
      <c r="FJ128" s="59">
        <f ca="1">AVERAGE(OFFSET($FI$3,0,0,'Données projet'!$E$16+1,1))-AVERAGE(OFFSET($H$3,0,0,'Données projet'!$E$16+1,1))</f>
        <v>272.90535195666996</v>
      </c>
      <c r="FK128" s="59">
        <f t="shared" si="102"/>
        <v>222.25422164416898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2.3374243182639711</v>
      </c>
      <c r="FR128" s="21">
        <f>EXP(-LN(2)/25)*FR127+(1-EXP(-LN(2)/25))/(LN(2)/25)*Calculateur!FM128*Calculateur!FO128*VLOOKUP('Données projet'!$B$16,Paramètres!$A$1:$I$89,3,0)*0.475*44/12</f>
        <v>4.6670096478866894</v>
      </c>
      <c r="FS128" s="21">
        <f>EXP(-LN(2)/2)*FS127+(1-EXP(-LN(2)/2))/(LN(2)/2)*FM128*FP128*VLOOKUP('Données projet'!$B$16,Paramètres!$A$1:$I$89,3,0)*0.475*44/12</f>
        <v>7.3046315807055523E-6</v>
      </c>
      <c r="FT128" s="22">
        <f t="shared" si="78"/>
        <v>7.004441270782241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595.99822045030737</v>
      </c>
      <c r="S129" s="59">
        <f ca="1">AVERAGE(OFFSET($R$3,0,0,'Données projet'!$E$9+1,1))-AVERAGE(OFFSET($H$3,0,0,'Données projet'!$E$9+1,1))</f>
        <v>384.05928630855732</v>
      </c>
      <c r="T129" s="59">
        <f t="shared" si="88"/>
        <v>279.93992813630513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304.99999999999983</v>
      </c>
      <c r="AJ129" s="13">
        <f>AI129*VLOOKUP('Données projet'!$B$10,Paramètres!$A$1:$I$89,3,0)*VLOOKUP('Données projet'!$B$10,Paramètres!$A$1:$I$89,5,0)</f>
        <v>275.96399999999983</v>
      </c>
      <c r="AK129" s="13">
        <f t="shared" si="89"/>
        <v>66.113366665488854</v>
      </c>
      <c r="AL129" s="20">
        <f t="shared" si="58"/>
        <v>595.78474694239264</v>
      </c>
      <c r="AM129" s="59">
        <f t="shared" si="59"/>
        <v>889.11808027572602</v>
      </c>
      <c r="AN129" s="59">
        <f ca="1">AVERAGE(OFFSET($AM$3,0,0,'Données projet'!$E$10+1,1))-AVERAGE(OFFSET($H$3,0,0,'Données projet'!$E$10+1,1))</f>
        <v>366.69125512029831</v>
      </c>
      <c r="AO129" s="59">
        <f t="shared" si="90"/>
        <v>513.80016421153414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0.24145197384834372</v>
      </c>
      <c r="AV129" s="21">
        <f>EXP(-LN(2)/25)*AV128+(1-EXP(-LN(2)/25))/(LN(2)/25)*Calculateur!AQ129*Calculateur!AS129*VLOOKUP('Données projet'!$B$10,Paramètres!$A$1:$I$89,3,0)*0.475*44/12</f>
        <v>0.5155584878409929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0.75701046168933661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212.28480000000002</v>
      </c>
      <c r="BF129" s="13">
        <f t="shared" si="91"/>
        <v>52.434557099704193</v>
      </c>
      <c r="BG129" s="20">
        <f t="shared" si="61"/>
        <v>461.05288028198476</v>
      </c>
      <c r="BH129" s="59">
        <f t="shared" si="62"/>
        <v>754.38621361531807</v>
      </c>
      <c r="BI129" s="59">
        <f ca="1">AVERAGE(OFFSET($BH$3,0,0,'Données projet'!$E$11+1,1))-AVERAGE(OFFSET($H$3,0,0,'Données projet'!$E$11+1,1))</f>
        <v>354.24684313982857</v>
      </c>
      <c r="BJ129" s="59">
        <f t="shared" si="92"/>
        <v>322.65043486962185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16.284829447311548</v>
      </c>
      <c r="BQ129" s="21">
        <f>EXP(-LN(2)/25)*BQ128+(1-EXP(-LN(2)/25))/(LN(2)/25)*Calculateur!BL129*Calculateur!BN129*VLOOKUP('Données projet'!$B$11,Paramètres!$A$1:$I$89,3,0)*0.475*44/12</f>
        <v>7.2416748122822545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23.526504259593803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2.3349358974358978</v>
      </c>
      <c r="BY129" s="12">
        <f>IF('Données projet'!$A$114&gt;35,BY128+BX129-CG128,IF(A129&lt;'Données projet'!$A$114,$BV$205^A129,IF(A129='Données projet'!$A$114,'Données projet'!$B$114,BY128+BX129-CG128)))</f>
        <v>152.4663461538467</v>
      </c>
      <c r="BZ129" s="13">
        <f>BY129*VLOOKUP('Données projet'!$B$12,Paramètres!$A$1:$I$89,3,0)*VLOOKUP('Données projet'!$B$12,Paramètres!$A$1:$I$89,5,0)</f>
        <v>147.46545000000052</v>
      </c>
      <c r="CA129" s="13">
        <f t="shared" si="93"/>
        <v>38.002030017293436</v>
      </c>
      <c r="CB129" s="20">
        <f t="shared" si="64"/>
        <v>323.02252769678699</v>
      </c>
      <c r="CC129" s="59">
        <f t="shared" si="65"/>
        <v>616.35586103012031</v>
      </c>
      <c r="CD129" s="59">
        <f ca="1">AVERAGE(OFFSET($CC$3,0,0,'Données projet'!$E$12+1,1))-AVERAGE(OFFSET($H$3,0,0,'Données projet'!$E$12+1,1))</f>
        <v>407.73540492005355</v>
      </c>
      <c r="CE129" s="59">
        <f t="shared" si="94"/>
        <v>296.29416764204774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130.06539885819461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130.06539885819461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266.99999999999983</v>
      </c>
      <c r="CU129" s="17">
        <f>CT129*VLOOKUP('Données projet'!$B$13,Paramètres!$A$1:$I$89,3,0)*VLOOKUP('Données projet'!$B$13,Paramètres!$A$1:$I$89,5,0)</f>
        <v>212.42519999999985</v>
      </c>
      <c r="CV129" s="13">
        <f t="shared" si="95"/>
        <v>52.465198231787184</v>
      </c>
      <c r="CW129" s="20">
        <f t="shared" si="67"/>
        <v>461.35077692036231</v>
      </c>
      <c r="CX129" s="59">
        <f t="shared" si="68"/>
        <v>754.68411025369562</v>
      </c>
      <c r="CY129" s="59">
        <f ca="1">AVERAGE(OFFSET($CX$3,0,0,'Données projet'!$E$13+1,1))-AVERAGE(OFFSET($H$3,0,0,'Données projet'!$E$13+1,1))</f>
        <v>299.10536994156814</v>
      </c>
      <c r="CZ129" s="59">
        <f t="shared" si="96"/>
        <v>292.57799203101769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11.577697151371552</v>
      </c>
      <c r="DG129" s="21">
        <f>EXP(-LN(2)/25)*DG128+(1-EXP(-LN(2)/25))/(LN(2)/25)*Calculateur!DB129*Calculateur!DD129*VLOOKUP('Données projet'!$B$13,Paramètres!$A$1:$I$89,3,0)*0.475*44/12</f>
        <v>2.3264488575213162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13.904146008892869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266.99999999999983</v>
      </c>
      <c r="DP129" s="17">
        <f>DO129*VLOOKUP('Données projet'!$B$14,Paramètres!$A$1:$I$89,3,0)*VLOOKUP('Données projet'!$B$14,Paramètres!$A$1:$I$89,5,0)</f>
        <v>212.42519999999985</v>
      </c>
      <c r="DQ129" s="13">
        <f t="shared" si="97"/>
        <v>52.465198231787184</v>
      </c>
      <c r="DR129" s="20">
        <f t="shared" si="70"/>
        <v>461.35077692036231</v>
      </c>
      <c r="DS129" s="59">
        <f t="shared" si="71"/>
        <v>754.68411025369562</v>
      </c>
      <c r="DT129" s="59">
        <f ca="1">AVERAGE(OFFSET($DS$3,0,0,'Données projet'!$E$14+1,1))-AVERAGE(OFFSET($H$3,0,0,'Données projet'!$E$14+1,1))</f>
        <v>299.10536994156814</v>
      </c>
      <c r="DU129" s="59">
        <f t="shared" si="98"/>
        <v>292.57799203101769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11.577697151371552</v>
      </c>
      <c r="EB129" s="21">
        <f>EXP(-LN(2)/25)*EB128+(1-EXP(-LN(2)/25))/(LN(2)/25)*Calculateur!DW129*Calculateur!DY129*VLOOKUP('Données projet'!$B$14,Paramètres!$A$1:$I$89,3,0)*0.475*44/12</f>
        <v>2.3264488575213162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13.904146008892869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204.00000000000017</v>
      </c>
      <c r="EK129" s="17">
        <f>EJ129*VLOOKUP('Données projet'!$B$15,Paramètres!$A$1:$I$89,3,0)*VLOOKUP('Données projet'!$B$15,Paramètres!$A$1:$I$89,5,0)</f>
        <v>133.66080000000011</v>
      </c>
      <c r="EL129" s="13">
        <f t="shared" si="99"/>
        <v>34.840890682716783</v>
      </c>
      <c r="EM129" s="20">
        <f t="shared" si="73"/>
        <v>293.4737779390652</v>
      </c>
      <c r="EN129" s="59">
        <f t="shared" si="74"/>
        <v>586.80711127239852</v>
      </c>
      <c r="EO129" s="59">
        <f ca="1">AVERAGE(OFFSET($EN$3,0,0,'Données projet'!$E$15+1,1))-AVERAGE(OFFSET($H$3,0,0,'Données projet'!$E$15+1,1))</f>
        <v>230.58262378842818</v>
      </c>
      <c r="EP129" s="59">
        <f t="shared" si="100"/>
        <v>235.68746142880792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0.93608021006304176</v>
      </c>
      <c r="EW129" s="21">
        <f>EXP(-LN(2)/25)*EW128+(1-EXP(-LN(2)/25))/(LN(2)/25)*Calculateur!ER129*Calculateur!ET129*VLOOKUP('Données projet'!$B$15,Paramètres!$A$1:$I$89,3,0)*0.475*44/12</f>
        <v>3.9761655317292957</v>
      </c>
      <c r="EX129" s="21">
        <f>EXP(-LN(2)/2)*EX128+(1-EXP(-LN(2)/2))/(LN(2)/2)*ER129*EU129*VLOOKUP('Données projet'!$B$15,Paramètres!$A$1:$I$89,3,0)*0.475*44/12</f>
        <v>1.1356653850871633E-5</v>
      </c>
      <c r="EY129" s="22">
        <f t="shared" si="75"/>
        <v>4.9122570984461884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234.00000000000003</v>
      </c>
      <c r="FF129" s="17">
        <f>FE129*VLOOKUP('Données projet'!$B$16,Paramètres!$A$1:$I$89,3,0)*VLOOKUP('Données projet'!$B$16,Paramètres!$A$1:$I$89,5,0)</f>
        <v>189.82080000000005</v>
      </c>
      <c r="FG129" s="13">
        <f t="shared" si="101"/>
        <v>47.500332100049796</v>
      </c>
      <c r="FH129" s="20">
        <f t="shared" si="76"/>
        <v>413.33430507425345</v>
      </c>
      <c r="FI129" s="59">
        <f t="shared" si="77"/>
        <v>706.66763840758676</v>
      </c>
      <c r="FJ129" s="59">
        <f ca="1">AVERAGE(OFFSET($FI$3,0,0,'Données projet'!$E$16+1,1))-AVERAGE(OFFSET($H$3,0,0,'Données projet'!$E$16+1,1))</f>
        <v>272.90535195666996</v>
      </c>
      <c r="FK129" s="59">
        <f t="shared" si="102"/>
        <v>222.25422164416898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2.2915888530708739</v>
      </c>
      <c r="FR129" s="21">
        <f>EXP(-LN(2)/25)*FR128+(1-EXP(-LN(2)/25))/(LN(2)/25)*Calculateur!FM129*Calculateur!FO129*VLOOKUP('Données projet'!$B$16,Paramètres!$A$1:$I$89,3,0)*0.475*44/12</f>
        <v>4.539390023637857</v>
      </c>
      <c r="FS129" s="21">
        <f>EXP(-LN(2)/2)*FS128+(1-EXP(-LN(2)/2))/(LN(2)/2)*FM129*FP129*VLOOKUP('Données projet'!$B$16,Paramètres!$A$1:$I$89,3,0)*0.475*44/12</f>
        <v>5.1651545247863057E-6</v>
      </c>
      <c r="FT129" s="22">
        <f t="shared" si="78"/>
        <v>6.830984041863255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600.52138079995711</v>
      </c>
      <c r="S130" s="59">
        <f ca="1">AVERAGE(OFFSET($R$3,0,0,'Données projet'!$E$9+1,1))-AVERAGE(OFFSET($H$3,0,0,'Données projet'!$E$9+1,1))</f>
        <v>384.05928630855732</v>
      </c>
      <c r="T130" s="59">
        <f t="shared" si="88"/>
        <v>279.93992813630513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304.99999999999983</v>
      </c>
      <c r="AJ130" s="13">
        <f>AI130*VLOOKUP('Données projet'!$B$10,Paramètres!$A$1:$I$89,3,0)*VLOOKUP('Données projet'!$B$10,Paramètres!$A$1:$I$89,5,0)</f>
        <v>275.96399999999983</v>
      </c>
      <c r="AK130" s="13">
        <f t="shared" si="89"/>
        <v>66.113366665488854</v>
      </c>
      <c r="AL130" s="20">
        <f t="shared" si="58"/>
        <v>595.78474694239264</v>
      </c>
      <c r="AM130" s="59">
        <f t="shared" si="59"/>
        <v>889.11808027572602</v>
      </c>
      <c r="AN130" s="59">
        <f ca="1">AVERAGE(OFFSET($AM$3,0,0,'Données projet'!$E$10+1,1))-AVERAGE(OFFSET($H$3,0,0,'Données projet'!$E$10+1,1))</f>
        <v>366.69125512029831</v>
      </c>
      <c r="AO130" s="59">
        <f t="shared" si="90"/>
        <v>513.80016421153414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0.23671724791233992</v>
      </c>
      <c r="AV130" s="21">
        <f>EXP(-LN(2)/25)*AV129+(1-EXP(-LN(2)/25))/(LN(2)/25)*Calculateur!AQ130*Calculateur!AS130*VLOOKUP('Données projet'!$B$10,Paramètres!$A$1:$I$89,3,0)*0.475*44/12</f>
        <v>0.50146051387893842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0.73817776179127836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212.28480000000002</v>
      </c>
      <c r="BF130" s="13">
        <f t="shared" si="91"/>
        <v>52.434557099704193</v>
      </c>
      <c r="BG130" s="20">
        <f t="shared" si="61"/>
        <v>461.05288028198476</v>
      </c>
      <c r="BH130" s="59">
        <f t="shared" si="62"/>
        <v>754.38621361531807</v>
      </c>
      <c r="BI130" s="59">
        <f ca="1">AVERAGE(OFFSET($BH$3,0,0,'Données projet'!$E$11+1,1))-AVERAGE(OFFSET($H$3,0,0,'Données projet'!$E$11+1,1))</f>
        <v>354.24684313982857</v>
      </c>
      <c r="BJ130" s="59">
        <f t="shared" si="92"/>
        <v>322.65043486962185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15.965493874614952</v>
      </c>
      <c r="BQ130" s="21">
        <f>EXP(-LN(2)/25)*BQ129+(1-EXP(-LN(2)/25))/(LN(2)/25)*Calculateur!BL130*Calculateur!BN130*VLOOKUP('Données projet'!$B$11,Paramètres!$A$1:$I$89,3,0)*0.475*44/12</f>
        <v>7.043650833717269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23.009144708332222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>
        <f>VLOOKUP(A130,'Données projet'!$A$113:$I$133,2,0)</f>
        <v>154.80128205128204</v>
      </c>
      <c r="BW130" s="12">
        <f>VLOOKUP(A130,'Données projet'!$A$113:$I$133,9,0)</f>
        <v>2.3349358974358978</v>
      </c>
      <c r="BX130" s="12">
        <f t="array" ref="BX130">INDEX(BW:BW,MIN(IF(ISNUMBER(BW130:BW326),ROW(BW130:BW326),"")))</f>
        <v>2.3349358974358978</v>
      </c>
      <c r="BY130" s="12">
        <f>IF('Données projet'!$A$114&gt;35,BY129+BX130-CG129,IF(A130&lt;'Données projet'!$A$114,$BV$205^A130,IF(A130='Données projet'!$A$114,'Données projet'!$B$114,BY129+BX130-CG129)))</f>
        <v>154.80128205128261</v>
      </c>
      <c r="BZ130" s="13">
        <f>BY130*VLOOKUP('Données projet'!$B$12,Paramètres!$A$1:$I$89,3,0)*VLOOKUP('Données projet'!$B$12,Paramètres!$A$1:$I$89,5,0)</f>
        <v>149.72380000000055</v>
      </c>
      <c r="CA130" s="13">
        <f t="shared" si="93"/>
        <v>38.515811448623552</v>
      </c>
      <c r="CB130" s="20">
        <f t="shared" si="64"/>
        <v>327.8506566063536</v>
      </c>
      <c r="CC130" s="59">
        <f t="shared" si="65"/>
        <v>621.18398993968685</v>
      </c>
      <c r="CD130" s="59">
        <f ca="1">AVERAGE(OFFSET($CC$3,0,0,'Données projet'!$E$12+1,1))-AVERAGE(OFFSET($H$3,0,0,'Données projet'!$E$12+1,1))</f>
        <v>407.73540492005355</v>
      </c>
      <c r="CE130" s="59">
        <f t="shared" si="94"/>
        <v>296.29416764204774</v>
      </c>
      <c r="CF130" s="15">
        <f>IF(ISNA(VLOOKUP(A130,'Données projet'!$A$113:$I$133,3,0)),0,VLOOKUP(A130,'Données projet'!$A$113:$I$133,3,0))</f>
        <v>13</v>
      </c>
      <c r="CG130" s="15">
        <f>IF(ISNA(VLOOKUP(A130,'Données projet'!$A$113:$I$133,4,0)),0,VLOOKUP(A130,'Données projet'!$A$113:$I$133,4,0))</f>
        <v>49.916666666666671</v>
      </c>
      <c r="CH130" s="16">
        <f>IF(ISNA(VLOOKUP(A130,'Données projet'!$A$113:$I$133,5,0)),0%,VLOOKUP(A130,'Données projet'!$A$113:$I$133,5,0)*VLOOKUP('Données projet'!$B$12,Paramètres!$A$1:$I$89,7,0))</f>
        <v>0.38700000000000001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148.16964556895348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148.16964556895348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266.99999999999983</v>
      </c>
      <c r="CU130" s="17">
        <f>CT130*VLOOKUP('Données projet'!$B$13,Paramètres!$A$1:$I$89,3,0)*VLOOKUP('Données projet'!$B$13,Paramètres!$A$1:$I$89,5,0)</f>
        <v>212.42519999999985</v>
      </c>
      <c r="CV130" s="13">
        <f t="shared" si="95"/>
        <v>52.465198231787184</v>
      </c>
      <c r="CW130" s="20">
        <f t="shared" si="67"/>
        <v>461.35077692036231</v>
      </c>
      <c r="CX130" s="59">
        <f t="shared" si="68"/>
        <v>754.68411025369562</v>
      </c>
      <c r="CY130" s="59">
        <f ca="1">AVERAGE(OFFSET($CX$3,0,0,'Données projet'!$E$13+1,1))-AVERAGE(OFFSET($H$3,0,0,'Données projet'!$E$13+1,1))</f>
        <v>299.10536994156814</v>
      </c>
      <c r="CZ130" s="59">
        <f t="shared" si="96"/>
        <v>292.57799203101769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11.350665571931133</v>
      </c>
      <c r="DG130" s="21">
        <f>EXP(-LN(2)/25)*DG129+(1-EXP(-LN(2)/25))/(LN(2)/25)*Calculateur!DB130*Calculateur!DD130*VLOOKUP('Données projet'!$B$13,Paramètres!$A$1:$I$89,3,0)*0.475*44/12</f>
        <v>2.2628319911697674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13.6134975631009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266.99999999999983</v>
      </c>
      <c r="DP130" s="17">
        <f>DO130*VLOOKUP('Données projet'!$B$14,Paramètres!$A$1:$I$89,3,0)*VLOOKUP('Données projet'!$B$14,Paramètres!$A$1:$I$89,5,0)</f>
        <v>212.42519999999985</v>
      </c>
      <c r="DQ130" s="13">
        <f t="shared" si="97"/>
        <v>52.465198231787184</v>
      </c>
      <c r="DR130" s="20">
        <f t="shared" si="70"/>
        <v>461.35077692036231</v>
      </c>
      <c r="DS130" s="59">
        <f t="shared" si="71"/>
        <v>754.68411025369562</v>
      </c>
      <c r="DT130" s="59">
        <f ca="1">AVERAGE(OFFSET($DS$3,0,0,'Données projet'!$E$14+1,1))-AVERAGE(OFFSET($H$3,0,0,'Données projet'!$E$14+1,1))</f>
        <v>299.10536994156814</v>
      </c>
      <c r="DU130" s="59">
        <f t="shared" si="98"/>
        <v>292.57799203101769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11.350665571931133</v>
      </c>
      <c r="EB130" s="21">
        <f>EXP(-LN(2)/25)*EB129+(1-EXP(-LN(2)/25))/(LN(2)/25)*Calculateur!DW130*Calculateur!DY130*VLOOKUP('Données projet'!$B$14,Paramètres!$A$1:$I$89,3,0)*0.475*44/12</f>
        <v>2.2628319911697674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13.6134975631009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204.00000000000017</v>
      </c>
      <c r="EK130" s="17">
        <f>EJ130*VLOOKUP('Données projet'!$B$15,Paramètres!$A$1:$I$89,3,0)*VLOOKUP('Données projet'!$B$15,Paramètres!$A$1:$I$89,5,0)</f>
        <v>133.66080000000011</v>
      </c>
      <c r="EL130" s="13">
        <f t="shared" si="99"/>
        <v>34.840890682716783</v>
      </c>
      <c r="EM130" s="20">
        <f t="shared" si="73"/>
        <v>293.4737779390652</v>
      </c>
      <c r="EN130" s="59">
        <f t="shared" si="74"/>
        <v>586.80711127239852</v>
      </c>
      <c r="EO130" s="59">
        <f ca="1">AVERAGE(OFFSET($EN$3,0,0,'Données projet'!$E$15+1,1))-AVERAGE(OFFSET($H$3,0,0,'Données projet'!$E$15+1,1))</f>
        <v>230.58262378842818</v>
      </c>
      <c r="EP130" s="59">
        <f t="shared" si="100"/>
        <v>235.68746142880792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0.91772424809625675</v>
      </c>
      <c r="EW130" s="21">
        <f>EXP(-LN(2)/25)*EW129+(1-EXP(-LN(2)/25))/(LN(2)/25)*Calculateur!ER130*Calculateur!ET130*VLOOKUP('Données projet'!$B$15,Paramètres!$A$1:$I$89,3,0)*0.475*44/12</f>
        <v>3.8674370761667003</v>
      </c>
      <c r="EX130" s="21">
        <f>EXP(-LN(2)/2)*EX129+(1-EXP(-LN(2)/2))/(LN(2)/2)*ER130*EU130*VLOOKUP('Données projet'!$B$15,Paramètres!$A$1:$I$89,3,0)*0.475*44/12</f>
        <v>8.0303669495396503E-6</v>
      </c>
      <c r="EY130" s="22">
        <f t="shared" si="75"/>
        <v>4.7851693546299066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234.00000000000003</v>
      </c>
      <c r="FF130" s="17">
        <f>FE130*VLOOKUP('Données projet'!$B$16,Paramètres!$A$1:$I$89,3,0)*VLOOKUP('Données projet'!$B$16,Paramètres!$A$1:$I$89,5,0)</f>
        <v>189.82080000000005</v>
      </c>
      <c r="FG130" s="13">
        <f t="shared" si="101"/>
        <v>47.500332100049796</v>
      </c>
      <c r="FH130" s="20">
        <f t="shared" si="76"/>
        <v>413.33430507425345</v>
      </c>
      <c r="FI130" s="59">
        <f t="shared" si="77"/>
        <v>706.66763840758676</v>
      </c>
      <c r="FJ130" s="59">
        <f ca="1">AVERAGE(OFFSET($FI$3,0,0,'Données projet'!$E$16+1,1))-AVERAGE(OFFSET($H$3,0,0,'Données projet'!$E$16+1,1))</f>
        <v>272.90535195666996</v>
      </c>
      <c r="FK130" s="59">
        <f t="shared" si="102"/>
        <v>222.25422164416898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2.2466521933933401</v>
      </c>
      <c r="FR130" s="21">
        <f>EXP(-LN(2)/25)*FR129+(1-EXP(-LN(2)/25))/(LN(2)/25)*Calculateur!FM130*Calculateur!FO130*VLOOKUP('Données projet'!$B$16,Paramètres!$A$1:$I$89,3,0)*0.475*44/12</f>
        <v>4.4152601647253338</v>
      </c>
      <c r="FS130" s="21">
        <f>EXP(-LN(2)/2)*FS129+(1-EXP(-LN(2)/2))/(LN(2)/2)*FM130*FP130*VLOOKUP('Données projet'!$B$16,Paramètres!$A$1:$I$89,3,0)*0.475*44/12</f>
        <v>3.6523157903527762E-6</v>
      </c>
      <c r="FT130" s="22">
        <f t="shared" si="78"/>
        <v>6.6619160104344637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506.39533423302373</v>
      </c>
      <c r="S131" s="59">
        <f ca="1">AVERAGE(OFFSET($R$3,0,0,'Données projet'!$E$9+1,1))-AVERAGE(OFFSET($H$3,0,0,'Données projet'!$E$9+1,1))</f>
        <v>384.05928630855732</v>
      </c>
      <c r="T131" s="59">
        <f t="shared" si="88"/>
        <v>279.93992813630513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304.99999999999983</v>
      </c>
      <c r="AJ131" s="13">
        <f>AI131*VLOOKUP('Données projet'!$B$10,Paramètres!$A$1:$I$89,3,0)*VLOOKUP('Données projet'!$B$10,Paramètres!$A$1:$I$89,5,0)</f>
        <v>275.96399999999983</v>
      </c>
      <c r="AK131" s="13">
        <f t="shared" si="89"/>
        <v>66.113366665488854</v>
      </c>
      <c r="AL131" s="20">
        <f t="shared" si="58"/>
        <v>595.78474694239264</v>
      </c>
      <c r="AM131" s="59">
        <f t="shared" si="59"/>
        <v>889.11808027572602</v>
      </c>
      <c r="AN131" s="59">
        <f ca="1">AVERAGE(OFFSET($AM$3,0,0,'Données projet'!$E$10+1,1))-AVERAGE(OFFSET($H$3,0,0,'Données projet'!$E$10+1,1))</f>
        <v>366.69125512029831</v>
      </c>
      <c r="AO131" s="59">
        <f t="shared" si="90"/>
        <v>513.80016421153414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0.2320753670640435</v>
      </c>
      <c r="AV131" s="21">
        <f>EXP(-LN(2)/25)*AV130+(1-EXP(-LN(2)/25))/(LN(2)/25)*Calculateur!AQ131*Calculateur!AS131*VLOOKUP('Données projet'!$B$10,Paramètres!$A$1:$I$89,3,0)*0.475*44/12</f>
        <v>0.48774804975625652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0.71982341682030004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212.28480000000002</v>
      </c>
      <c r="BF131" s="13">
        <f t="shared" si="91"/>
        <v>52.434557099704193</v>
      </c>
      <c r="BG131" s="20">
        <f t="shared" si="61"/>
        <v>461.05288028198476</v>
      </c>
      <c r="BH131" s="59">
        <f t="shared" si="62"/>
        <v>754.38621361531807</v>
      </c>
      <c r="BI131" s="59">
        <f ca="1">AVERAGE(OFFSET($BH$3,0,0,'Données projet'!$E$11+1,1))-AVERAGE(OFFSET($H$3,0,0,'Données projet'!$E$11+1,1))</f>
        <v>354.24684313982857</v>
      </c>
      <c r="BJ131" s="59">
        <f t="shared" si="92"/>
        <v>322.65043486962185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15.652420277723468</v>
      </c>
      <c r="BQ131" s="21">
        <f>EXP(-LN(2)/25)*BQ130+(1-EXP(-LN(2)/25))/(LN(2)/25)*Calculateur!BL131*Calculateur!BN131*VLOOKUP('Données projet'!$B$11,Paramètres!$A$1:$I$89,3,0)*0.475*44/12</f>
        <v>6.8510418312597716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22.503462108983239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1.5064102564102591</v>
      </c>
      <c r="BY131" s="12">
        <f>IF('Données projet'!$A$114&gt;35,BY130+BX131-CG130,IF(A131&lt;'Données projet'!$A$114,$BV$205^A131,IF(A131='Données projet'!$A$114,'Données projet'!$B$114,BY130+BX131-CG130)))</f>
        <v>106.39102564102619</v>
      </c>
      <c r="BZ131" s="13">
        <f>BY131*VLOOKUP('Données projet'!$B$12,Paramètres!$A$1:$I$89,3,0)*VLOOKUP('Données projet'!$B$12,Paramètres!$A$1:$I$89,5,0)</f>
        <v>102.90140000000054</v>
      </c>
      <c r="CA131" s="13">
        <f t="shared" si="93"/>
        <v>27.652061299501057</v>
      </c>
      <c r="CB131" s="20">
        <f t="shared" si="64"/>
        <v>227.38061176329856</v>
      </c>
      <c r="CC131" s="59">
        <f t="shared" si="65"/>
        <v>520.71394509663185</v>
      </c>
      <c r="CD131" s="59">
        <f ca="1">AVERAGE(OFFSET($CC$3,0,0,'Données projet'!$E$12+1,1))-AVERAGE(OFFSET($H$3,0,0,'Données projet'!$E$12+1,1))</f>
        <v>407.73540492005355</v>
      </c>
      <c r="CE131" s="59">
        <f t="shared" si="94"/>
        <v>296.29416764204774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145.26412919390637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145.26412919390637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266.99999999999983</v>
      </c>
      <c r="CU131" s="17">
        <f>CT131*VLOOKUP('Données projet'!$B$13,Paramètres!$A$1:$I$89,3,0)*VLOOKUP('Données projet'!$B$13,Paramètres!$A$1:$I$89,5,0)</f>
        <v>212.42519999999985</v>
      </c>
      <c r="CV131" s="13">
        <f t="shared" si="95"/>
        <v>52.465198231787184</v>
      </c>
      <c r="CW131" s="20">
        <f t="shared" si="67"/>
        <v>461.35077692036231</v>
      </c>
      <c r="CX131" s="59">
        <f t="shared" si="68"/>
        <v>754.68411025369562</v>
      </c>
      <c r="CY131" s="59">
        <f ca="1">AVERAGE(OFFSET($CX$3,0,0,'Données projet'!$E$13+1,1))-AVERAGE(OFFSET($H$3,0,0,'Données projet'!$E$13+1,1))</f>
        <v>299.10536994156814</v>
      </c>
      <c r="CZ131" s="59">
        <f t="shared" si="96"/>
        <v>292.57799203101769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11.128085943287951</v>
      </c>
      <c r="DG131" s="21">
        <f>EXP(-LN(2)/25)*DG130+(1-EXP(-LN(2)/25))/(LN(2)/25)*Calculateur!DB131*Calculateur!DD131*VLOOKUP('Données projet'!$B$13,Paramètres!$A$1:$I$89,3,0)*0.475*44/12</f>
        <v>2.2009547313740674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13.329040674662018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266.99999999999983</v>
      </c>
      <c r="DP131" s="17">
        <f>DO131*VLOOKUP('Données projet'!$B$14,Paramètres!$A$1:$I$89,3,0)*VLOOKUP('Données projet'!$B$14,Paramètres!$A$1:$I$89,5,0)</f>
        <v>212.42519999999985</v>
      </c>
      <c r="DQ131" s="13">
        <f t="shared" si="97"/>
        <v>52.465198231787184</v>
      </c>
      <c r="DR131" s="20">
        <f t="shared" si="70"/>
        <v>461.35077692036231</v>
      </c>
      <c r="DS131" s="59">
        <f t="shared" si="71"/>
        <v>754.68411025369562</v>
      </c>
      <c r="DT131" s="59">
        <f ca="1">AVERAGE(OFFSET($DS$3,0,0,'Données projet'!$E$14+1,1))-AVERAGE(OFFSET($H$3,0,0,'Données projet'!$E$14+1,1))</f>
        <v>299.10536994156814</v>
      </c>
      <c r="DU131" s="59">
        <f t="shared" si="98"/>
        <v>292.57799203101769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11.128085943287951</v>
      </c>
      <c r="EB131" s="21">
        <f>EXP(-LN(2)/25)*EB130+(1-EXP(-LN(2)/25))/(LN(2)/25)*Calculateur!DW131*Calculateur!DY131*VLOOKUP('Données projet'!$B$14,Paramètres!$A$1:$I$89,3,0)*0.475*44/12</f>
        <v>2.2009547313740674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13.329040674662018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204.00000000000017</v>
      </c>
      <c r="EK131" s="17">
        <f>EJ131*VLOOKUP('Données projet'!$B$15,Paramètres!$A$1:$I$89,3,0)*VLOOKUP('Données projet'!$B$15,Paramètres!$A$1:$I$89,5,0)</f>
        <v>133.66080000000011</v>
      </c>
      <c r="EL131" s="13">
        <f t="shared" si="99"/>
        <v>34.840890682716783</v>
      </c>
      <c r="EM131" s="20">
        <f t="shared" si="73"/>
        <v>293.4737779390652</v>
      </c>
      <c r="EN131" s="59">
        <f t="shared" si="74"/>
        <v>586.80711127239852</v>
      </c>
      <c r="EO131" s="59">
        <f ca="1">AVERAGE(OFFSET($EN$3,0,0,'Données projet'!$E$15+1,1))-AVERAGE(OFFSET($H$3,0,0,'Données projet'!$E$15+1,1))</f>
        <v>230.58262378842818</v>
      </c>
      <c r="EP131" s="59">
        <f t="shared" si="100"/>
        <v>235.68746142880792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0.89972823534760915</v>
      </c>
      <c r="EW131" s="21">
        <f>EXP(-LN(2)/25)*EW130+(1-EXP(-LN(2)/25))/(LN(2)/25)*Calculateur!ER131*Calculateur!ET131*VLOOKUP('Données projet'!$B$15,Paramètres!$A$1:$I$89,3,0)*0.475*44/12</f>
        <v>3.7616818059392454</v>
      </c>
      <c r="EX131" s="21">
        <f>EXP(-LN(2)/2)*EX130+(1-EXP(-LN(2)/2))/(LN(2)/2)*ER131*EU131*VLOOKUP('Données projet'!$B$15,Paramètres!$A$1:$I$89,3,0)*0.475*44/12</f>
        <v>5.6783269254358167E-6</v>
      </c>
      <c r="EY131" s="22">
        <f t="shared" si="75"/>
        <v>4.66141571961378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234.00000000000003</v>
      </c>
      <c r="FF131" s="17">
        <f>FE131*VLOOKUP('Données projet'!$B$16,Paramètres!$A$1:$I$89,3,0)*VLOOKUP('Données projet'!$B$16,Paramètres!$A$1:$I$89,5,0)</f>
        <v>189.82080000000005</v>
      </c>
      <c r="FG131" s="13">
        <f t="shared" si="101"/>
        <v>47.500332100049796</v>
      </c>
      <c r="FH131" s="20">
        <f t="shared" si="76"/>
        <v>413.33430507425345</v>
      </c>
      <c r="FI131" s="59">
        <f t="shared" si="77"/>
        <v>706.66763840758676</v>
      </c>
      <c r="FJ131" s="59">
        <f ca="1">AVERAGE(OFFSET($FI$3,0,0,'Données projet'!$E$16+1,1))-AVERAGE(OFFSET($H$3,0,0,'Données projet'!$E$16+1,1))</f>
        <v>272.90535195666996</v>
      </c>
      <c r="FK131" s="59">
        <f t="shared" si="102"/>
        <v>222.25422164416898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2.2025967142034264</v>
      </c>
      <c r="FR131" s="21">
        <f>EXP(-LN(2)/25)*FR130+(1-EXP(-LN(2)/25))/(LN(2)/25)*Calculateur!FM131*Calculateur!FO131*VLOOKUP('Données projet'!$B$16,Paramètres!$A$1:$I$89,3,0)*0.475*44/12</f>
        <v>4.2945246433324789</v>
      </c>
      <c r="FS131" s="21">
        <f>EXP(-LN(2)/2)*FS130+(1-EXP(-LN(2)/2))/(LN(2)/2)*FM131*FP131*VLOOKUP('Données projet'!$B$16,Paramètres!$A$1:$I$89,3,0)*0.475*44/12</f>
        <v>2.5825772623931528E-6</v>
      </c>
      <c r="FT131" s="22">
        <f t="shared" si="78"/>
        <v>6.4971239401131671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509.33682022367611</v>
      </c>
      <c r="S132" s="59">
        <f ca="1">AVERAGE(OFFSET($R$3,0,0,'Données projet'!$E$9+1,1))-AVERAGE(OFFSET($H$3,0,0,'Données projet'!$E$9+1,1))</f>
        <v>384.05928630855732</v>
      </c>
      <c r="T132" s="59">
        <f t="shared" si="88"/>
        <v>279.93992813630513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304.99999999999983</v>
      </c>
      <c r="AJ132" s="13">
        <f>AI132*VLOOKUP('Données projet'!$B$10,Paramètres!$A$1:$I$89,3,0)*VLOOKUP('Données projet'!$B$10,Paramètres!$A$1:$I$89,5,0)</f>
        <v>275.96399999999983</v>
      </c>
      <c r="AK132" s="13">
        <f t="shared" si="89"/>
        <v>66.113366665488854</v>
      </c>
      <c r="AL132" s="20">
        <f t="shared" ref="AL132:AL153" si="112">(AJ132+AK132)*0.475*44/12</f>
        <v>595.78474694239264</v>
      </c>
      <c r="AM132" s="59">
        <f t="shared" ref="AM132:AM195" si="113">AL132+(AD132+AE132)*44/12</f>
        <v>889.11808027572602</v>
      </c>
      <c r="AN132" s="59">
        <f ca="1">AVERAGE(OFFSET($AM$3,0,0,'Données projet'!$E$10+1,1))-AVERAGE(OFFSET($H$3,0,0,'Données projet'!$E$10+1,1))</f>
        <v>366.69125512029831</v>
      </c>
      <c r="AO132" s="59">
        <f t="shared" si="90"/>
        <v>513.80016421153414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0.2275245106679144</v>
      </c>
      <c r="AV132" s="21">
        <f>EXP(-LN(2)/25)*AV131+(1-EXP(-LN(2)/25))/(LN(2)/25)*Calculateur!AQ132*Calculateur!AS132*VLOOKUP('Données projet'!$B$10,Paramètres!$A$1:$I$89,3,0)*0.475*44/12</f>
        <v>0.47441055368611651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0.70193506435403097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212.28480000000002</v>
      </c>
      <c r="BF132" s="13">
        <f t="shared" si="91"/>
        <v>52.434557099704193</v>
      </c>
      <c r="BG132" s="20">
        <f t="shared" ref="BG132:BG153" si="115">(BE132+BF132)*0.475*44/12</f>
        <v>461.05288028198476</v>
      </c>
      <c r="BH132" s="59">
        <f t="shared" ref="BH132:BH195" si="116">BG132+(AY132+AZ132)*44/12</f>
        <v>754.38621361531807</v>
      </c>
      <c r="BI132" s="59">
        <f ca="1">AVERAGE(OFFSET($BH$3,0,0,'Données projet'!$E$11+1,1))-AVERAGE(OFFSET($H$3,0,0,'Données projet'!$E$11+1,1))</f>
        <v>354.24684313982857</v>
      </c>
      <c r="BJ132" s="59">
        <f t="shared" si="92"/>
        <v>322.65043486962185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15.345485863110989</v>
      </c>
      <c r="BQ132" s="21">
        <f>EXP(-LN(2)/25)*BQ131+(1-EXP(-LN(2)/25))/(LN(2)/25)*Calculateur!BL132*Calculateur!BN132*VLOOKUP('Données projet'!$B$11,Paramètres!$A$1:$I$89,3,0)*0.475*44/12</f>
        <v>6.6636997321033418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22.00918559521433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1.5064102564102591</v>
      </c>
      <c r="BY132" s="12">
        <f>IF('Données projet'!$A$114&gt;35,BY131+BX132-CG131,IF(A132&lt;'Données projet'!$A$114,$BV$205^A132,IF(A132='Données projet'!$A$114,'Données projet'!$B$114,BY131+BX132-CG131)))</f>
        <v>107.89743589743645</v>
      </c>
      <c r="BZ132" s="13">
        <f>BY132*VLOOKUP('Données projet'!$B$12,Paramètres!$A$1:$I$89,3,0)*VLOOKUP('Données projet'!$B$12,Paramètres!$A$1:$I$89,5,0)</f>
        <v>104.35840000000054</v>
      </c>
      <c r="CA132" s="13">
        <f t="shared" si="93"/>
        <v>27.997734193399655</v>
      </c>
      <c r="CB132" s="20">
        <f t="shared" ref="CB132:CB153" si="118">(BZ132+CA132)*0.475*44/12</f>
        <v>230.52026705350534</v>
      </c>
      <c r="CC132" s="59">
        <f t="shared" ref="CC132:CC195" si="119">CB132+(BT132+BU132)*44/12</f>
        <v>523.85360038683871</v>
      </c>
      <c r="CD132" s="59">
        <f ca="1">AVERAGE(OFFSET($CC$3,0,0,'Données projet'!$E$12+1,1))-AVERAGE(OFFSET($H$3,0,0,'Données projet'!$E$12+1,1))</f>
        <v>407.73540492005355</v>
      </c>
      <c r="CE132" s="59">
        <f t="shared" si="94"/>
        <v>296.29416764204774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142.41558822278392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142.41558822278392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266.99999999999983</v>
      </c>
      <c r="CU132" s="17">
        <f>CT132*VLOOKUP('Données projet'!$B$13,Paramètres!$A$1:$I$89,3,0)*VLOOKUP('Données projet'!$B$13,Paramètres!$A$1:$I$89,5,0)</f>
        <v>212.42519999999985</v>
      </c>
      <c r="CV132" s="13">
        <f t="shared" si="95"/>
        <v>52.465198231787184</v>
      </c>
      <c r="CW132" s="20">
        <f t="shared" ref="CW132:CW153" si="121">(CU132+CV132)*0.475*44/12</f>
        <v>461.35077692036231</v>
      </c>
      <c r="CX132" s="59">
        <f t="shared" ref="CX132:CX195" si="122">CW132+(CO132+CP132)*44/12</f>
        <v>754.68411025369562</v>
      </c>
      <c r="CY132" s="59">
        <f ca="1">AVERAGE(OFFSET($CX$3,0,0,'Données projet'!$E$13+1,1))-AVERAGE(OFFSET($H$3,0,0,'Données projet'!$E$13+1,1))</f>
        <v>299.10536994156814</v>
      </c>
      <c r="CZ132" s="59">
        <f t="shared" si="96"/>
        <v>292.57799203101769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10.909870965402293</v>
      </c>
      <c r="DG132" s="21">
        <f>EXP(-LN(2)/25)*DG131+(1-EXP(-LN(2)/25))/(LN(2)/25)*Calculateur!DB132*Calculateur!DD132*VLOOKUP('Données projet'!$B$13,Paramètres!$A$1:$I$89,3,0)*0.475*44/12</f>
        <v>2.1407695085014646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13.050640473903758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266.99999999999983</v>
      </c>
      <c r="DP132" s="17">
        <f>DO132*VLOOKUP('Données projet'!$B$14,Paramètres!$A$1:$I$89,3,0)*VLOOKUP('Données projet'!$B$14,Paramètres!$A$1:$I$89,5,0)</f>
        <v>212.42519999999985</v>
      </c>
      <c r="DQ132" s="13">
        <f t="shared" si="97"/>
        <v>52.465198231787184</v>
      </c>
      <c r="DR132" s="20">
        <f t="shared" ref="DR132:DR153" si="124">(DP132+DQ132)*0.475*44/12</f>
        <v>461.35077692036231</v>
      </c>
      <c r="DS132" s="59">
        <f t="shared" ref="DS132:DS195" si="125">DR132+(DJ132+DK132)*44/12</f>
        <v>754.68411025369562</v>
      </c>
      <c r="DT132" s="59">
        <f ca="1">AVERAGE(OFFSET($DS$3,0,0,'Données projet'!$E$14+1,1))-AVERAGE(OFFSET($H$3,0,0,'Données projet'!$E$14+1,1))</f>
        <v>299.10536994156814</v>
      </c>
      <c r="DU132" s="59">
        <f t="shared" si="98"/>
        <v>292.57799203101769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10.909870965402293</v>
      </c>
      <c r="EB132" s="21">
        <f>EXP(-LN(2)/25)*EB131+(1-EXP(-LN(2)/25))/(LN(2)/25)*Calculateur!DW132*Calculateur!DY132*VLOOKUP('Données projet'!$B$14,Paramètres!$A$1:$I$89,3,0)*0.475*44/12</f>
        <v>2.1407695085014646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13.050640473903758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204.00000000000017</v>
      </c>
      <c r="EK132" s="17">
        <f>EJ132*VLOOKUP('Données projet'!$B$15,Paramètres!$A$1:$I$89,3,0)*VLOOKUP('Données projet'!$B$15,Paramètres!$A$1:$I$89,5,0)</f>
        <v>133.66080000000011</v>
      </c>
      <c r="EL132" s="13">
        <f t="shared" si="99"/>
        <v>34.840890682716783</v>
      </c>
      <c r="EM132" s="20">
        <f t="shared" ref="EM132:EM153" si="127">(EK132+EL132)*0.475*44/12</f>
        <v>293.4737779390652</v>
      </c>
      <c r="EN132" s="59">
        <f t="shared" ref="EN132:EN195" si="128">EM132+(EE132+EF132)*44/12</f>
        <v>586.80711127239852</v>
      </c>
      <c r="EO132" s="59">
        <f ca="1">AVERAGE(OFFSET($EN$3,0,0,'Données projet'!$E$15+1,1))-AVERAGE(OFFSET($H$3,0,0,'Données projet'!$E$15+1,1))</f>
        <v>230.58262378842818</v>
      </c>
      <c r="EP132" s="59">
        <f t="shared" si="100"/>
        <v>235.68746142880792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0.88208511343247853</v>
      </c>
      <c r="EW132" s="21">
        <f>EXP(-LN(2)/25)*EW131+(1-EXP(-LN(2)/25))/(LN(2)/25)*Calculateur!ER132*Calculateur!ET132*VLOOKUP('Données projet'!$B$15,Paramètres!$A$1:$I$89,3,0)*0.475*44/12</f>
        <v>3.6588184191375879</v>
      </c>
      <c r="EX132" s="21">
        <f>EXP(-LN(2)/2)*EX131+(1-EXP(-LN(2)/2))/(LN(2)/2)*ER132*EU132*VLOOKUP('Données projet'!$B$15,Paramètres!$A$1:$I$89,3,0)*0.475*44/12</f>
        <v>4.0151834747698251E-6</v>
      </c>
      <c r="EY132" s="22">
        <f t="shared" ref="EY132:EY153" si="129">SUM(EV132:EX132)</f>
        <v>4.540907547753541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234.00000000000003</v>
      </c>
      <c r="FF132" s="17">
        <f>FE132*VLOOKUP('Données projet'!$B$16,Paramètres!$A$1:$I$89,3,0)*VLOOKUP('Données projet'!$B$16,Paramètres!$A$1:$I$89,5,0)</f>
        <v>189.82080000000005</v>
      </c>
      <c r="FG132" s="13">
        <f t="shared" si="101"/>
        <v>47.500332100049796</v>
      </c>
      <c r="FH132" s="20">
        <f t="shared" ref="FH132:FH153" si="130">(FF132+FG132)*0.475*44/12</f>
        <v>413.33430507425345</v>
      </c>
      <c r="FI132" s="59">
        <f t="shared" ref="FI132:FI195" si="131">FH132+(EZ132+FA132)*44/12</f>
        <v>706.66763840758676</v>
      </c>
      <c r="FJ132" s="59">
        <f ca="1">AVERAGE(OFFSET($FI$3,0,0,'Données projet'!$E$16+1,1))-AVERAGE(OFFSET($H$3,0,0,'Données projet'!$E$16+1,1))</f>
        <v>272.90535195666996</v>
      </c>
      <c r="FK132" s="59">
        <f t="shared" si="102"/>
        <v>222.25422164416898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2.1594051360892381</v>
      </c>
      <c r="FR132" s="21">
        <f>EXP(-LN(2)/25)*FR131+(1-EXP(-LN(2)/25))/(LN(2)/25)*Calculateur!FM132*Calculateur!FO132*VLOOKUP('Données projet'!$B$16,Paramètres!$A$1:$I$89,3,0)*0.475*44/12</f>
        <v>4.1770906411213167</v>
      </c>
      <c r="FS132" s="21">
        <f>EXP(-LN(2)/2)*FS131+(1-EXP(-LN(2)/2))/(LN(2)/2)*FM132*FP132*VLOOKUP('Données projet'!$B$16,Paramètres!$A$1:$I$89,3,0)*0.475*44/12</f>
        <v>1.8261578951763881E-6</v>
      </c>
      <c r="FT132" s="22">
        <f t="shared" ref="FT132:FT153" si="132">SUM(FQ132:FS132)</f>
        <v>6.3364976033684499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512.27738452355368</v>
      </c>
      <c r="S133" s="59">
        <f ca="1">AVERAGE(OFFSET($R$3,0,0,'Données projet'!$E$9+1,1))-AVERAGE(OFFSET($H$3,0,0,'Données projet'!$E$9+1,1))</f>
        <v>384.05928630855732</v>
      </c>
      <c r="T133" s="59">
        <f t="shared" ref="T133:T196" si="142">$T$3</f>
        <v>279.93992813630513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304.99999999999983</v>
      </c>
      <c r="AJ133" s="13">
        <f>AI133*VLOOKUP('Données projet'!$B$10,Paramètres!$A$1:$I$89,3,0)*VLOOKUP('Données projet'!$B$10,Paramètres!$A$1:$I$89,5,0)</f>
        <v>275.96399999999983</v>
      </c>
      <c r="AK133" s="13">
        <f t="shared" ref="AK133:AK153" si="143">EXP(-1.0587+0.8836*LN(AJ133)+0.284)</f>
        <v>66.113366665488854</v>
      </c>
      <c r="AL133" s="20">
        <f t="shared" si="112"/>
        <v>595.78474694239264</v>
      </c>
      <c r="AM133" s="59">
        <f t="shared" si="113"/>
        <v>889.11808027572602</v>
      </c>
      <c r="AN133" s="59">
        <f ca="1">AVERAGE(OFFSET($AM$3,0,0,'Données projet'!$E$10+1,1))-AVERAGE(OFFSET($H$3,0,0,'Données projet'!$E$10+1,1))</f>
        <v>366.69125512029831</v>
      </c>
      <c r="AO133" s="59">
        <f t="shared" ref="AO133:AO196" si="144">$AO$3</f>
        <v>513.80016421153414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0.22306289378996511</v>
      </c>
      <c r="AV133" s="21">
        <f>EXP(-LN(2)/25)*AV132+(1-EXP(-LN(2)/25))/(LN(2)/25)*Calculateur!AQ133*Calculateur!AS133*VLOOKUP('Données projet'!$B$10,Paramètres!$A$1:$I$89,3,0)*0.475*44/12</f>
        <v>0.46143777214740289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0.68450066593736802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212.28480000000002</v>
      </c>
      <c r="BF133" s="13">
        <f t="shared" ref="BF133:BF153" si="145">EXP(-1.0587+0.8836*LN(BE133)+0.284)</f>
        <v>52.434557099704193</v>
      </c>
      <c r="BG133" s="20">
        <f t="shared" si="115"/>
        <v>461.05288028198476</v>
      </c>
      <c r="BH133" s="59">
        <f t="shared" si="116"/>
        <v>754.38621361531807</v>
      </c>
      <c r="BI133" s="59">
        <f ca="1">AVERAGE(OFFSET($BH$3,0,0,'Données projet'!$E$11+1,1))-AVERAGE(OFFSET($H$3,0,0,'Données projet'!$E$11+1,1))</f>
        <v>354.24684313982857</v>
      </c>
      <c r="BJ133" s="59">
        <f t="shared" ref="BJ133:BJ196" si="146">$BJ$3</f>
        <v>322.65043486962185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15.044570245157553</v>
      </c>
      <c r="BQ133" s="21">
        <f>EXP(-LN(2)/25)*BQ132+(1-EXP(-LN(2)/25))/(LN(2)/25)*Calculateur!BL133*Calculateur!BN133*VLOOKUP('Données projet'!$B$11,Paramètres!$A$1:$I$89,3,0)*0.475*44/12</f>
        <v>6.4814805125002373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21.526050757657792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1.5064102564102591</v>
      </c>
      <c r="BY133" s="12">
        <f>IF('Données projet'!$A$114&gt;35,BY132+BX133-CG132,IF(A133&lt;'Données projet'!$A$114,$BV$205^A133,IF(A133='Données projet'!$A$114,'Données projet'!$B$114,BY132+BX133-CG132)))</f>
        <v>109.40384615384671</v>
      </c>
      <c r="BZ133" s="13">
        <f>BY133*VLOOKUP('Données projet'!$B$12,Paramètres!$A$1:$I$89,3,0)*VLOOKUP('Données projet'!$B$12,Paramètres!$A$1:$I$89,5,0)</f>
        <v>105.81540000000054</v>
      </c>
      <c r="CA133" s="13">
        <f t="shared" ref="CA133:CA153" si="147">EXP(-1.0587+0.8836*LN(BZ133)+0.284)</f>
        <v>28.342845764705768</v>
      </c>
      <c r="CB133" s="20">
        <f t="shared" si="118"/>
        <v>233.65894470686348</v>
      </c>
      <c r="CC133" s="59">
        <f t="shared" si="119"/>
        <v>526.99227804019677</v>
      </c>
      <c r="CD133" s="59">
        <f ca="1">AVERAGE(OFFSET($CC$3,0,0,'Données projet'!$E$12+1,1))-AVERAGE(OFFSET($H$3,0,0,'Données projet'!$E$12+1,1))</f>
        <v>407.73540492005355</v>
      </c>
      <c r="CE133" s="59">
        <f t="shared" ref="CE133:CE196" si="148">$CE$3</f>
        <v>296.29416764204774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139.62290540266676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139.62290540266676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266.99999999999983</v>
      </c>
      <c r="CU133" s="17">
        <f>CT133*VLOOKUP('Données projet'!$B$13,Paramètres!$A$1:$I$89,3,0)*VLOOKUP('Données projet'!$B$13,Paramètres!$A$1:$I$89,5,0)</f>
        <v>212.42519999999985</v>
      </c>
      <c r="CV133" s="13">
        <f t="shared" ref="CV133:CV153" si="149">EXP(-1.0587+0.8836*LN(CU133)+0.284)</f>
        <v>52.465198231787184</v>
      </c>
      <c r="CW133" s="20">
        <f t="shared" si="121"/>
        <v>461.35077692036231</v>
      </c>
      <c r="CX133" s="59">
        <f t="shared" si="122"/>
        <v>754.68411025369562</v>
      </c>
      <c r="CY133" s="59">
        <f ca="1">AVERAGE(OFFSET($CX$3,0,0,'Données projet'!$E$13+1,1))-AVERAGE(OFFSET($H$3,0,0,'Données projet'!$E$13+1,1))</f>
        <v>299.10536994156814</v>
      </c>
      <c r="CZ133" s="59">
        <f t="shared" ref="CZ133:CZ196" si="150">$CZ$3</f>
        <v>292.57799203101769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10.695935050134979</v>
      </c>
      <c r="DG133" s="21">
        <f>EXP(-LN(2)/25)*DG132+(1-EXP(-LN(2)/25))/(LN(2)/25)*Calculateur!DB133*Calculateur!DD133*VLOOKUP('Données projet'!$B$13,Paramètres!$A$1:$I$89,3,0)*0.475*44/12</f>
        <v>2.0822300537133165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12.778165103848295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266.99999999999983</v>
      </c>
      <c r="DP133" s="17">
        <f>DO133*VLOOKUP('Données projet'!$B$14,Paramètres!$A$1:$I$89,3,0)*VLOOKUP('Données projet'!$B$14,Paramètres!$A$1:$I$89,5,0)</f>
        <v>212.42519999999985</v>
      </c>
      <c r="DQ133" s="13">
        <f t="shared" ref="DQ133:DQ153" si="151">EXP(-1.0587+0.8836*LN(DP133)+0.284)</f>
        <v>52.465198231787184</v>
      </c>
      <c r="DR133" s="20">
        <f t="shared" si="124"/>
        <v>461.35077692036231</v>
      </c>
      <c r="DS133" s="59">
        <f t="shared" si="125"/>
        <v>754.68411025369562</v>
      </c>
      <c r="DT133" s="59">
        <f ca="1">AVERAGE(OFFSET($DS$3,0,0,'Données projet'!$E$14+1,1))-AVERAGE(OFFSET($H$3,0,0,'Données projet'!$E$14+1,1))</f>
        <v>299.10536994156814</v>
      </c>
      <c r="DU133" s="59">
        <f t="shared" ref="DU133:DU196" si="152">$DU$3</f>
        <v>292.57799203101769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10.695935050134979</v>
      </c>
      <c r="EB133" s="21">
        <f>EXP(-LN(2)/25)*EB132+(1-EXP(-LN(2)/25))/(LN(2)/25)*Calculateur!DW133*Calculateur!DY133*VLOOKUP('Données projet'!$B$14,Paramètres!$A$1:$I$89,3,0)*0.475*44/12</f>
        <v>2.0822300537133165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12.778165103848295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204.00000000000017</v>
      </c>
      <c r="EK133" s="17">
        <f>EJ133*VLOOKUP('Données projet'!$B$15,Paramètres!$A$1:$I$89,3,0)*VLOOKUP('Données projet'!$B$15,Paramètres!$A$1:$I$89,5,0)</f>
        <v>133.66080000000011</v>
      </c>
      <c r="EL133" s="13">
        <f t="shared" ref="EL133:EL153" si="153">EXP(-1.0587+0.8836*LN(EK133)+0.284)</f>
        <v>34.840890682716783</v>
      </c>
      <c r="EM133" s="20">
        <f t="shared" si="127"/>
        <v>293.4737779390652</v>
      </c>
      <c r="EN133" s="59">
        <f t="shared" si="128"/>
        <v>586.80711127239852</v>
      </c>
      <c r="EO133" s="59">
        <f ca="1">AVERAGE(OFFSET($EN$3,0,0,'Données projet'!$E$15+1,1))-AVERAGE(OFFSET($H$3,0,0,'Données projet'!$E$15+1,1))</f>
        <v>230.58262378842818</v>
      </c>
      <c r="EP133" s="59">
        <f t="shared" ref="EP133:EP196" si="154">$EP$3</f>
        <v>235.68746142880792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0.86478796237686184</v>
      </c>
      <c r="EW133" s="21">
        <f>EXP(-LN(2)/25)*EW132+(1-EXP(-LN(2)/25))/(LN(2)/25)*Calculateur!ER133*Calculateur!ET133*VLOOKUP('Données projet'!$B$15,Paramètres!$A$1:$I$89,3,0)*0.475*44/12</f>
        <v>3.5587678370573723</v>
      </c>
      <c r="EX133" s="21">
        <f>EXP(-LN(2)/2)*EX132+(1-EXP(-LN(2)/2))/(LN(2)/2)*ER133*EU133*VLOOKUP('Données projet'!$B$15,Paramètres!$A$1:$I$89,3,0)*0.475*44/12</f>
        <v>2.8391634627179084E-6</v>
      </c>
      <c r="EY133" s="22">
        <f t="shared" si="129"/>
        <v>4.4235586385976964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234.00000000000003</v>
      </c>
      <c r="FF133" s="17">
        <f>FE133*VLOOKUP('Données projet'!$B$16,Paramètres!$A$1:$I$89,3,0)*VLOOKUP('Données projet'!$B$16,Paramètres!$A$1:$I$89,5,0)</f>
        <v>189.82080000000005</v>
      </c>
      <c r="FG133" s="13">
        <f t="shared" ref="FG133:FG153" si="155">EXP(-1.0587+0.8836*LN(FF133)+0.284)</f>
        <v>47.500332100049796</v>
      </c>
      <c r="FH133" s="20">
        <f t="shared" si="130"/>
        <v>413.33430507425345</v>
      </c>
      <c r="FI133" s="59">
        <f t="shared" si="131"/>
        <v>706.66763840758676</v>
      </c>
      <c r="FJ133" s="59">
        <f ca="1">AVERAGE(OFFSET($FI$3,0,0,'Données projet'!$E$16+1,1))-AVERAGE(OFFSET($H$3,0,0,'Données projet'!$E$16+1,1))</f>
        <v>272.90535195666996</v>
      </c>
      <c r="FK133" s="59">
        <f t="shared" ref="FK133:FK196" si="156">$FK$3</f>
        <v>222.25422164416898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2.1170605184776075</v>
      </c>
      <c r="FR133" s="21">
        <f>EXP(-LN(2)/25)*FR132+(1-EXP(-LN(2)/25))/(LN(2)/25)*Calculateur!FM133*Calculateur!FO133*VLOOKUP('Données projet'!$B$16,Paramètres!$A$1:$I$89,3,0)*0.475*44/12</f>
        <v>4.0628678778762044</v>
      </c>
      <c r="FS133" s="21">
        <f>EXP(-LN(2)/2)*FS132+(1-EXP(-LN(2)/2))/(LN(2)/2)*FM133*FP133*VLOOKUP('Données projet'!$B$16,Paramètres!$A$1:$I$89,3,0)*0.475*44/12</f>
        <v>1.2912886311965764E-6</v>
      </c>
      <c r="FT133" s="22">
        <f t="shared" si="132"/>
        <v>6.1799296876424439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515.21704129044338</v>
      </c>
      <c r="S134" s="59">
        <f ca="1">AVERAGE(OFFSET($R$3,0,0,'Données projet'!$E$9+1,1))-AVERAGE(OFFSET($H$3,0,0,'Données projet'!$E$9+1,1))</f>
        <v>384.05928630855732</v>
      </c>
      <c r="T134" s="59">
        <f t="shared" si="142"/>
        <v>279.93992813630513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304.99999999999983</v>
      </c>
      <c r="AJ134" s="13">
        <f>AI134*VLOOKUP('Données projet'!$B$10,Paramètres!$A$1:$I$89,3,0)*VLOOKUP('Données projet'!$B$10,Paramètres!$A$1:$I$89,5,0)</f>
        <v>275.96399999999983</v>
      </c>
      <c r="AK134" s="13">
        <f t="shared" si="143"/>
        <v>66.113366665488854</v>
      </c>
      <c r="AL134" s="20">
        <f t="shared" si="112"/>
        <v>595.78474694239264</v>
      </c>
      <c r="AM134" s="59">
        <f t="shared" si="113"/>
        <v>889.11808027572602</v>
      </c>
      <c r="AN134" s="59">
        <f ca="1">AVERAGE(OFFSET($AM$3,0,0,'Données projet'!$E$10+1,1))-AVERAGE(OFFSET($H$3,0,0,'Données projet'!$E$10+1,1))</f>
        <v>366.69125512029831</v>
      </c>
      <c r="AO134" s="59">
        <f t="shared" si="144"/>
        <v>513.80016421153414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0.2186887664976748</v>
      </c>
      <c r="AV134" s="21">
        <f>EXP(-LN(2)/25)*AV133+(1-EXP(-LN(2)/25))/(LN(2)/25)*Calculateur!AQ134*Calculateur!AS134*VLOOKUP('Données projet'!$B$10,Paramètres!$A$1:$I$89,3,0)*0.475*44/12</f>
        <v>0.44881973200207437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0.66750849849974914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212.28480000000002</v>
      </c>
      <c r="BF134" s="13">
        <f t="shared" si="145"/>
        <v>52.434557099704193</v>
      </c>
      <c r="BG134" s="20">
        <f t="shared" si="115"/>
        <v>461.05288028198476</v>
      </c>
      <c r="BH134" s="59">
        <f t="shared" si="116"/>
        <v>754.38621361531807</v>
      </c>
      <c r="BI134" s="59">
        <f ca="1">AVERAGE(OFFSET($BH$3,0,0,'Données projet'!$E$11+1,1))-AVERAGE(OFFSET($H$3,0,0,'Données projet'!$E$11+1,1))</f>
        <v>354.24684313982857</v>
      </c>
      <c r="BJ134" s="59">
        <f t="shared" si="146"/>
        <v>322.65043486962185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14.749555398931781</v>
      </c>
      <c r="BQ134" s="21">
        <f>EXP(-LN(2)/25)*BQ133+(1-EXP(-LN(2)/25))/(LN(2)/25)*Calculateur!BL134*Calculateur!BN134*VLOOKUP('Données projet'!$B$11,Paramètres!$A$1:$I$89,3,0)*0.475*44/12</f>
        <v>6.3042440870396721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21.053799485971453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110.91025641025641</v>
      </c>
      <c r="BW134" s="12">
        <f>VLOOKUP(A134,'Données projet'!$A$113:$I$133,9,0)</f>
        <v>1.5064102564102591</v>
      </c>
      <c r="BX134" s="12">
        <f t="array" ref="BX134">INDEX(BW:BW,MIN(IF(ISNUMBER(BW134:BW330),ROW(BW134:BW330),"")))</f>
        <v>1.5064102564102591</v>
      </c>
      <c r="BY134" s="12">
        <f>IF('Données projet'!$A$114&gt;35,BY133+BX134-CG133,IF(A134&lt;'Données projet'!$A$114,$BV$205^A134,IF(A134='Données projet'!$A$114,'Données projet'!$B$114,BY133+BX134-CG133)))</f>
        <v>110.91025641025698</v>
      </c>
      <c r="BZ134" s="13">
        <f>BY134*VLOOKUP('Données projet'!$B$12,Paramètres!$A$1:$I$89,3,0)*VLOOKUP('Données projet'!$B$12,Paramètres!$A$1:$I$89,5,0)</f>
        <v>107.27240000000054</v>
      </c>
      <c r="CA134" s="13">
        <f t="shared" si="147"/>
        <v>28.687404635710084</v>
      </c>
      <c r="CB134" s="20">
        <f t="shared" si="118"/>
        <v>236.79665974052932</v>
      </c>
      <c r="CC134" s="59">
        <f t="shared" si="119"/>
        <v>530.12999307386258</v>
      </c>
      <c r="CD134" s="59">
        <f ca="1">AVERAGE(OFFSET($CC$3,0,0,'Données projet'!$E$12+1,1))-AVERAGE(OFFSET($H$3,0,0,'Données projet'!$E$12+1,1))</f>
        <v>407.73540492005355</v>
      </c>
      <c r="CE134" s="59">
        <f t="shared" si="148"/>
        <v>296.29416764204774</v>
      </c>
      <c r="CF134" s="15">
        <f>IF(ISNA(VLOOKUP(A134,'Données projet'!$A$113:$I$133,3,0)),0,VLOOKUP(A134,'Données projet'!$A$113:$I$133,3,0))</f>
        <v>14</v>
      </c>
      <c r="CG134" s="15">
        <f>IF(ISNA(VLOOKUP(A134,'Données projet'!$A$113:$I$133,4,0)),0,VLOOKUP(A134,'Données projet'!$A$113:$I$133,4,0))</f>
        <v>110.91025641025641</v>
      </c>
      <c r="CH134" s="16">
        <f>IF(ISNA(VLOOKUP(A134,'Données projet'!$A$113:$I$133,5,0)),0%,VLOOKUP(A134,'Données projet'!$A$113:$I$133,5,0)*VLOOKUP('Données projet'!$B$12,Paramètres!$A$1:$I$89,7,0))</f>
        <v>0.38700000000000001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182.7779456962096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182.7779456962096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266.99999999999983</v>
      </c>
      <c r="CU134" s="17">
        <f>CT134*VLOOKUP('Données projet'!$B$13,Paramètres!$A$1:$I$89,3,0)*VLOOKUP('Données projet'!$B$13,Paramètres!$A$1:$I$89,5,0)</f>
        <v>212.42519999999985</v>
      </c>
      <c r="CV134" s="13">
        <f t="shared" si="149"/>
        <v>52.465198231787184</v>
      </c>
      <c r="CW134" s="20">
        <f t="shared" si="121"/>
        <v>461.35077692036231</v>
      </c>
      <c r="CX134" s="59">
        <f t="shared" si="122"/>
        <v>754.68411025369562</v>
      </c>
      <c r="CY134" s="59">
        <f ca="1">AVERAGE(OFFSET($CX$3,0,0,'Données projet'!$E$13+1,1))-AVERAGE(OFFSET($H$3,0,0,'Données projet'!$E$13+1,1))</f>
        <v>299.10536994156814</v>
      </c>
      <c r="CZ134" s="59">
        <f t="shared" si="150"/>
        <v>292.57799203101769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10.486194287678034</v>
      </c>
      <c r="DG134" s="21">
        <f>EXP(-LN(2)/25)*DG133+(1-EXP(-LN(2)/25))/(LN(2)/25)*Calculateur!DB134*Calculateur!DD134*VLOOKUP('Données projet'!$B$13,Paramètres!$A$1:$I$89,3,0)*0.475*44/12</f>
        <v>2.0252913633948064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12.51148565107284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266.99999999999983</v>
      </c>
      <c r="DP134" s="17">
        <f>DO134*VLOOKUP('Données projet'!$B$14,Paramètres!$A$1:$I$89,3,0)*VLOOKUP('Données projet'!$B$14,Paramètres!$A$1:$I$89,5,0)</f>
        <v>212.42519999999985</v>
      </c>
      <c r="DQ134" s="13">
        <f t="shared" si="151"/>
        <v>52.465198231787184</v>
      </c>
      <c r="DR134" s="20">
        <f t="shared" si="124"/>
        <v>461.35077692036231</v>
      </c>
      <c r="DS134" s="59">
        <f t="shared" si="125"/>
        <v>754.68411025369562</v>
      </c>
      <c r="DT134" s="59">
        <f ca="1">AVERAGE(OFFSET($DS$3,0,0,'Données projet'!$E$14+1,1))-AVERAGE(OFFSET($H$3,0,0,'Données projet'!$E$14+1,1))</f>
        <v>299.10536994156814</v>
      </c>
      <c r="DU134" s="59">
        <f t="shared" si="152"/>
        <v>292.57799203101769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10.486194287678034</v>
      </c>
      <c r="EB134" s="21">
        <f>EXP(-LN(2)/25)*EB133+(1-EXP(-LN(2)/25))/(LN(2)/25)*Calculateur!DW134*Calculateur!DY134*VLOOKUP('Données projet'!$B$14,Paramètres!$A$1:$I$89,3,0)*0.475*44/12</f>
        <v>2.0252913633948064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12.51148565107284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204.00000000000017</v>
      </c>
      <c r="EK134" s="17">
        <f>EJ134*VLOOKUP('Données projet'!$B$15,Paramètres!$A$1:$I$89,3,0)*VLOOKUP('Données projet'!$B$15,Paramètres!$A$1:$I$89,5,0)</f>
        <v>133.66080000000011</v>
      </c>
      <c r="EL134" s="13">
        <f t="shared" si="153"/>
        <v>34.840890682716783</v>
      </c>
      <c r="EM134" s="20">
        <f t="shared" si="127"/>
        <v>293.4737779390652</v>
      </c>
      <c r="EN134" s="59">
        <f t="shared" si="128"/>
        <v>586.80711127239852</v>
      </c>
      <c r="EO134" s="59">
        <f ca="1">AVERAGE(OFFSET($EN$3,0,0,'Données projet'!$E$15+1,1))-AVERAGE(OFFSET($H$3,0,0,'Données projet'!$E$15+1,1))</f>
        <v>230.58262378842818</v>
      </c>
      <c r="EP134" s="59">
        <f t="shared" si="154"/>
        <v>235.68746142880792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0.84782999790322544</v>
      </c>
      <c r="EW134" s="21">
        <f>EXP(-LN(2)/25)*EW133+(1-EXP(-LN(2)/25))/(LN(2)/25)*Calculateur!ER134*Calculateur!ET134*VLOOKUP('Données projet'!$B$15,Paramètres!$A$1:$I$89,3,0)*0.475*44/12</f>
        <v>3.4614531434055715</v>
      </c>
      <c r="EX134" s="21">
        <f>EXP(-LN(2)/2)*EX133+(1-EXP(-LN(2)/2))/(LN(2)/2)*ER134*EU134*VLOOKUP('Données projet'!$B$15,Paramètres!$A$1:$I$89,3,0)*0.475*44/12</f>
        <v>2.0075917373849126E-6</v>
      </c>
      <c r="EY134" s="22">
        <f t="shared" si="129"/>
        <v>4.3092851489005346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234.00000000000003</v>
      </c>
      <c r="FF134" s="17">
        <f>FE134*VLOOKUP('Données projet'!$B$16,Paramètres!$A$1:$I$89,3,0)*VLOOKUP('Données projet'!$B$16,Paramètres!$A$1:$I$89,5,0)</f>
        <v>189.82080000000005</v>
      </c>
      <c r="FG134" s="13">
        <f t="shared" si="155"/>
        <v>47.500332100049796</v>
      </c>
      <c r="FH134" s="20">
        <f t="shared" si="130"/>
        <v>413.33430507425345</v>
      </c>
      <c r="FI134" s="59">
        <f t="shared" si="131"/>
        <v>706.66763840758676</v>
      </c>
      <c r="FJ134" s="59">
        <f ca="1">AVERAGE(OFFSET($FI$3,0,0,'Données projet'!$E$16+1,1))-AVERAGE(OFFSET($H$3,0,0,'Données projet'!$E$16+1,1))</f>
        <v>272.90535195666996</v>
      </c>
      <c r="FK134" s="59">
        <f t="shared" si="156"/>
        <v>222.25422164416898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2.0755462529896747</v>
      </c>
      <c r="FR134" s="21">
        <f>EXP(-LN(2)/25)*FR133+(1-EXP(-LN(2)/25))/(LN(2)/25)*Calculateur!FM134*Calculateur!FO134*VLOOKUP('Données projet'!$B$16,Paramètres!$A$1:$I$89,3,0)*0.475*44/12</f>
        <v>3.9517685420987436</v>
      </c>
      <c r="FS134" s="21">
        <f>EXP(-LN(2)/2)*FS133+(1-EXP(-LN(2)/2))/(LN(2)/2)*FM134*FP134*VLOOKUP('Données projet'!$B$16,Paramètres!$A$1:$I$89,3,0)*0.475*44/12</f>
        <v>9.1307894758819404E-7</v>
      </c>
      <c r="FT134" s="22">
        <f t="shared" si="132"/>
        <v>6.0273157081673663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293.33333333334531</v>
      </c>
      <c r="S135" s="59">
        <f ca="1">AVERAGE(OFFSET($R$3,0,0,'Données projet'!$E$9+1,1))-AVERAGE(OFFSET($H$3,0,0,'Données projet'!$E$9+1,1))</f>
        <v>384.05928630855732</v>
      </c>
      <c r="T135" s="59">
        <f t="shared" si="142"/>
        <v>279.93992813630513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304.99999999999983</v>
      </c>
      <c r="AJ135" s="13">
        <f>AI135*VLOOKUP('Données projet'!$B$10,Paramètres!$A$1:$I$89,3,0)*VLOOKUP('Données projet'!$B$10,Paramètres!$A$1:$I$89,5,0)</f>
        <v>275.96399999999983</v>
      </c>
      <c r="AK135" s="13">
        <f t="shared" si="143"/>
        <v>66.113366665488854</v>
      </c>
      <c r="AL135" s="20">
        <f t="shared" si="112"/>
        <v>595.78474694239264</v>
      </c>
      <c r="AM135" s="59">
        <f t="shared" si="113"/>
        <v>889.11808027572602</v>
      </c>
      <c r="AN135" s="59">
        <f ca="1">AVERAGE(OFFSET($AM$3,0,0,'Données projet'!$E$10+1,1))-AVERAGE(OFFSET($H$3,0,0,'Données projet'!$E$10+1,1))</f>
        <v>366.69125512029831</v>
      </c>
      <c r="AO135" s="59">
        <f t="shared" si="144"/>
        <v>513.80016421153414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0.21440041317363209</v>
      </c>
      <c r="AV135" s="21">
        <f>EXP(-LN(2)/25)*AV134+(1-EXP(-LN(2)/25))/(LN(2)/25)*Calculateur!AQ135*Calculateur!AS135*VLOOKUP('Données projet'!$B$10,Paramètres!$A$1:$I$89,3,0)*0.475*44/12</f>
        <v>0.43654673282807371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0.65094714600170578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212.28480000000002</v>
      </c>
      <c r="BF135" s="13">
        <f t="shared" si="145"/>
        <v>52.434557099704193</v>
      </c>
      <c r="BG135" s="20">
        <f t="shared" si="115"/>
        <v>461.05288028198476</v>
      </c>
      <c r="BH135" s="59">
        <f t="shared" si="116"/>
        <v>754.38621361531807</v>
      </c>
      <c r="BI135" s="59">
        <f ca="1">AVERAGE(OFFSET($BH$3,0,0,'Données projet'!$E$11+1,1))-AVERAGE(OFFSET($H$3,0,0,'Données projet'!$E$11+1,1))</f>
        <v>354.24684313982857</v>
      </c>
      <c r="BJ135" s="59">
        <f t="shared" si="146"/>
        <v>322.65043486962185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14.460325613899208</v>
      </c>
      <c r="BQ135" s="21">
        <f>EXP(-LN(2)/25)*BQ134+(1-EXP(-LN(2)/25))/(LN(2)/25)*Calculateur!BL135*Calculateur!BN135*VLOOKUP('Données projet'!$B$11,Paramètres!$A$1:$I$89,3,0)*0.475*44/12</f>
        <v>6.131854200953784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20.59217981485299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5.4978954722173515E-13</v>
      </c>
      <c r="CA135" s="13">
        <f t="shared" si="147"/>
        <v>6.7731340873355904E-12</v>
      </c>
      <c r="CB135" s="20">
        <f t="shared" si="118"/>
        <v>1.2754091996854009E-11</v>
      </c>
      <c r="CC135" s="59">
        <f t="shared" si="119"/>
        <v>293.33333333334605</v>
      </c>
      <c r="CD135" s="59">
        <f ca="1">AVERAGE(OFFSET($CC$3,0,0,'Données projet'!$E$12+1,1))-AVERAGE(OFFSET($H$3,0,0,'Données projet'!$E$12+1,1))</f>
        <v>407.73540492005355</v>
      </c>
      <c r="CE135" s="59">
        <f t="shared" si="148"/>
        <v>296.29416764204774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179.19378166464571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179.19378166464571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266.99999999999983</v>
      </c>
      <c r="CU135" s="17">
        <f>CT135*VLOOKUP('Données projet'!$B$13,Paramètres!$A$1:$I$89,3,0)*VLOOKUP('Données projet'!$B$13,Paramètres!$A$1:$I$89,5,0)</f>
        <v>212.42519999999985</v>
      </c>
      <c r="CV135" s="13">
        <f t="shared" si="149"/>
        <v>52.465198231787184</v>
      </c>
      <c r="CW135" s="20">
        <f t="shared" si="121"/>
        <v>461.35077692036231</v>
      </c>
      <c r="CX135" s="59">
        <f t="shared" si="122"/>
        <v>754.68411025369562</v>
      </c>
      <c r="CY135" s="59">
        <f ca="1">AVERAGE(OFFSET($CX$3,0,0,'Données projet'!$E$13+1,1))-AVERAGE(OFFSET($H$3,0,0,'Données projet'!$E$13+1,1))</f>
        <v>299.10536994156814</v>
      </c>
      <c r="CZ135" s="59">
        <f t="shared" si="150"/>
        <v>292.57799203101769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10.280566413643635</v>
      </c>
      <c r="DG135" s="21">
        <f>EXP(-LN(2)/25)*DG134+(1-EXP(-LN(2)/25))/(LN(2)/25)*Calculateur!DB135*Calculateur!DD135*VLOOKUP('Données projet'!$B$13,Paramètres!$A$1:$I$89,3,0)*0.475*44/12</f>
        <v>1.9699096645573315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12.250476078200967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266.99999999999983</v>
      </c>
      <c r="DP135" s="17">
        <f>DO135*VLOOKUP('Données projet'!$B$14,Paramètres!$A$1:$I$89,3,0)*VLOOKUP('Données projet'!$B$14,Paramètres!$A$1:$I$89,5,0)</f>
        <v>212.42519999999985</v>
      </c>
      <c r="DQ135" s="13">
        <f t="shared" si="151"/>
        <v>52.465198231787184</v>
      </c>
      <c r="DR135" s="20">
        <f t="shared" si="124"/>
        <v>461.35077692036231</v>
      </c>
      <c r="DS135" s="59">
        <f t="shared" si="125"/>
        <v>754.68411025369562</v>
      </c>
      <c r="DT135" s="59">
        <f ca="1">AVERAGE(OFFSET($DS$3,0,0,'Données projet'!$E$14+1,1))-AVERAGE(OFFSET($H$3,0,0,'Données projet'!$E$14+1,1))</f>
        <v>299.10536994156814</v>
      </c>
      <c r="DU135" s="59">
        <f t="shared" si="152"/>
        <v>292.57799203101769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10.280566413643635</v>
      </c>
      <c r="EB135" s="21">
        <f>EXP(-LN(2)/25)*EB134+(1-EXP(-LN(2)/25))/(LN(2)/25)*Calculateur!DW135*Calculateur!DY135*VLOOKUP('Données projet'!$B$14,Paramètres!$A$1:$I$89,3,0)*0.475*44/12</f>
        <v>1.9699096645573315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12.250476078200967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204.00000000000017</v>
      </c>
      <c r="EK135" s="17">
        <f>EJ135*VLOOKUP('Données projet'!$B$15,Paramètres!$A$1:$I$89,3,0)*VLOOKUP('Données projet'!$B$15,Paramètres!$A$1:$I$89,5,0)</f>
        <v>133.66080000000011</v>
      </c>
      <c r="EL135" s="13">
        <f t="shared" si="153"/>
        <v>34.840890682716783</v>
      </c>
      <c r="EM135" s="20">
        <f t="shared" si="127"/>
        <v>293.4737779390652</v>
      </c>
      <c r="EN135" s="59">
        <f t="shared" si="128"/>
        <v>586.80711127239852</v>
      </c>
      <c r="EO135" s="59">
        <f ca="1">AVERAGE(OFFSET($EN$3,0,0,'Données projet'!$E$15+1,1))-AVERAGE(OFFSET($H$3,0,0,'Données projet'!$E$15+1,1))</f>
        <v>230.58262378842818</v>
      </c>
      <c r="EP135" s="59">
        <f t="shared" si="154"/>
        <v>235.68746142880792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0.83120456876958004</v>
      </c>
      <c r="EW135" s="21">
        <f>EXP(-LN(2)/25)*EW134+(1-EXP(-LN(2)/25))/(LN(2)/25)*Calculateur!ER135*Calculateur!ET135*VLOOKUP('Données projet'!$B$15,Paramètres!$A$1:$I$89,3,0)*0.475*44/12</f>
        <v>3.3667995251692364</v>
      </c>
      <c r="EX135" s="21">
        <f>EXP(-LN(2)/2)*EX134+(1-EXP(-LN(2)/2))/(LN(2)/2)*ER135*EU135*VLOOKUP('Données projet'!$B$15,Paramètres!$A$1:$I$89,3,0)*0.475*44/12</f>
        <v>1.4195817313589542E-6</v>
      </c>
      <c r="EY135" s="22">
        <f t="shared" si="129"/>
        <v>4.1980055135205481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234.00000000000003</v>
      </c>
      <c r="FF135" s="17">
        <f>FE135*VLOOKUP('Données projet'!$B$16,Paramètres!$A$1:$I$89,3,0)*VLOOKUP('Données projet'!$B$16,Paramètres!$A$1:$I$89,5,0)</f>
        <v>189.82080000000005</v>
      </c>
      <c r="FG135" s="13">
        <f t="shared" si="155"/>
        <v>47.500332100049796</v>
      </c>
      <c r="FH135" s="20">
        <f t="shared" si="130"/>
        <v>413.33430507425345</v>
      </c>
      <c r="FI135" s="59">
        <f t="shared" si="131"/>
        <v>706.66763840758676</v>
      </c>
      <c r="FJ135" s="59">
        <f ca="1">AVERAGE(OFFSET($FI$3,0,0,'Données projet'!$E$16+1,1))-AVERAGE(OFFSET($H$3,0,0,'Données projet'!$E$16+1,1))</f>
        <v>272.90535195666996</v>
      </c>
      <c r="FK135" s="59">
        <f t="shared" si="156"/>
        <v>222.25422164416898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2.0348460569267584</v>
      </c>
      <c r="FR135" s="21">
        <f>EXP(-LN(2)/25)*FR134+(1-EXP(-LN(2)/25))/(LN(2)/25)*Calculateur!FM135*Calculateur!FO135*VLOOKUP('Données projet'!$B$16,Paramètres!$A$1:$I$89,3,0)*0.475*44/12</f>
        <v>3.8437072235005778</v>
      </c>
      <c r="FS135" s="21">
        <f>EXP(-LN(2)/2)*FS134+(1-EXP(-LN(2)/2))/(LN(2)/2)*FM135*FP135*VLOOKUP('Données projet'!$B$16,Paramètres!$A$1:$I$89,3,0)*0.475*44/12</f>
        <v>6.4564431559828821E-7</v>
      </c>
      <c r="FT135" s="22">
        <f t="shared" si="132"/>
        <v>5.8785539260716524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293.33333333334531</v>
      </c>
      <c r="S136" s="59">
        <f ca="1">AVERAGE(OFFSET($R$3,0,0,'Données projet'!$E$9+1,1))-AVERAGE(OFFSET($H$3,0,0,'Données projet'!$E$9+1,1))</f>
        <v>384.05928630855732</v>
      </c>
      <c r="T136" s="59">
        <f t="shared" si="142"/>
        <v>279.93992813630513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304.99999999999983</v>
      </c>
      <c r="AJ136" s="13">
        <f>AI136*VLOOKUP('Données projet'!$B$10,Paramètres!$A$1:$I$89,3,0)*VLOOKUP('Données projet'!$B$10,Paramètres!$A$1:$I$89,5,0)</f>
        <v>275.96399999999983</v>
      </c>
      <c r="AK136" s="13">
        <f t="shared" si="143"/>
        <v>66.113366665488854</v>
      </c>
      <c r="AL136" s="20">
        <f t="shared" si="112"/>
        <v>595.78474694239264</v>
      </c>
      <c r="AM136" s="59">
        <f t="shared" si="113"/>
        <v>889.11808027572602</v>
      </c>
      <c r="AN136" s="59">
        <f ca="1">AVERAGE(OFFSET($AM$3,0,0,'Données projet'!$E$10+1,1))-AVERAGE(OFFSET($H$3,0,0,'Données projet'!$E$10+1,1))</f>
        <v>366.69125512029831</v>
      </c>
      <c r="AO136" s="59">
        <f t="shared" si="144"/>
        <v>513.80016421153414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0.2101961518426366</v>
      </c>
      <c r="AV136" s="21">
        <f>EXP(-LN(2)/25)*AV135+(1-EXP(-LN(2)/25))/(LN(2)/25)*Calculateur!AQ136*Calculateur!AS136*VLOOKUP('Données projet'!$B$10,Paramètres!$A$1:$I$89,3,0)*0.475*44/12</f>
        <v>0.42460933946189511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0.63480549130453168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212.28480000000002</v>
      </c>
      <c r="BF136" s="13">
        <f t="shared" si="145"/>
        <v>52.434557099704193</v>
      </c>
      <c r="BG136" s="20">
        <f t="shared" si="115"/>
        <v>461.05288028198476</v>
      </c>
      <c r="BH136" s="59">
        <f t="shared" si="116"/>
        <v>754.38621361531807</v>
      </c>
      <c r="BI136" s="59">
        <f ca="1">AVERAGE(OFFSET($BH$3,0,0,'Données projet'!$E$11+1,1))-AVERAGE(OFFSET($H$3,0,0,'Données projet'!$E$11+1,1))</f>
        <v>354.24684313982857</v>
      </c>
      <c r="BJ136" s="59">
        <f t="shared" si="146"/>
        <v>322.65043486962185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14.176767448538374</v>
      </c>
      <c r="BQ136" s="21">
        <f>EXP(-LN(2)/25)*BQ135+(1-EXP(-LN(2)/25))/(LN(2)/25)*Calculateur!BL136*Calculateur!BN136*VLOOKUP('Données projet'!$B$11,Paramètres!$A$1:$I$89,3,0)*0.475*44/12</f>
        <v>5.964178325368505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20.140945773906878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5.4978954722173515E-13</v>
      </c>
      <c r="CA136" s="13">
        <f t="shared" si="147"/>
        <v>6.7731340873355904E-12</v>
      </c>
      <c r="CB136" s="20">
        <f t="shared" si="118"/>
        <v>1.2754091996854009E-11</v>
      </c>
      <c r="CC136" s="59">
        <f t="shared" si="119"/>
        <v>293.33333333334605</v>
      </c>
      <c r="CD136" s="59">
        <f ca="1">AVERAGE(OFFSET($CC$3,0,0,'Données projet'!$E$12+1,1))-AVERAGE(OFFSET($H$3,0,0,'Données projet'!$E$12+1,1))</f>
        <v>407.73540492005355</v>
      </c>
      <c r="CE136" s="59">
        <f t="shared" si="148"/>
        <v>296.29416764204774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175.67990090361661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175.67990090361661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266.99999999999983</v>
      </c>
      <c r="CU136" s="17">
        <f>CT136*VLOOKUP('Données projet'!$B$13,Paramètres!$A$1:$I$89,3,0)*VLOOKUP('Données projet'!$B$13,Paramètres!$A$1:$I$89,5,0)</f>
        <v>212.42519999999985</v>
      </c>
      <c r="CV136" s="13">
        <f t="shared" si="149"/>
        <v>52.465198231787184</v>
      </c>
      <c r="CW136" s="20">
        <f t="shared" si="121"/>
        <v>461.35077692036231</v>
      </c>
      <c r="CX136" s="59">
        <f t="shared" si="122"/>
        <v>754.68411025369562</v>
      </c>
      <c r="CY136" s="59">
        <f ca="1">AVERAGE(OFFSET($CX$3,0,0,'Données projet'!$E$13+1,1))-AVERAGE(OFFSET($H$3,0,0,'Données projet'!$E$13+1,1))</f>
        <v>299.10536994156814</v>
      </c>
      <c r="CZ136" s="59">
        <f t="shared" si="150"/>
        <v>292.57799203101769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10.078970776798434</v>
      </c>
      <c r="DG136" s="21">
        <f>EXP(-LN(2)/25)*DG135+(1-EXP(-LN(2)/25))/(LN(2)/25)*Calculateur!DB136*Calculateur!DD136*VLOOKUP('Données projet'!$B$13,Paramètres!$A$1:$I$89,3,0)*0.475*44/12</f>
        <v>1.9160423811869642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11.995013157985397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266.99999999999983</v>
      </c>
      <c r="DP136" s="17">
        <f>DO136*VLOOKUP('Données projet'!$B$14,Paramètres!$A$1:$I$89,3,0)*VLOOKUP('Données projet'!$B$14,Paramètres!$A$1:$I$89,5,0)</f>
        <v>212.42519999999985</v>
      </c>
      <c r="DQ136" s="13">
        <f t="shared" si="151"/>
        <v>52.465198231787184</v>
      </c>
      <c r="DR136" s="20">
        <f t="shared" si="124"/>
        <v>461.35077692036231</v>
      </c>
      <c r="DS136" s="59">
        <f t="shared" si="125"/>
        <v>754.68411025369562</v>
      </c>
      <c r="DT136" s="59">
        <f ca="1">AVERAGE(OFFSET($DS$3,0,0,'Données projet'!$E$14+1,1))-AVERAGE(OFFSET($H$3,0,0,'Données projet'!$E$14+1,1))</f>
        <v>299.10536994156814</v>
      </c>
      <c r="DU136" s="59">
        <f t="shared" si="152"/>
        <v>292.57799203101769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10.078970776798434</v>
      </c>
      <c r="EB136" s="21">
        <f>EXP(-LN(2)/25)*EB135+(1-EXP(-LN(2)/25))/(LN(2)/25)*Calculateur!DW136*Calculateur!DY136*VLOOKUP('Données projet'!$B$14,Paramètres!$A$1:$I$89,3,0)*0.475*44/12</f>
        <v>1.9160423811869642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11.995013157985397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204.00000000000017</v>
      </c>
      <c r="EK136" s="17">
        <f>EJ136*VLOOKUP('Données projet'!$B$15,Paramètres!$A$1:$I$89,3,0)*VLOOKUP('Données projet'!$B$15,Paramètres!$A$1:$I$89,5,0)</f>
        <v>133.66080000000011</v>
      </c>
      <c r="EL136" s="13">
        <f t="shared" si="153"/>
        <v>34.840890682716783</v>
      </c>
      <c r="EM136" s="20">
        <f t="shared" si="127"/>
        <v>293.4737779390652</v>
      </c>
      <c r="EN136" s="59">
        <f t="shared" si="128"/>
        <v>586.80711127239852</v>
      </c>
      <c r="EO136" s="59">
        <f ca="1">AVERAGE(OFFSET($EN$3,0,0,'Données projet'!$E$15+1,1))-AVERAGE(OFFSET($H$3,0,0,'Données projet'!$E$15+1,1))</f>
        <v>230.58262378842818</v>
      </c>
      <c r="EP136" s="59">
        <f t="shared" si="154"/>
        <v>235.68746142880792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0.81490515416073495</v>
      </c>
      <c r="EW136" s="21">
        <f>EXP(-LN(2)/25)*EW135+(1-EXP(-LN(2)/25))/(LN(2)/25)*Calculateur!ER136*Calculateur!ET136*VLOOKUP('Données projet'!$B$15,Paramètres!$A$1:$I$89,3,0)*0.475*44/12</f>
        <v>3.2747342151011916</v>
      </c>
      <c r="EX136" s="21">
        <f>EXP(-LN(2)/2)*EX135+(1-EXP(-LN(2)/2))/(LN(2)/2)*ER136*EU136*VLOOKUP('Données projet'!$B$15,Paramètres!$A$1:$I$89,3,0)*0.475*44/12</f>
        <v>1.0037958686924563E-6</v>
      </c>
      <c r="EY136" s="22">
        <f t="shared" si="129"/>
        <v>4.0896403730577955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234.00000000000003</v>
      </c>
      <c r="FF136" s="17">
        <f>FE136*VLOOKUP('Données projet'!$B$16,Paramètres!$A$1:$I$89,3,0)*VLOOKUP('Données projet'!$B$16,Paramètres!$A$1:$I$89,5,0)</f>
        <v>189.82080000000005</v>
      </c>
      <c r="FG136" s="13">
        <f t="shared" si="155"/>
        <v>47.500332100049796</v>
      </c>
      <c r="FH136" s="20">
        <f t="shared" si="130"/>
        <v>413.33430507425345</v>
      </c>
      <c r="FI136" s="59">
        <f t="shared" si="131"/>
        <v>706.66763840758676</v>
      </c>
      <c r="FJ136" s="59">
        <f ca="1">AVERAGE(OFFSET($FI$3,0,0,'Données projet'!$E$16+1,1))-AVERAGE(OFFSET($H$3,0,0,'Données projet'!$E$16+1,1))</f>
        <v>272.90535195666996</v>
      </c>
      <c r="FK136" s="59">
        <f t="shared" si="156"/>
        <v>222.25422164416898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1.9949439668839677</v>
      </c>
      <c r="FR136" s="21">
        <f>EXP(-LN(2)/25)*FR135+(1-EXP(-LN(2)/25))/(LN(2)/25)*Calculateur!FM136*Calculateur!FO136*VLOOKUP('Données projet'!$B$16,Paramètres!$A$1:$I$89,3,0)*0.475*44/12</f>
        <v>3.7386008473421763</v>
      </c>
      <c r="FS136" s="21">
        <f>EXP(-LN(2)/2)*FS135+(1-EXP(-LN(2)/2))/(LN(2)/2)*FM136*FP136*VLOOKUP('Données projet'!$B$16,Paramètres!$A$1:$I$89,3,0)*0.475*44/12</f>
        <v>4.5653947379409702E-7</v>
      </c>
      <c r="FT136" s="22">
        <f t="shared" si="132"/>
        <v>5.7335452707656183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293.33333333334531</v>
      </c>
      <c r="S137" s="59">
        <f ca="1">AVERAGE(OFFSET($R$3,0,0,'Données projet'!$E$9+1,1))-AVERAGE(OFFSET($H$3,0,0,'Données projet'!$E$9+1,1))</f>
        <v>384.05928630855732</v>
      </c>
      <c r="T137" s="59">
        <f t="shared" si="142"/>
        <v>279.93992813630513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304.99999999999983</v>
      </c>
      <c r="AJ137" s="13">
        <f>AI137*VLOOKUP('Données projet'!$B$10,Paramètres!$A$1:$I$89,3,0)*VLOOKUP('Données projet'!$B$10,Paramètres!$A$1:$I$89,5,0)</f>
        <v>275.96399999999983</v>
      </c>
      <c r="AK137" s="13">
        <f t="shared" si="143"/>
        <v>66.113366665488854</v>
      </c>
      <c r="AL137" s="20">
        <f t="shared" si="112"/>
        <v>595.78474694239264</v>
      </c>
      <c r="AM137" s="59">
        <f t="shared" si="113"/>
        <v>889.11808027572602</v>
      </c>
      <c r="AN137" s="59">
        <f ca="1">AVERAGE(OFFSET($AM$3,0,0,'Données projet'!$E$10+1,1))-AVERAGE(OFFSET($H$3,0,0,'Données projet'!$E$10+1,1))</f>
        <v>366.69125512029831</v>
      </c>
      <c r="AO137" s="59">
        <f t="shared" si="144"/>
        <v>513.80016421153414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0.20607433351199572</v>
      </c>
      <c r="AV137" s="21">
        <f>EXP(-LN(2)/25)*AV136+(1-EXP(-LN(2)/25))/(LN(2)/25)*Calculateur!AQ137*Calculateur!AS137*VLOOKUP('Données projet'!$B$10,Paramètres!$A$1:$I$89,3,0)*0.475*44/12</f>
        <v>0.41299837474507489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0.61907270825707061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212.28480000000002</v>
      </c>
      <c r="BF137" s="13">
        <f t="shared" si="145"/>
        <v>52.434557099704193</v>
      </c>
      <c r="BG137" s="20">
        <f t="shared" si="115"/>
        <v>461.05288028198476</v>
      </c>
      <c r="BH137" s="59">
        <f t="shared" si="116"/>
        <v>754.38621361531807</v>
      </c>
      <c r="BI137" s="59">
        <f ca="1">AVERAGE(OFFSET($BH$3,0,0,'Données projet'!$E$11+1,1))-AVERAGE(OFFSET($H$3,0,0,'Données projet'!$E$11+1,1))</f>
        <v>354.24684313982857</v>
      </c>
      <c r="BJ137" s="59">
        <f t="shared" si="146"/>
        <v>322.65043486962185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13.898769685846863</v>
      </c>
      <c r="BQ137" s="21">
        <f>EXP(-LN(2)/25)*BQ136+(1-EXP(-LN(2)/25))/(LN(2)/25)*Calculateur!BL137*Calculateur!BN137*VLOOKUP('Données projet'!$B$11,Paramètres!$A$1:$I$89,3,0)*0.475*44/12</f>
        <v>5.8010875554187962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19.699857241265661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5.4978954722173515E-13</v>
      </c>
      <c r="CA137" s="13">
        <f t="shared" si="147"/>
        <v>6.7731340873355904E-12</v>
      </c>
      <c r="CB137" s="20">
        <f t="shared" si="118"/>
        <v>1.2754091996854009E-11</v>
      </c>
      <c r="CC137" s="59">
        <f t="shared" si="119"/>
        <v>293.33333333334605</v>
      </c>
      <c r="CD137" s="59">
        <f ca="1">AVERAGE(OFFSET($CC$3,0,0,'Données projet'!$E$12+1,1))-AVERAGE(OFFSET($H$3,0,0,'Données projet'!$E$12+1,1))</f>
        <v>407.73540492005355</v>
      </c>
      <c r="CE137" s="59">
        <f t="shared" si="148"/>
        <v>296.29416764204774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172.23492520105566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172.23492520105566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266.99999999999983</v>
      </c>
      <c r="CU137" s="17">
        <f>CT137*VLOOKUP('Données projet'!$B$13,Paramètres!$A$1:$I$89,3,0)*VLOOKUP('Données projet'!$B$13,Paramètres!$A$1:$I$89,5,0)</f>
        <v>212.42519999999985</v>
      </c>
      <c r="CV137" s="13">
        <f t="shared" si="149"/>
        <v>52.465198231787184</v>
      </c>
      <c r="CW137" s="20">
        <f t="shared" si="121"/>
        <v>461.35077692036231</v>
      </c>
      <c r="CX137" s="59">
        <f t="shared" si="122"/>
        <v>754.68411025369562</v>
      </c>
      <c r="CY137" s="59">
        <f ca="1">AVERAGE(OFFSET($CX$3,0,0,'Données projet'!$E$13+1,1))-AVERAGE(OFFSET($H$3,0,0,'Données projet'!$E$13+1,1))</f>
        <v>299.10536994156814</v>
      </c>
      <c r="CZ137" s="59">
        <f t="shared" si="150"/>
        <v>292.57799203101769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9.881328307430568</v>
      </c>
      <c r="DG137" s="21">
        <f>EXP(-LN(2)/25)*DG136+(1-EXP(-LN(2)/25))/(LN(2)/25)*Calculateur!DB137*Calculateur!DD137*VLOOKUP('Données projet'!$B$13,Paramètres!$A$1:$I$89,3,0)*0.475*44/12</f>
        <v>1.863648101513117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11.744976408943685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266.99999999999983</v>
      </c>
      <c r="DP137" s="17">
        <f>DO137*VLOOKUP('Données projet'!$B$14,Paramètres!$A$1:$I$89,3,0)*VLOOKUP('Données projet'!$B$14,Paramètres!$A$1:$I$89,5,0)</f>
        <v>212.42519999999985</v>
      </c>
      <c r="DQ137" s="13">
        <f t="shared" si="151"/>
        <v>52.465198231787184</v>
      </c>
      <c r="DR137" s="20">
        <f t="shared" si="124"/>
        <v>461.35077692036231</v>
      </c>
      <c r="DS137" s="59">
        <f t="shared" si="125"/>
        <v>754.68411025369562</v>
      </c>
      <c r="DT137" s="59">
        <f ca="1">AVERAGE(OFFSET($DS$3,0,0,'Données projet'!$E$14+1,1))-AVERAGE(OFFSET($H$3,0,0,'Données projet'!$E$14+1,1))</f>
        <v>299.10536994156814</v>
      </c>
      <c r="DU137" s="59">
        <f t="shared" si="152"/>
        <v>292.57799203101769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9.881328307430568</v>
      </c>
      <c r="EB137" s="21">
        <f>EXP(-LN(2)/25)*EB136+(1-EXP(-LN(2)/25))/(LN(2)/25)*Calculateur!DW137*Calculateur!DY137*VLOOKUP('Données projet'!$B$14,Paramètres!$A$1:$I$89,3,0)*0.475*44/12</f>
        <v>1.863648101513117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11.744976408943685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204.00000000000017</v>
      </c>
      <c r="EK137" s="17">
        <f>EJ137*VLOOKUP('Données projet'!$B$15,Paramètres!$A$1:$I$89,3,0)*VLOOKUP('Données projet'!$B$15,Paramètres!$A$1:$I$89,5,0)</f>
        <v>133.66080000000011</v>
      </c>
      <c r="EL137" s="13">
        <f t="shared" si="153"/>
        <v>34.840890682716783</v>
      </c>
      <c r="EM137" s="20">
        <f t="shared" si="127"/>
        <v>293.4737779390652</v>
      </c>
      <c r="EN137" s="59">
        <f t="shared" si="128"/>
        <v>586.80711127239852</v>
      </c>
      <c r="EO137" s="59">
        <f ca="1">AVERAGE(OFFSET($EN$3,0,0,'Données projet'!$E$15+1,1))-AVERAGE(OFFSET($H$3,0,0,'Données projet'!$E$15+1,1))</f>
        <v>230.58262378842818</v>
      </c>
      <c r="EP137" s="59">
        <f t="shared" si="154"/>
        <v>235.68746142880792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0.798925361130708</v>
      </c>
      <c r="EW137" s="21">
        <f>EXP(-LN(2)/25)*EW136+(1-EXP(-LN(2)/25))/(LN(2)/25)*Calculateur!ER137*Calculateur!ET137*VLOOKUP('Données projet'!$B$15,Paramètres!$A$1:$I$89,3,0)*0.475*44/12</f>
        <v>3.1851864357784616</v>
      </c>
      <c r="EX137" s="21">
        <f>EXP(-LN(2)/2)*EX136+(1-EXP(-LN(2)/2))/(LN(2)/2)*ER137*EU137*VLOOKUP('Données projet'!$B$15,Paramètres!$A$1:$I$89,3,0)*0.475*44/12</f>
        <v>7.0979086567947709E-7</v>
      </c>
      <c r="EY137" s="22">
        <f t="shared" si="129"/>
        <v>3.9841125067000354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234.00000000000003</v>
      </c>
      <c r="FF137" s="17">
        <f>FE137*VLOOKUP('Données projet'!$B$16,Paramètres!$A$1:$I$89,3,0)*VLOOKUP('Données projet'!$B$16,Paramètres!$A$1:$I$89,5,0)</f>
        <v>189.82080000000005</v>
      </c>
      <c r="FG137" s="13">
        <f t="shared" si="155"/>
        <v>47.500332100049796</v>
      </c>
      <c r="FH137" s="20">
        <f t="shared" si="130"/>
        <v>413.33430507425345</v>
      </c>
      <c r="FI137" s="59">
        <f t="shared" si="131"/>
        <v>706.66763840758676</v>
      </c>
      <c r="FJ137" s="59">
        <f ca="1">AVERAGE(OFFSET($FI$3,0,0,'Données projet'!$E$16+1,1))-AVERAGE(OFFSET($H$3,0,0,'Données projet'!$E$16+1,1))</f>
        <v>272.90535195666996</v>
      </c>
      <c r="FK137" s="59">
        <f t="shared" si="156"/>
        <v>222.25422164416898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1.9558243324890443</v>
      </c>
      <c r="FR137" s="21">
        <f>EXP(-LN(2)/25)*FR136+(1-EXP(-LN(2)/25))/(LN(2)/25)*Calculateur!FM137*Calculateur!FO137*VLOOKUP('Données projet'!$B$16,Paramètres!$A$1:$I$89,3,0)*0.475*44/12</f>
        <v>3.6363686105671307</v>
      </c>
      <c r="FS137" s="21">
        <f>EXP(-LN(2)/2)*FS136+(1-EXP(-LN(2)/2))/(LN(2)/2)*FM137*FP137*VLOOKUP('Données projet'!$B$16,Paramètres!$A$1:$I$89,3,0)*0.475*44/12</f>
        <v>3.228221577991441E-7</v>
      </c>
      <c r="FT137" s="22">
        <f t="shared" si="132"/>
        <v>5.5921932658783327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293.33333333334531</v>
      </c>
      <c r="S138" s="59">
        <f ca="1">AVERAGE(OFFSET($R$3,0,0,'Données projet'!$E$9+1,1))-AVERAGE(OFFSET($H$3,0,0,'Données projet'!$E$9+1,1))</f>
        <v>384.05928630855732</v>
      </c>
      <c r="T138" s="59">
        <f t="shared" si="142"/>
        <v>279.93992813630513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304.99999999999983</v>
      </c>
      <c r="AJ138" s="13">
        <f>AI138*VLOOKUP('Données projet'!$B$10,Paramètres!$A$1:$I$89,3,0)*VLOOKUP('Données projet'!$B$10,Paramètres!$A$1:$I$89,5,0)</f>
        <v>275.96399999999983</v>
      </c>
      <c r="AK138" s="13">
        <f t="shared" si="143"/>
        <v>66.113366665488854</v>
      </c>
      <c r="AL138" s="20">
        <f t="shared" si="112"/>
        <v>595.78474694239264</v>
      </c>
      <c r="AM138" s="59">
        <f t="shared" si="113"/>
        <v>889.11808027572602</v>
      </c>
      <c r="AN138" s="59">
        <f ca="1">AVERAGE(OFFSET($AM$3,0,0,'Données projet'!$E$10+1,1))-AVERAGE(OFFSET($H$3,0,0,'Données projet'!$E$10+1,1))</f>
        <v>366.69125512029831</v>
      </c>
      <c r="AO138" s="59">
        <f t="shared" si="144"/>
        <v>513.80016421153414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0.20203334152475777</v>
      </c>
      <c r="AV138" s="21">
        <f>EXP(-LN(2)/25)*AV137+(1-EXP(-LN(2)/25))/(LN(2)/25)*Calculateur!AQ138*Calculateur!AS138*VLOOKUP('Données projet'!$B$10,Paramètres!$A$1:$I$89,3,0)*0.475*44/12</f>
        <v>0.40170491246903023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0.603738253993788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212.28480000000002</v>
      </c>
      <c r="BF138" s="13">
        <f t="shared" si="145"/>
        <v>52.434557099704193</v>
      </c>
      <c r="BG138" s="20">
        <f t="shared" si="115"/>
        <v>461.05288028198476</v>
      </c>
      <c r="BH138" s="59">
        <f t="shared" si="116"/>
        <v>754.38621361531807</v>
      </c>
      <c r="BI138" s="59">
        <f ca="1">AVERAGE(OFFSET($BH$3,0,0,'Données projet'!$E$11+1,1))-AVERAGE(OFFSET($H$3,0,0,'Données projet'!$E$11+1,1))</f>
        <v>354.24684313982857</v>
      </c>
      <c r="BJ138" s="59">
        <f t="shared" si="146"/>
        <v>322.65043486962185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13.626223289719841</v>
      </c>
      <c r="BQ138" s="21">
        <f>EXP(-LN(2)/25)*BQ137+(1-EXP(-LN(2)/25))/(LN(2)/25)*Calculateur!BL138*Calculateur!BN138*VLOOKUP('Données projet'!$B$11,Paramètres!$A$1:$I$89,3,0)*0.475*44/12</f>
        <v>5.6424565111499332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19.268679800869773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5.4978954722173515E-13</v>
      </c>
      <c r="CA138" s="13">
        <f t="shared" si="147"/>
        <v>6.7731340873355904E-12</v>
      </c>
      <c r="CB138" s="20">
        <f t="shared" si="118"/>
        <v>1.2754091996854009E-11</v>
      </c>
      <c r="CC138" s="59">
        <f t="shared" si="119"/>
        <v>293.33333333334605</v>
      </c>
      <c r="CD138" s="59">
        <f ca="1">AVERAGE(OFFSET($CC$3,0,0,'Données projet'!$E$12+1,1))-AVERAGE(OFFSET($H$3,0,0,'Données projet'!$E$12+1,1))</f>
        <v>407.73540492005355</v>
      </c>
      <c r="CE138" s="59">
        <f t="shared" si="148"/>
        <v>296.29416764204774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168.85750337079421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168.85750337079421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266.99999999999983</v>
      </c>
      <c r="CU138" s="17">
        <f>CT138*VLOOKUP('Données projet'!$B$13,Paramètres!$A$1:$I$89,3,0)*VLOOKUP('Données projet'!$B$13,Paramètres!$A$1:$I$89,5,0)</f>
        <v>212.42519999999985</v>
      </c>
      <c r="CV138" s="13">
        <f t="shared" si="149"/>
        <v>52.465198231787184</v>
      </c>
      <c r="CW138" s="20">
        <f t="shared" si="121"/>
        <v>461.35077692036231</v>
      </c>
      <c r="CX138" s="59">
        <f t="shared" si="122"/>
        <v>754.68411025369562</v>
      </c>
      <c r="CY138" s="59">
        <f ca="1">AVERAGE(OFFSET($CX$3,0,0,'Données projet'!$E$13+1,1))-AVERAGE(OFFSET($H$3,0,0,'Données projet'!$E$13+1,1))</f>
        <v>299.10536994156814</v>
      </c>
      <c r="CZ138" s="59">
        <f t="shared" si="150"/>
        <v>292.57799203101769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9.6875614863370032</v>
      </c>
      <c r="DG138" s="21">
        <f>EXP(-LN(2)/25)*DG137+(1-EXP(-LN(2)/25))/(LN(2)/25)*Calculateur!DB138*Calculateur!DD138*VLOOKUP('Données projet'!$B$13,Paramètres!$A$1:$I$89,3,0)*0.475*44/12</f>
        <v>1.8126865461722466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11.50024803250925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266.99999999999983</v>
      </c>
      <c r="DP138" s="17">
        <f>DO138*VLOOKUP('Données projet'!$B$14,Paramètres!$A$1:$I$89,3,0)*VLOOKUP('Données projet'!$B$14,Paramètres!$A$1:$I$89,5,0)</f>
        <v>212.42519999999985</v>
      </c>
      <c r="DQ138" s="13">
        <f t="shared" si="151"/>
        <v>52.465198231787184</v>
      </c>
      <c r="DR138" s="20">
        <f t="shared" si="124"/>
        <v>461.35077692036231</v>
      </c>
      <c r="DS138" s="59">
        <f t="shared" si="125"/>
        <v>754.68411025369562</v>
      </c>
      <c r="DT138" s="59">
        <f ca="1">AVERAGE(OFFSET($DS$3,0,0,'Données projet'!$E$14+1,1))-AVERAGE(OFFSET($H$3,0,0,'Données projet'!$E$14+1,1))</f>
        <v>299.10536994156814</v>
      </c>
      <c r="DU138" s="59">
        <f t="shared" si="152"/>
        <v>292.57799203101769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9.6875614863370032</v>
      </c>
      <c r="EB138" s="21">
        <f>EXP(-LN(2)/25)*EB137+(1-EXP(-LN(2)/25))/(LN(2)/25)*Calculateur!DW138*Calculateur!DY138*VLOOKUP('Données projet'!$B$14,Paramètres!$A$1:$I$89,3,0)*0.475*44/12</f>
        <v>1.8126865461722466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11.50024803250925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204.00000000000017</v>
      </c>
      <c r="EK138" s="17">
        <f>EJ138*VLOOKUP('Données projet'!$B$15,Paramètres!$A$1:$I$89,3,0)*VLOOKUP('Données projet'!$B$15,Paramètres!$A$1:$I$89,5,0)</f>
        <v>133.66080000000011</v>
      </c>
      <c r="EL138" s="13">
        <f t="shared" si="153"/>
        <v>34.840890682716783</v>
      </c>
      <c r="EM138" s="20">
        <f t="shared" si="127"/>
        <v>293.4737779390652</v>
      </c>
      <c r="EN138" s="59">
        <f t="shared" si="128"/>
        <v>586.80711127239852</v>
      </c>
      <c r="EO138" s="59">
        <f ca="1">AVERAGE(OFFSET($EN$3,0,0,'Données projet'!$E$15+1,1))-AVERAGE(OFFSET($H$3,0,0,'Données projet'!$E$15+1,1))</f>
        <v>230.58262378842818</v>
      </c>
      <c r="EP138" s="59">
        <f t="shared" si="154"/>
        <v>235.68746142880792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0.78325892209528858</v>
      </c>
      <c r="EW138" s="21">
        <f>EXP(-LN(2)/25)*EW137+(1-EXP(-LN(2)/25))/(LN(2)/25)*Calculateur!ER138*Calculateur!ET138*VLOOKUP('Données projet'!$B$15,Paramètres!$A$1:$I$89,3,0)*0.475*44/12</f>
        <v>3.0980873451904247</v>
      </c>
      <c r="EX138" s="21">
        <f>EXP(-LN(2)/2)*EX137+(1-EXP(-LN(2)/2))/(LN(2)/2)*ER138*EU138*VLOOKUP('Données projet'!$B$15,Paramètres!$A$1:$I$89,3,0)*0.475*44/12</f>
        <v>5.0189793434622814E-7</v>
      </c>
      <c r="EY138" s="22">
        <f t="shared" si="129"/>
        <v>3.8813467691836476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234.00000000000003</v>
      </c>
      <c r="FF138" s="17">
        <f>FE138*VLOOKUP('Données projet'!$B$16,Paramètres!$A$1:$I$89,3,0)*VLOOKUP('Données projet'!$B$16,Paramètres!$A$1:$I$89,5,0)</f>
        <v>189.82080000000005</v>
      </c>
      <c r="FG138" s="13">
        <f t="shared" si="155"/>
        <v>47.500332100049796</v>
      </c>
      <c r="FH138" s="20">
        <f t="shared" si="130"/>
        <v>413.33430507425345</v>
      </c>
      <c r="FI138" s="59">
        <f t="shared" si="131"/>
        <v>706.66763840758676</v>
      </c>
      <c r="FJ138" s="59">
        <f ca="1">AVERAGE(OFFSET($FI$3,0,0,'Données projet'!$E$16+1,1))-AVERAGE(OFFSET($H$3,0,0,'Données projet'!$E$16+1,1))</f>
        <v>272.90535195666996</v>
      </c>
      <c r="FK138" s="59">
        <f t="shared" si="156"/>
        <v>222.25422164416898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1.9174718102639845</v>
      </c>
      <c r="FR138" s="21">
        <f>EXP(-LN(2)/25)*FR137+(1-EXP(-LN(2)/25))/(LN(2)/25)*Calculateur!FM138*Calculateur!FO138*VLOOKUP('Données projet'!$B$16,Paramètres!$A$1:$I$89,3,0)*0.475*44/12</f>
        <v>3.5369319196828584</v>
      </c>
      <c r="FS138" s="21">
        <f>EXP(-LN(2)/2)*FS137+(1-EXP(-LN(2)/2))/(LN(2)/2)*FM138*FP138*VLOOKUP('Données projet'!$B$16,Paramètres!$A$1:$I$89,3,0)*0.475*44/12</f>
        <v>2.2826973689704851E-7</v>
      </c>
      <c r="FT138" s="22">
        <f t="shared" si="132"/>
        <v>5.45440395821658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293.33333333334531</v>
      </c>
      <c r="S139" s="59">
        <f ca="1">AVERAGE(OFFSET($R$3,0,0,'Données projet'!$E$9+1,1))-AVERAGE(OFFSET($H$3,0,0,'Données projet'!$E$9+1,1))</f>
        <v>384.05928630855732</v>
      </c>
      <c r="T139" s="59">
        <f t="shared" si="142"/>
        <v>279.93992813630513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304.99999999999983</v>
      </c>
      <c r="AJ139" s="13">
        <f>AI139*VLOOKUP('Données projet'!$B$10,Paramètres!$A$1:$I$89,3,0)*VLOOKUP('Données projet'!$B$10,Paramètres!$A$1:$I$89,5,0)</f>
        <v>275.96399999999983</v>
      </c>
      <c r="AK139" s="13">
        <f t="shared" si="143"/>
        <v>66.113366665488854</v>
      </c>
      <c r="AL139" s="20">
        <f t="shared" si="112"/>
        <v>595.78474694239264</v>
      </c>
      <c r="AM139" s="59">
        <f t="shared" si="113"/>
        <v>889.11808027572602</v>
      </c>
      <c r="AN139" s="59">
        <f ca="1">AVERAGE(OFFSET($AM$3,0,0,'Données projet'!$E$10+1,1))-AVERAGE(OFFSET($H$3,0,0,'Données projet'!$E$10+1,1))</f>
        <v>366.69125512029831</v>
      </c>
      <c r="AO139" s="59">
        <f t="shared" si="144"/>
        <v>513.80016421153414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0.19807159092562782</v>
      </c>
      <c r="AV139" s="21">
        <f>EXP(-LN(2)/25)*AV138+(1-EXP(-LN(2)/25))/(LN(2)/25)*Calculateur!AQ139*Calculateur!AS139*VLOOKUP('Données projet'!$B$10,Paramètres!$A$1:$I$89,3,0)*0.475*44/12</f>
        <v>0.39072027051282138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0.58879186143844919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212.28480000000002</v>
      </c>
      <c r="BF139" s="13">
        <f t="shared" si="145"/>
        <v>52.434557099704193</v>
      </c>
      <c r="BG139" s="20">
        <f t="shared" si="115"/>
        <v>461.05288028198476</v>
      </c>
      <c r="BH139" s="59">
        <f t="shared" si="116"/>
        <v>754.38621361531807</v>
      </c>
      <c r="BI139" s="59">
        <f ca="1">AVERAGE(OFFSET($BH$3,0,0,'Données projet'!$E$11+1,1))-AVERAGE(OFFSET($H$3,0,0,'Données projet'!$E$11+1,1))</f>
        <v>354.24684313982857</v>
      </c>
      <c r="BJ139" s="59">
        <f t="shared" si="146"/>
        <v>322.65043486962185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13.359021362183981</v>
      </c>
      <c r="BQ139" s="21">
        <f>EXP(-LN(2)/25)*BQ138+(1-EXP(-LN(2)/25))/(LN(2)/25)*Calculateur!BL139*Calculateur!BN139*VLOOKUP('Données projet'!$B$11,Paramètres!$A$1:$I$89,3,0)*0.475*44/12</f>
        <v>5.4881632411286461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18.847184603312627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5.4978954722173515E-13</v>
      </c>
      <c r="CA139" s="13">
        <f t="shared" si="147"/>
        <v>6.7731340873355904E-12</v>
      </c>
      <c r="CB139" s="20">
        <f t="shared" si="118"/>
        <v>1.2754091996854009E-11</v>
      </c>
      <c r="CC139" s="59">
        <f t="shared" si="119"/>
        <v>293.33333333334605</v>
      </c>
      <c r="CD139" s="59">
        <f ca="1">AVERAGE(OFFSET($CC$3,0,0,'Données projet'!$E$12+1,1))-AVERAGE(OFFSET($H$3,0,0,'Données projet'!$E$12+1,1))</f>
        <v>407.73540492005355</v>
      </c>
      <c r="CE139" s="59">
        <f t="shared" si="148"/>
        <v>296.29416764204774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165.54631072260028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165.54631072260028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266.99999999999983</v>
      </c>
      <c r="CU139" s="17">
        <f>CT139*VLOOKUP('Données projet'!$B$13,Paramètres!$A$1:$I$89,3,0)*VLOOKUP('Données projet'!$B$13,Paramètres!$A$1:$I$89,5,0)</f>
        <v>212.42519999999985</v>
      </c>
      <c r="CV139" s="13">
        <f t="shared" si="149"/>
        <v>52.465198231787184</v>
      </c>
      <c r="CW139" s="20">
        <f t="shared" si="121"/>
        <v>461.35077692036231</v>
      </c>
      <c r="CX139" s="59">
        <f t="shared" si="122"/>
        <v>754.68411025369562</v>
      </c>
      <c r="CY139" s="59">
        <f ca="1">AVERAGE(OFFSET($CX$3,0,0,'Données projet'!$E$13+1,1))-AVERAGE(OFFSET($H$3,0,0,'Données projet'!$E$13+1,1))</f>
        <v>299.10536994156814</v>
      </c>
      <c r="CZ139" s="59">
        <f t="shared" si="150"/>
        <v>292.57799203101769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9.4975943144189934</v>
      </c>
      <c r="DG139" s="21">
        <f>EXP(-LN(2)/25)*DG138+(1-EXP(-LN(2)/25))/(LN(2)/25)*Calculateur!DB139*Calculateur!DD139*VLOOKUP('Données projet'!$B$13,Paramètres!$A$1:$I$89,3,0)*0.475*44/12</f>
        <v>1.7631185372421239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11.260712851661117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266.99999999999983</v>
      </c>
      <c r="DP139" s="17">
        <f>DO139*VLOOKUP('Données projet'!$B$14,Paramètres!$A$1:$I$89,3,0)*VLOOKUP('Données projet'!$B$14,Paramètres!$A$1:$I$89,5,0)</f>
        <v>212.42519999999985</v>
      </c>
      <c r="DQ139" s="13">
        <f t="shared" si="151"/>
        <v>52.465198231787184</v>
      </c>
      <c r="DR139" s="20">
        <f t="shared" si="124"/>
        <v>461.35077692036231</v>
      </c>
      <c r="DS139" s="59">
        <f t="shared" si="125"/>
        <v>754.68411025369562</v>
      </c>
      <c r="DT139" s="59">
        <f ca="1">AVERAGE(OFFSET($DS$3,0,0,'Données projet'!$E$14+1,1))-AVERAGE(OFFSET($H$3,0,0,'Données projet'!$E$14+1,1))</f>
        <v>299.10536994156814</v>
      </c>
      <c r="DU139" s="59">
        <f t="shared" si="152"/>
        <v>292.57799203101769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9.4975943144189934</v>
      </c>
      <c r="EB139" s="21">
        <f>EXP(-LN(2)/25)*EB138+(1-EXP(-LN(2)/25))/(LN(2)/25)*Calculateur!DW139*Calculateur!DY139*VLOOKUP('Données projet'!$B$14,Paramètres!$A$1:$I$89,3,0)*0.475*44/12</f>
        <v>1.7631185372421239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11.260712851661117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204.00000000000017</v>
      </c>
      <c r="EK139" s="17">
        <f>EJ139*VLOOKUP('Données projet'!$B$15,Paramètres!$A$1:$I$89,3,0)*VLOOKUP('Données projet'!$B$15,Paramètres!$A$1:$I$89,5,0)</f>
        <v>133.66080000000011</v>
      </c>
      <c r="EL139" s="13">
        <f t="shared" si="153"/>
        <v>34.840890682716783</v>
      </c>
      <c r="EM139" s="20">
        <f t="shared" si="127"/>
        <v>293.4737779390652</v>
      </c>
      <c r="EN139" s="59">
        <f t="shared" si="128"/>
        <v>586.80711127239852</v>
      </c>
      <c r="EO139" s="59">
        <f ca="1">AVERAGE(OFFSET($EN$3,0,0,'Données projet'!$E$15+1,1))-AVERAGE(OFFSET($H$3,0,0,'Données projet'!$E$15+1,1))</f>
        <v>230.58262378842818</v>
      </c>
      <c r="EP139" s="59">
        <f t="shared" si="154"/>
        <v>235.68746142880792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0.76789969237376943</v>
      </c>
      <c r="EW139" s="21">
        <f>EXP(-LN(2)/25)*EW138+(1-EXP(-LN(2)/25))/(LN(2)/25)*Calculateur!ER139*Calculateur!ET139*VLOOKUP('Données projet'!$B$15,Paramètres!$A$1:$I$89,3,0)*0.475*44/12</f>
        <v>3.0133699838148598</v>
      </c>
      <c r="EX139" s="21">
        <f>EXP(-LN(2)/2)*EX138+(1-EXP(-LN(2)/2))/(LN(2)/2)*ER139*EU139*VLOOKUP('Données projet'!$B$15,Paramètres!$A$1:$I$89,3,0)*0.475*44/12</f>
        <v>3.5489543283973855E-7</v>
      </c>
      <c r="EY139" s="22">
        <f t="shared" si="129"/>
        <v>3.7812700310840621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234.00000000000003</v>
      </c>
      <c r="FF139" s="17">
        <f>FE139*VLOOKUP('Données projet'!$B$16,Paramètres!$A$1:$I$89,3,0)*VLOOKUP('Données projet'!$B$16,Paramètres!$A$1:$I$89,5,0)</f>
        <v>189.82080000000005</v>
      </c>
      <c r="FG139" s="13">
        <f t="shared" si="155"/>
        <v>47.500332100049796</v>
      </c>
      <c r="FH139" s="20">
        <f t="shared" si="130"/>
        <v>413.33430507425345</v>
      </c>
      <c r="FI139" s="59">
        <f t="shared" si="131"/>
        <v>706.66763840758676</v>
      </c>
      <c r="FJ139" s="59">
        <f ca="1">AVERAGE(OFFSET($FI$3,0,0,'Données projet'!$E$16+1,1))-AVERAGE(OFFSET($H$3,0,0,'Données projet'!$E$16+1,1))</f>
        <v>272.90535195666996</v>
      </c>
      <c r="FK139" s="59">
        <f t="shared" si="156"/>
        <v>222.25422164416898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1.8798713576070294</v>
      </c>
      <c r="FR139" s="21">
        <f>EXP(-LN(2)/25)*FR138+(1-EXP(-LN(2)/25))/(LN(2)/25)*Calculateur!FM139*Calculateur!FO139*VLOOKUP('Données projet'!$B$16,Paramètres!$A$1:$I$89,3,0)*0.475*44/12</f>
        <v>3.4402143303399648</v>
      </c>
      <c r="FS139" s="21">
        <f>EXP(-LN(2)/2)*FS138+(1-EXP(-LN(2)/2))/(LN(2)/2)*FM139*FP139*VLOOKUP('Données projet'!$B$16,Paramètres!$A$1:$I$89,3,0)*0.475*44/12</f>
        <v>1.6141107889957205E-7</v>
      </c>
      <c r="FT139" s="22">
        <f t="shared" si="132"/>
        <v>5.3200858493580734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293.33333333334531</v>
      </c>
      <c r="S140" s="59">
        <f ca="1">AVERAGE(OFFSET($R$3,0,0,'Données projet'!$E$9+1,1))-AVERAGE(OFFSET($H$3,0,0,'Données projet'!$E$9+1,1))</f>
        <v>384.05928630855732</v>
      </c>
      <c r="T140" s="59">
        <f t="shared" si="142"/>
        <v>279.93992813630513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304.99999999999983</v>
      </c>
      <c r="AJ140" s="13">
        <f>AI140*VLOOKUP('Données projet'!$B$10,Paramètres!$A$1:$I$89,3,0)*VLOOKUP('Données projet'!$B$10,Paramètres!$A$1:$I$89,5,0)</f>
        <v>275.96399999999983</v>
      </c>
      <c r="AK140" s="13">
        <f t="shared" si="143"/>
        <v>66.113366665488854</v>
      </c>
      <c r="AL140" s="20">
        <f t="shared" si="112"/>
        <v>595.78474694239264</v>
      </c>
      <c r="AM140" s="59">
        <f t="shared" si="113"/>
        <v>889.11808027572602</v>
      </c>
      <c r="AN140" s="59">
        <f ca="1">AVERAGE(OFFSET($AM$3,0,0,'Données projet'!$E$10+1,1))-AVERAGE(OFFSET($H$3,0,0,'Données projet'!$E$10+1,1))</f>
        <v>366.69125512029831</v>
      </c>
      <c r="AO140" s="59">
        <f t="shared" si="144"/>
        <v>513.80016421153414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0.19418752783931756</v>
      </c>
      <c r="AV140" s="21">
        <f>EXP(-LN(2)/25)*AV139+(1-EXP(-LN(2)/25))/(LN(2)/25)*Calculateur!AQ140*Calculateur!AS140*VLOOKUP('Données projet'!$B$10,Paramètres!$A$1:$I$89,3,0)*0.475*44/12</f>
        <v>0.38003600416856226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0.57422353200787979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212.28480000000002</v>
      </c>
      <c r="BF140" s="13">
        <f t="shared" si="145"/>
        <v>52.434557099704193</v>
      </c>
      <c r="BG140" s="20">
        <f t="shared" si="115"/>
        <v>461.05288028198476</v>
      </c>
      <c r="BH140" s="59">
        <f t="shared" si="116"/>
        <v>754.38621361531807</v>
      </c>
      <c r="BI140" s="59">
        <f ca="1">AVERAGE(OFFSET($BH$3,0,0,'Données projet'!$E$11+1,1))-AVERAGE(OFFSET($H$3,0,0,'Données projet'!$E$11+1,1))</f>
        <v>354.24684313982857</v>
      </c>
      <c r="BJ140" s="59">
        <f t="shared" si="146"/>
        <v>322.65043486962185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13.097059101470016</v>
      </c>
      <c r="BQ140" s="21">
        <f>EXP(-LN(2)/25)*BQ139+(1-EXP(-LN(2)/25))/(LN(2)/25)*Calculateur!BL140*Calculateur!BN140*VLOOKUP('Données projet'!$B$11,Paramètres!$A$1:$I$89,3,0)*0.475*44/12</f>
        <v>5.3380891286900214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18.435148230160038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5.4978954722173515E-13</v>
      </c>
      <c r="CA140" s="13">
        <f t="shared" si="147"/>
        <v>6.7731340873355904E-12</v>
      </c>
      <c r="CB140" s="20">
        <f t="shared" si="118"/>
        <v>1.2754091996854009E-11</v>
      </c>
      <c r="CC140" s="59">
        <f t="shared" si="119"/>
        <v>293.33333333334605</v>
      </c>
      <c r="CD140" s="59">
        <f ca="1">AVERAGE(OFFSET($CC$3,0,0,'Données projet'!$E$12+1,1))-AVERAGE(OFFSET($H$3,0,0,'Données projet'!$E$12+1,1))</f>
        <v>407.73540492005355</v>
      </c>
      <c r="CE140" s="59">
        <f t="shared" si="148"/>
        <v>296.29416764204774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162.30004854260935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162.30004854260935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266.99999999999983</v>
      </c>
      <c r="CU140" s="17">
        <f>CT140*VLOOKUP('Données projet'!$B$13,Paramètres!$A$1:$I$89,3,0)*VLOOKUP('Données projet'!$B$13,Paramètres!$A$1:$I$89,5,0)</f>
        <v>212.42519999999985</v>
      </c>
      <c r="CV140" s="13">
        <f t="shared" si="149"/>
        <v>52.465198231787184</v>
      </c>
      <c r="CW140" s="20">
        <f t="shared" si="121"/>
        <v>461.35077692036231</v>
      </c>
      <c r="CX140" s="59">
        <f t="shared" si="122"/>
        <v>754.68411025369562</v>
      </c>
      <c r="CY140" s="59">
        <f ca="1">AVERAGE(OFFSET($CX$3,0,0,'Données projet'!$E$13+1,1))-AVERAGE(OFFSET($H$3,0,0,'Données projet'!$E$13+1,1))</f>
        <v>299.10536994156814</v>
      </c>
      <c r="CZ140" s="59">
        <f t="shared" si="150"/>
        <v>292.57799203101769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9.3113522828737612</v>
      </c>
      <c r="DG140" s="21">
        <f>EXP(-LN(2)/25)*DG139+(1-EXP(-LN(2)/25))/(LN(2)/25)*Calculateur!DB140*Calculateur!DD140*VLOOKUP('Données projet'!$B$13,Paramètres!$A$1:$I$89,3,0)*0.475*44/12</f>
        <v>1.7149059681228638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11.026258250996625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266.99999999999983</v>
      </c>
      <c r="DP140" s="17">
        <f>DO140*VLOOKUP('Données projet'!$B$14,Paramètres!$A$1:$I$89,3,0)*VLOOKUP('Données projet'!$B$14,Paramètres!$A$1:$I$89,5,0)</f>
        <v>212.42519999999985</v>
      </c>
      <c r="DQ140" s="13">
        <f t="shared" si="151"/>
        <v>52.465198231787184</v>
      </c>
      <c r="DR140" s="20">
        <f t="shared" si="124"/>
        <v>461.35077692036231</v>
      </c>
      <c r="DS140" s="59">
        <f t="shared" si="125"/>
        <v>754.68411025369562</v>
      </c>
      <c r="DT140" s="59">
        <f ca="1">AVERAGE(OFFSET($DS$3,0,0,'Données projet'!$E$14+1,1))-AVERAGE(OFFSET($H$3,0,0,'Données projet'!$E$14+1,1))</f>
        <v>299.10536994156814</v>
      </c>
      <c r="DU140" s="59">
        <f t="shared" si="152"/>
        <v>292.57799203101769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9.3113522828737612</v>
      </c>
      <c r="EB140" s="21">
        <f>EXP(-LN(2)/25)*EB139+(1-EXP(-LN(2)/25))/(LN(2)/25)*Calculateur!DW140*Calculateur!DY140*VLOOKUP('Données projet'!$B$14,Paramètres!$A$1:$I$89,3,0)*0.475*44/12</f>
        <v>1.7149059681228638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11.026258250996625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204.00000000000017</v>
      </c>
      <c r="EK140" s="17">
        <f>EJ140*VLOOKUP('Données projet'!$B$15,Paramètres!$A$1:$I$89,3,0)*VLOOKUP('Données projet'!$B$15,Paramètres!$A$1:$I$89,5,0)</f>
        <v>133.66080000000011</v>
      </c>
      <c r="EL140" s="13">
        <f t="shared" si="153"/>
        <v>34.840890682716783</v>
      </c>
      <c r="EM140" s="20">
        <f t="shared" si="127"/>
        <v>293.4737779390652</v>
      </c>
      <c r="EN140" s="59">
        <f t="shared" si="128"/>
        <v>586.80711127239852</v>
      </c>
      <c r="EO140" s="59">
        <f ca="1">AVERAGE(OFFSET($EN$3,0,0,'Données projet'!$E$15+1,1))-AVERAGE(OFFSET($H$3,0,0,'Données projet'!$E$15+1,1))</f>
        <v>230.58262378842818</v>
      </c>
      <c r="EP140" s="59">
        <f t="shared" si="154"/>
        <v>235.68746142880792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0.75284164777888418</v>
      </c>
      <c r="EW140" s="21">
        <f>EXP(-LN(2)/25)*EW139+(1-EXP(-LN(2)/25))/(LN(2)/25)*Calculateur!ER140*Calculateur!ET140*VLOOKUP('Données projet'!$B$15,Paramètres!$A$1:$I$89,3,0)*0.475*44/12</f>
        <v>2.9309692231412021</v>
      </c>
      <c r="EX140" s="21">
        <f>EXP(-LN(2)/2)*EX139+(1-EXP(-LN(2)/2))/(LN(2)/2)*ER140*EU140*VLOOKUP('Données projet'!$B$15,Paramètres!$A$1:$I$89,3,0)*0.475*44/12</f>
        <v>2.5094896717311407E-7</v>
      </c>
      <c r="EY140" s="22">
        <f t="shared" si="129"/>
        <v>3.6838111218690539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234.00000000000003</v>
      </c>
      <c r="FF140" s="17">
        <f>FE140*VLOOKUP('Données projet'!$B$16,Paramètres!$A$1:$I$89,3,0)*VLOOKUP('Données projet'!$B$16,Paramètres!$A$1:$I$89,5,0)</f>
        <v>189.82080000000005</v>
      </c>
      <c r="FG140" s="13">
        <f t="shared" si="155"/>
        <v>47.500332100049796</v>
      </c>
      <c r="FH140" s="20">
        <f t="shared" si="130"/>
        <v>413.33430507425345</v>
      </c>
      <c r="FI140" s="59">
        <f t="shared" si="131"/>
        <v>706.66763840758676</v>
      </c>
      <c r="FJ140" s="59">
        <f ca="1">AVERAGE(OFFSET($FI$3,0,0,'Données projet'!$E$16+1,1))-AVERAGE(OFFSET($H$3,0,0,'Données projet'!$E$16+1,1))</f>
        <v>272.90535195666996</v>
      </c>
      <c r="FK140" s="59">
        <f t="shared" si="156"/>
        <v>222.25422164416898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1.8430082268926655</v>
      </c>
      <c r="FR140" s="21">
        <f>EXP(-LN(2)/25)*FR139+(1-EXP(-LN(2)/25))/(LN(2)/25)*Calculateur!FM140*Calculateur!FO140*VLOOKUP('Données projet'!$B$16,Paramètres!$A$1:$I$89,3,0)*0.475*44/12</f>
        <v>3.3461414885638097</v>
      </c>
      <c r="FS140" s="21">
        <f>EXP(-LN(2)/2)*FS139+(1-EXP(-LN(2)/2))/(LN(2)/2)*FM140*FP140*VLOOKUP('Données projet'!$B$16,Paramètres!$A$1:$I$89,3,0)*0.475*44/12</f>
        <v>1.1413486844852425E-7</v>
      </c>
      <c r="FT140" s="22">
        <f t="shared" si="132"/>
        <v>5.1891498295913436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293.33333333334531</v>
      </c>
      <c r="S141" s="59">
        <f ca="1">AVERAGE(OFFSET($R$3,0,0,'Données projet'!$E$9+1,1))-AVERAGE(OFFSET($H$3,0,0,'Données projet'!$E$9+1,1))</f>
        <v>384.05928630855732</v>
      </c>
      <c r="T141" s="59">
        <f t="shared" si="142"/>
        <v>279.93992813630513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304.99999999999983</v>
      </c>
      <c r="AJ141" s="13">
        <f>AI141*VLOOKUP('Données projet'!$B$10,Paramètres!$A$1:$I$89,3,0)*VLOOKUP('Données projet'!$B$10,Paramètres!$A$1:$I$89,5,0)</f>
        <v>275.96399999999983</v>
      </c>
      <c r="AK141" s="13">
        <f t="shared" si="143"/>
        <v>66.113366665488854</v>
      </c>
      <c r="AL141" s="20">
        <f t="shared" si="112"/>
        <v>595.78474694239264</v>
      </c>
      <c r="AM141" s="59">
        <f t="shared" si="113"/>
        <v>889.11808027572602</v>
      </c>
      <c r="AN141" s="59">
        <f ca="1">AVERAGE(OFFSET($AM$3,0,0,'Données projet'!$E$10+1,1))-AVERAGE(OFFSET($H$3,0,0,'Données projet'!$E$10+1,1))</f>
        <v>366.69125512029831</v>
      </c>
      <c r="AO141" s="59">
        <f t="shared" si="144"/>
        <v>513.80016421153414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0.19037962886108528</v>
      </c>
      <c r="AV141" s="21">
        <f>EXP(-LN(2)/25)*AV140+(1-EXP(-LN(2)/25))/(LN(2)/25)*Calculateur!AQ141*Calculateur!AS141*VLOOKUP('Données projet'!$B$10,Paramètres!$A$1:$I$89,3,0)*0.475*44/12</f>
        <v>0.36964389964934807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0.56002352851043335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212.28480000000002</v>
      </c>
      <c r="BF141" s="13">
        <f t="shared" si="145"/>
        <v>52.434557099704193</v>
      </c>
      <c r="BG141" s="20">
        <f t="shared" si="115"/>
        <v>461.05288028198476</v>
      </c>
      <c r="BH141" s="59">
        <f t="shared" si="116"/>
        <v>754.38621361531807</v>
      </c>
      <c r="BI141" s="59">
        <f ca="1">AVERAGE(OFFSET($BH$3,0,0,'Données projet'!$E$11+1,1))-AVERAGE(OFFSET($H$3,0,0,'Données projet'!$E$11+1,1))</f>
        <v>354.24684313982857</v>
      </c>
      <c r="BJ141" s="59">
        <f t="shared" si="146"/>
        <v>322.65043486962185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12.84023376090745</v>
      </c>
      <c r="BQ141" s="21">
        <f>EXP(-LN(2)/25)*BQ140+(1-EXP(-LN(2)/25))/(LN(2)/25)*Calculateur!BL141*Calculateur!BN141*VLOOKUP('Données projet'!$B$11,Paramètres!$A$1:$I$89,3,0)*0.475*44/12</f>
        <v>5.1921188007480854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18.032352561655536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5.4978954722173515E-13</v>
      </c>
      <c r="CA141" s="13">
        <f t="shared" si="147"/>
        <v>6.7731340873355904E-12</v>
      </c>
      <c r="CB141" s="20">
        <f t="shared" si="118"/>
        <v>1.2754091996854009E-11</v>
      </c>
      <c r="CC141" s="59">
        <f t="shared" si="119"/>
        <v>293.33333333334605</v>
      </c>
      <c r="CD141" s="59">
        <f ca="1">AVERAGE(OFFSET($CC$3,0,0,'Données projet'!$E$12+1,1))-AVERAGE(OFFSET($H$3,0,0,'Données projet'!$E$12+1,1))</f>
        <v>407.73540492005355</v>
      </c>
      <c r="CE141" s="59">
        <f t="shared" si="148"/>
        <v>296.29416764204774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159.11744358394361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159.11744358394361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266.99999999999983</v>
      </c>
      <c r="CU141" s="17">
        <f>CT141*VLOOKUP('Données projet'!$B$13,Paramètres!$A$1:$I$89,3,0)*VLOOKUP('Données projet'!$B$13,Paramètres!$A$1:$I$89,5,0)</f>
        <v>212.42519999999985</v>
      </c>
      <c r="CV141" s="13">
        <f t="shared" si="149"/>
        <v>52.465198231787184</v>
      </c>
      <c r="CW141" s="20">
        <f t="shared" si="121"/>
        <v>461.35077692036231</v>
      </c>
      <c r="CX141" s="59">
        <f t="shared" si="122"/>
        <v>754.68411025369562</v>
      </c>
      <c r="CY141" s="59">
        <f ca="1">AVERAGE(OFFSET($CX$3,0,0,'Données projet'!$E$13+1,1))-AVERAGE(OFFSET($H$3,0,0,'Données projet'!$E$13+1,1))</f>
        <v>299.10536994156814</v>
      </c>
      <c r="CZ141" s="59">
        <f t="shared" si="150"/>
        <v>292.57799203101769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9.128762343970708</v>
      </c>
      <c r="DG141" s="21">
        <f>EXP(-LN(2)/25)*DG140+(1-EXP(-LN(2)/25))/(LN(2)/25)*Calculateur!DB141*Calculateur!DD141*VLOOKUP('Données projet'!$B$13,Paramètres!$A$1:$I$89,3,0)*0.475*44/12</f>
        <v>1.6680117742415588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10.796774118212266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266.99999999999983</v>
      </c>
      <c r="DP141" s="17">
        <f>DO141*VLOOKUP('Données projet'!$B$14,Paramètres!$A$1:$I$89,3,0)*VLOOKUP('Données projet'!$B$14,Paramètres!$A$1:$I$89,5,0)</f>
        <v>212.42519999999985</v>
      </c>
      <c r="DQ141" s="13">
        <f t="shared" si="151"/>
        <v>52.465198231787184</v>
      </c>
      <c r="DR141" s="20">
        <f t="shared" si="124"/>
        <v>461.35077692036231</v>
      </c>
      <c r="DS141" s="59">
        <f t="shared" si="125"/>
        <v>754.68411025369562</v>
      </c>
      <c r="DT141" s="59">
        <f ca="1">AVERAGE(OFFSET($DS$3,0,0,'Données projet'!$E$14+1,1))-AVERAGE(OFFSET($H$3,0,0,'Données projet'!$E$14+1,1))</f>
        <v>299.10536994156814</v>
      </c>
      <c r="DU141" s="59">
        <f t="shared" si="152"/>
        <v>292.57799203101769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9.128762343970708</v>
      </c>
      <c r="EB141" s="21">
        <f>EXP(-LN(2)/25)*EB140+(1-EXP(-LN(2)/25))/(LN(2)/25)*Calculateur!DW141*Calculateur!DY141*VLOOKUP('Données projet'!$B$14,Paramètres!$A$1:$I$89,3,0)*0.475*44/12</f>
        <v>1.6680117742415588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10.796774118212266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204.00000000000017</v>
      </c>
      <c r="EK141" s="17">
        <f>EJ141*VLOOKUP('Données projet'!$B$15,Paramètres!$A$1:$I$89,3,0)*VLOOKUP('Données projet'!$B$15,Paramètres!$A$1:$I$89,5,0)</f>
        <v>133.66080000000011</v>
      </c>
      <c r="EL141" s="13">
        <f t="shared" si="153"/>
        <v>34.840890682716783</v>
      </c>
      <c r="EM141" s="20">
        <f t="shared" si="127"/>
        <v>293.4737779390652</v>
      </c>
      <c r="EN141" s="59">
        <f t="shared" si="128"/>
        <v>586.80711127239852</v>
      </c>
      <c r="EO141" s="59">
        <f ca="1">AVERAGE(OFFSET($EN$3,0,0,'Données projet'!$E$15+1,1))-AVERAGE(OFFSET($H$3,0,0,'Données projet'!$E$15+1,1))</f>
        <v>230.58262378842818</v>
      </c>
      <c r="EP141" s="59">
        <f t="shared" si="154"/>
        <v>235.68746142880792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0.73807888225400431</v>
      </c>
      <c r="EW141" s="21">
        <f>EXP(-LN(2)/25)*EW140+(1-EXP(-LN(2)/25))/(LN(2)/25)*Calculateur!ER141*Calculateur!ET141*VLOOKUP('Données projet'!$B$15,Paramètres!$A$1:$I$89,3,0)*0.475*44/12</f>
        <v>2.8508217156014335</v>
      </c>
      <c r="EX141" s="21">
        <f>EXP(-LN(2)/2)*EX140+(1-EXP(-LN(2)/2))/(LN(2)/2)*ER141*EU141*VLOOKUP('Données projet'!$B$15,Paramètres!$A$1:$I$89,3,0)*0.475*44/12</f>
        <v>1.7744771641986927E-7</v>
      </c>
      <c r="EY141" s="22">
        <f t="shared" si="129"/>
        <v>3.5889007753031543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234.00000000000003</v>
      </c>
      <c r="FF141" s="17">
        <f>FE141*VLOOKUP('Données projet'!$B$16,Paramètres!$A$1:$I$89,3,0)*VLOOKUP('Données projet'!$B$16,Paramètres!$A$1:$I$89,5,0)</f>
        <v>189.82080000000005</v>
      </c>
      <c r="FG141" s="13">
        <f t="shared" si="155"/>
        <v>47.500332100049796</v>
      </c>
      <c r="FH141" s="20">
        <f t="shared" si="130"/>
        <v>413.33430507425345</v>
      </c>
      <c r="FI141" s="59">
        <f t="shared" si="131"/>
        <v>706.66763840758676</v>
      </c>
      <c r="FJ141" s="59">
        <f ca="1">AVERAGE(OFFSET($FI$3,0,0,'Données projet'!$E$16+1,1))-AVERAGE(OFFSET($H$3,0,0,'Données projet'!$E$16+1,1))</f>
        <v>272.90535195666996</v>
      </c>
      <c r="FK141" s="59">
        <f t="shared" si="156"/>
        <v>222.25422164416898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1.8068679596873207</v>
      </c>
      <c r="FR141" s="21">
        <f>EXP(-LN(2)/25)*FR140+(1-EXP(-LN(2)/25))/(LN(2)/25)*Calculateur!FM141*Calculateur!FO141*VLOOKUP('Données projet'!$B$16,Paramètres!$A$1:$I$89,3,0)*0.475*44/12</f>
        <v>3.2546410735930991</v>
      </c>
      <c r="FS141" s="21">
        <f>EXP(-LN(2)/2)*FS140+(1-EXP(-LN(2)/2))/(LN(2)/2)*FM141*FP141*VLOOKUP('Données projet'!$B$16,Paramètres!$A$1:$I$89,3,0)*0.475*44/12</f>
        <v>8.0705539449786026E-8</v>
      </c>
      <c r="FT141" s="22">
        <f t="shared" si="132"/>
        <v>5.0615091139859585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293.33333333334531</v>
      </c>
      <c r="S142" s="59">
        <f ca="1">AVERAGE(OFFSET($R$3,0,0,'Données projet'!$E$9+1,1))-AVERAGE(OFFSET($H$3,0,0,'Données projet'!$E$9+1,1))</f>
        <v>384.05928630855732</v>
      </c>
      <c r="T142" s="59">
        <f t="shared" si="142"/>
        <v>279.93992813630513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304.99999999999983</v>
      </c>
      <c r="AJ142" s="13">
        <f>AI142*VLOOKUP('Données projet'!$B$10,Paramètres!$A$1:$I$89,3,0)*VLOOKUP('Données projet'!$B$10,Paramètres!$A$1:$I$89,5,0)</f>
        <v>275.96399999999983</v>
      </c>
      <c r="AK142" s="13">
        <f t="shared" si="143"/>
        <v>66.113366665488854</v>
      </c>
      <c r="AL142" s="20">
        <f t="shared" si="112"/>
        <v>595.78474694239264</v>
      </c>
      <c r="AM142" s="59">
        <f t="shared" si="113"/>
        <v>889.11808027572602</v>
      </c>
      <c r="AN142" s="59">
        <f ca="1">AVERAGE(OFFSET($AM$3,0,0,'Données projet'!$E$10+1,1))-AVERAGE(OFFSET($H$3,0,0,'Données projet'!$E$10+1,1))</f>
        <v>366.69125512029831</v>
      </c>
      <c r="AO142" s="59">
        <f t="shared" si="144"/>
        <v>513.80016421153414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0.18664640045922709</v>
      </c>
      <c r="AV142" s="21">
        <f>EXP(-LN(2)/25)*AV141+(1-EXP(-LN(2)/25))/(LN(2)/25)*Calculateur!AQ142*Calculateur!AS142*VLOOKUP('Données projet'!$B$10,Paramètres!$A$1:$I$89,3,0)*0.475*44/12</f>
        <v>0.35953596777470881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0.54618236823393596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212.28480000000002</v>
      </c>
      <c r="BF142" s="13">
        <f t="shared" si="145"/>
        <v>52.434557099704193</v>
      </c>
      <c r="BG142" s="20">
        <f t="shared" si="115"/>
        <v>461.05288028198476</v>
      </c>
      <c r="BH142" s="59">
        <f t="shared" si="116"/>
        <v>754.38621361531807</v>
      </c>
      <c r="BI142" s="59">
        <f ca="1">AVERAGE(OFFSET($BH$3,0,0,'Données projet'!$E$11+1,1))-AVERAGE(OFFSET($H$3,0,0,'Données projet'!$E$11+1,1))</f>
        <v>354.24684313982857</v>
      </c>
      <c r="BJ142" s="59">
        <f t="shared" si="146"/>
        <v>322.65043486962185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12.588444608625327</v>
      </c>
      <c r="BQ142" s="21">
        <f>EXP(-LN(2)/25)*BQ141+(1-EXP(-LN(2)/25))/(LN(2)/25)*Calculateur!BL142*Calculateur!BN142*VLOOKUP('Données projet'!$B$11,Paramètres!$A$1:$I$89,3,0)*0.475*44/12</f>
        <v>5.0501400390999684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17.638584647725295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5.4978954722173515E-13</v>
      </c>
      <c r="CA142" s="13">
        <f t="shared" si="147"/>
        <v>6.7731340873355904E-12</v>
      </c>
      <c r="CB142" s="20">
        <f t="shared" si="118"/>
        <v>1.2754091996854009E-11</v>
      </c>
      <c r="CC142" s="59">
        <f t="shared" si="119"/>
        <v>293.33333333334605</v>
      </c>
      <c r="CD142" s="59">
        <f ca="1">AVERAGE(OFFSET($CC$3,0,0,'Données projet'!$E$12+1,1))-AVERAGE(OFFSET($H$3,0,0,'Données projet'!$E$12+1,1))</f>
        <v>407.73540492005355</v>
      </c>
      <c r="CE142" s="59">
        <f t="shared" si="148"/>
        <v>296.29416764204774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155.99724756731996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155.99724756731996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266.99999999999983</v>
      </c>
      <c r="CU142" s="17">
        <f>CT142*VLOOKUP('Données projet'!$B$13,Paramètres!$A$1:$I$89,3,0)*VLOOKUP('Données projet'!$B$13,Paramètres!$A$1:$I$89,5,0)</f>
        <v>212.42519999999985</v>
      </c>
      <c r="CV142" s="13">
        <f t="shared" si="149"/>
        <v>52.465198231787184</v>
      </c>
      <c r="CW142" s="20">
        <f t="shared" si="121"/>
        <v>461.35077692036231</v>
      </c>
      <c r="CX142" s="59">
        <f t="shared" si="122"/>
        <v>754.68411025369562</v>
      </c>
      <c r="CY142" s="59">
        <f ca="1">AVERAGE(OFFSET($CX$3,0,0,'Données projet'!$E$13+1,1))-AVERAGE(OFFSET($H$3,0,0,'Données projet'!$E$13+1,1))</f>
        <v>299.10536994156814</v>
      </c>
      <c r="CZ142" s="59">
        <f t="shared" si="150"/>
        <v>292.57799203101769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8.9497528824006789</v>
      </c>
      <c r="DG142" s="21">
        <f>EXP(-LN(2)/25)*DG141+(1-EXP(-LN(2)/25))/(LN(2)/25)*Calculateur!DB142*Calculateur!DD142*VLOOKUP('Données projet'!$B$13,Paramètres!$A$1:$I$89,3,0)*0.475*44/12</f>
        <v>1.6223999045579964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10.572152786958675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266.99999999999983</v>
      </c>
      <c r="DP142" s="17">
        <f>DO142*VLOOKUP('Données projet'!$B$14,Paramètres!$A$1:$I$89,3,0)*VLOOKUP('Données projet'!$B$14,Paramètres!$A$1:$I$89,5,0)</f>
        <v>212.42519999999985</v>
      </c>
      <c r="DQ142" s="13">
        <f t="shared" si="151"/>
        <v>52.465198231787184</v>
      </c>
      <c r="DR142" s="20">
        <f t="shared" si="124"/>
        <v>461.35077692036231</v>
      </c>
      <c r="DS142" s="59">
        <f t="shared" si="125"/>
        <v>754.68411025369562</v>
      </c>
      <c r="DT142" s="59">
        <f ca="1">AVERAGE(OFFSET($DS$3,0,0,'Données projet'!$E$14+1,1))-AVERAGE(OFFSET($H$3,0,0,'Données projet'!$E$14+1,1))</f>
        <v>299.10536994156814</v>
      </c>
      <c r="DU142" s="59">
        <f t="shared" si="152"/>
        <v>292.57799203101769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8.9497528824006789</v>
      </c>
      <c r="EB142" s="21">
        <f>EXP(-LN(2)/25)*EB141+(1-EXP(-LN(2)/25))/(LN(2)/25)*Calculateur!DW142*Calculateur!DY142*VLOOKUP('Données projet'!$B$14,Paramètres!$A$1:$I$89,3,0)*0.475*44/12</f>
        <v>1.6223999045579964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10.572152786958675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204.00000000000017</v>
      </c>
      <c r="EK142" s="17">
        <f>EJ142*VLOOKUP('Données projet'!$B$15,Paramètres!$A$1:$I$89,3,0)*VLOOKUP('Données projet'!$B$15,Paramètres!$A$1:$I$89,5,0)</f>
        <v>133.66080000000011</v>
      </c>
      <c r="EL142" s="13">
        <f t="shared" si="153"/>
        <v>34.840890682716783</v>
      </c>
      <c r="EM142" s="20">
        <f t="shared" si="127"/>
        <v>293.4737779390652</v>
      </c>
      <c r="EN142" s="59">
        <f t="shared" si="128"/>
        <v>586.80711127239852</v>
      </c>
      <c r="EO142" s="59">
        <f ca="1">AVERAGE(OFFSET($EN$3,0,0,'Données projet'!$E$15+1,1))-AVERAGE(OFFSET($H$3,0,0,'Données projet'!$E$15+1,1))</f>
        <v>230.58262378842818</v>
      </c>
      <c r="EP142" s="59">
        <f t="shared" si="154"/>
        <v>235.68746142880792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0.72360560555666953</v>
      </c>
      <c r="EW142" s="21">
        <f>EXP(-LN(2)/25)*EW141+(1-EXP(-LN(2)/25))/(LN(2)/25)*Calculateur!ER142*Calculateur!ET142*VLOOKUP('Données projet'!$B$15,Paramètres!$A$1:$I$89,3,0)*0.475*44/12</f>
        <v>2.7728658458701139</v>
      </c>
      <c r="EX142" s="21">
        <f>EXP(-LN(2)/2)*EX141+(1-EXP(-LN(2)/2))/(LN(2)/2)*ER142*EU142*VLOOKUP('Données projet'!$B$15,Paramètres!$A$1:$I$89,3,0)*0.475*44/12</f>
        <v>1.2547448358655704E-7</v>
      </c>
      <c r="EY142" s="22">
        <f t="shared" si="129"/>
        <v>3.4964715769012673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234.00000000000003</v>
      </c>
      <c r="FF142" s="17">
        <f>FE142*VLOOKUP('Données projet'!$B$16,Paramètres!$A$1:$I$89,3,0)*VLOOKUP('Données projet'!$B$16,Paramètres!$A$1:$I$89,5,0)</f>
        <v>189.82080000000005</v>
      </c>
      <c r="FG142" s="13">
        <f t="shared" si="155"/>
        <v>47.500332100049796</v>
      </c>
      <c r="FH142" s="20">
        <f t="shared" si="130"/>
        <v>413.33430507425345</v>
      </c>
      <c r="FI142" s="59">
        <f t="shared" si="131"/>
        <v>706.66763840758676</v>
      </c>
      <c r="FJ142" s="59">
        <f ca="1">AVERAGE(OFFSET($FI$3,0,0,'Données projet'!$E$16+1,1))-AVERAGE(OFFSET($H$3,0,0,'Données projet'!$E$16+1,1))</f>
        <v>272.90535195666996</v>
      </c>
      <c r="FK142" s="59">
        <f t="shared" si="156"/>
        <v>222.25422164416898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1.7714363810784863</v>
      </c>
      <c r="FR142" s="21">
        <f>EXP(-LN(2)/25)*FR141+(1-EXP(-LN(2)/25))/(LN(2)/25)*Calculateur!FM142*Calculateur!FO142*VLOOKUP('Données projet'!$B$16,Paramètres!$A$1:$I$89,3,0)*0.475*44/12</f>
        <v>3.1656427422815603</v>
      </c>
      <c r="FS142" s="21">
        <f>EXP(-LN(2)/2)*FS141+(1-EXP(-LN(2)/2))/(LN(2)/2)*FM142*FP142*VLOOKUP('Données projet'!$B$16,Paramètres!$A$1:$I$89,3,0)*0.475*44/12</f>
        <v>5.7067434224262127E-8</v>
      </c>
      <c r="FT142" s="22">
        <f t="shared" si="132"/>
        <v>4.9370791804274807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293.33333333334531</v>
      </c>
      <c r="S143" s="59">
        <f ca="1">AVERAGE(OFFSET($R$3,0,0,'Données projet'!$E$9+1,1))-AVERAGE(OFFSET($H$3,0,0,'Données projet'!$E$9+1,1))</f>
        <v>384.05928630855732</v>
      </c>
      <c r="T143" s="59">
        <f t="shared" si="142"/>
        <v>279.93992813630513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304.99999999999983</v>
      </c>
      <c r="AJ143" s="13">
        <f>AI143*VLOOKUP('Données projet'!$B$10,Paramètres!$A$1:$I$89,3,0)*VLOOKUP('Données projet'!$B$10,Paramètres!$A$1:$I$89,5,0)</f>
        <v>275.96399999999983</v>
      </c>
      <c r="AK143" s="13">
        <f t="shared" si="143"/>
        <v>66.113366665488854</v>
      </c>
      <c r="AL143" s="20">
        <f t="shared" si="112"/>
        <v>595.78474694239264</v>
      </c>
      <c r="AM143" s="59">
        <f t="shared" si="113"/>
        <v>889.11808027572602</v>
      </c>
      <c r="AN143" s="59">
        <f ca="1">AVERAGE(OFFSET($AM$3,0,0,'Données projet'!$E$10+1,1))-AVERAGE(OFFSET($H$3,0,0,'Données projet'!$E$10+1,1))</f>
        <v>366.69125512029831</v>
      </c>
      <c r="AO143" s="59">
        <f t="shared" si="144"/>
        <v>513.80016421153414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0.18298637838928486</v>
      </c>
      <c r="AV143" s="21">
        <f>EXP(-LN(2)/25)*AV142+(1-EXP(-LN(2)/25))/(LN(2)/25)*Calculateur!AQ143*Calculateur!AS143*VLOOKUP('Données projet'!$B$10,Paramètres!$A$1:$I$89,3,0)*0.475*44/12</f>
        <v>0.34970443782873456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0.53269081621801939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212.28480000000002</v>
      </c>
      <c r="BF143" s="13">
        <f t="shared" si="145"/>
        <v>52.434557099704193</v>
      </c>
      <c r="BG143" s="20">
        <f t="shared" si="115"/>
        <v>461.05288028198476</v>
      </c>
      <c r="BH143" s="59">
        <f t="shared" si="116"/>
        <v>754.38621361531807</v>
      </c>
      <c r="BI143" s="59">
        <f ca="1">AVERAGE(OFFSET($BH$3,0,0,'Données projet'!$E$11+1,1))-AVERAGE(OFFSET($H$3,0,0,'Données projet'!$E$11+1,1))</f>
        <v>354.24684313982857</v>
      </c>
      <c r="BJ143" s="59">
        <f t="shared" si="146"/>
        <v>322.65043486962185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12.341592888043238</v>
      </c>
      <c r="BQ143" s="21">
        <f>EXP(-LN(2)/25)*BQ142+(1-EXP(-LN(2)/25))/(LN(2)/25)*Calculateur!BL143*Calculateur!BN143*VLOOKUP('Données projet'!$B$11,Paramètres!$A$1:$I$89,3,0)*0.475*44/12</f>
        <v>4.9120436941554573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17.253636582198695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5.4978954722173515E-13</v>
      </c>
      <c r="CA143" s="13">
        <f t="shared" si="147"/>
        <v>6.7731340873355904E-12</v>
      </c>
      <c r="CB143" s="20">
        <f t="shared" si="118"/>
        <v>1.2754091996854009E-11</v>
      </c>
      <c r="CC143" s="59">
        <f t="shared" si="119"/>
        <v>293.33333333334605</v>
      </c>
      <c r="CD143" s="59">
        <f ca="1">AVERAGE(OFFSET($CC$3,0,0,'Données projet'!$E$12+1,1))-AVERAGE(OFFSET($H$3,0,0,'Données projet'!$E$12+1,1))</f>
        <v>407.73540492005355</v>
      </c>
      <c r="CE143" s="59">
        <f t="shared" si="148"/>
        <v>296.29416764204774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152.93823669145067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152.93823669145067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266.99999999999983</v>
      </c>
      <c r="CU143" s="17">
        <f>CT143*VLOOKUP('Données projet'!$B$13,Paramètres!$A$1:$I$89,3,0)*VLOOKUP('Données projet'!$B$13,Paramètres!$A$1:$I$89,5,0)</f>
        <v>212.42519999999985</v>
      </c>
      <c r="CV143" s="13">
        <f t="shared" si="149"/>
        <v>52.465198231787184</v>
      </c>
      <c r="CW143" s="20">
        <f t="shared" si="121"/>
        <v>461.35077692036231</v>
      </c>
      <c r="CX143" s="59">
        <f t="shared" si="122"/>
        <v>754.68411025369562</v>
      </c>
      <c r="CY143" s="59">
        <f ca="1">AVERAGE(OFFSET($CX$3,0,0,'Données projet'!$E$13+1,1))-AVERAGE(OFFSET($H$3,0,0,'Données projet'!$E$13+1,1))</f>
        <v>299.10536994156814</v>
      </c>
      <c r="CZ143" s="59">
        <f t="shared" si="150"/>
        <v>292.57799203101769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8.7742536871870467</v>
      </c>
      <c r="DG143" s="21">
        <f>EXP(-LN(2)/25)*DG142+(1-EXP(-LN(2)/25))/(LN(2)/25)*Calculateur!DB143*Calculateur!DD143*VLOOKUP('Données projet'!$B$13,Paramètres!$A$1:$I$89,3,0)*0.475*44/12</f>
        <v>1.578035293849555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10.352288981036601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266.99999999999983</v>
      </c>
      <c r="DP143" s="17">
        <f>DO143*VLOOKUP('Données projet'!$B$14,Paramètres!$A$1:$I$89,3,0)*VLOOKUP('Données projet'!$B$14,Paramètres!$A$1:$I$89,5,0)</f>
        <v>212.42519999999985</v>
      </c>
      <c r="DQ143" s="13">
        <f t="shared" si="151"/>
        <v>52.465198231787184</v>
      </c>
      <c r="DR143" s="20">
        <f t="shared" si="124"/>
        <v>461.35077692036231</v>
      </c>
      <c r="DS143" s="59">
        <f t="shared" si="125"/>
        <v>754.68411025369562</v>
      </c>
      <c r="DT143" s="59">
        <f ca="1">AVERAGE(OFFSET($DS$3,0,0,'Données projet'!$E$14+1,1))-AVERAGE(OFFSET($H$3,0,0,'Données projet'!$E$14+1,1))</f>
        <v>299.10536994156814</v>
      </c>
      <c r="DU143" s="59">
        <f t="shared" si="152"/>
        <v>292.57799203101769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8.7742536871870467</v>
      </c>
      <c r="EB143" s="21">
        <f>EXP(-LN(2)/25)*EB142+(1-EXP(-LN(2)/25))/(LN(2)/25)*Calculateur!DW143*Calculateur!DY143*VLOOKUP('Données projet'!$B$14,Paramètres!$A$1:$I$89,3,0)*0.475*44/12</f>
        <v>1.578035293849555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10.352288981036601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204.00000000000017</v>
      </c>
      <c r="EK143" s="17">
        <f>EJ143*VLOOKUP('Données projet'!$B$15,Paramètres!$A$1:$I$89,3,0)*VLOOKUP('Données projet'!$B$15,Paramètres!$A$1:$I$89,5,0)</f>
        <v>133.66080000000011</v>
      </c>
      <c r="EL143" s="13">
        <f t="shared" si="153"/>
        <v>34.840890682716783</v>
      </c>
      <c r="EM143" s="20">
        <f t="shared" si="127"/>
        <v>293.4737779390652</v>
      </c>
      <c r="EN143" s="59">
        <f t="shared" si="128"/>
        <v>586.80711127239852</v>
      </c>
      <c r="EO143" s="59">
        <f ca="1">AVERAGE(OFFSET($EN$3,0,0,'Données projet'!$E$15+1,1))-AVERAGE(OFFSET($H$3,0,0,'Données projet'!$E$15+1,1))</f>
        <v>230.58262378842818</v>
      </c>
      <c r="EP143" s="59">
        <f t="shared" si="154"/>
        <v>235.68746142880792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0.70941614098754235</v>
      </c>
      <c r="EW143" s="21">
        <f>EXP(-LN(2)/25)*EW142+(1-EXP(-LN(2)/25))/(LN(2)/25)*Calculateur!ER143*Calculateur!ET143*VLOOKUP('Données projet'!$B$15,Paramètres!$A$1:$I$89,3,0)*0.475*44/12</f>
        <v>2.6970416834961184</v>
      </c>
      <c r="EX143" s="21">
        <f>EXP(-LN(2)/2)*EX142+(1-EXP(-LN(2)/2))/(LN(2)/2)*ER143*EU143*VLOOKUP('Données projet'!$B$15,Paramètres!$A$1:$I$89,3,0)*0.475*44/12</f>
        <v>8.8723858209934636E-8</v>
      </c>
      <c r="EY143" s="22">
        <f t="shared" si="129"/>
        <v>3.4064579132075186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234.00000000000003</v>
      </c>
      <c r="FF143" s="17">
        <f>FE143*VLOOKUP('Données projet'!$B$16,Paramètres!$A$1:$I$89,3,0)*VLOOKUP('Données projet'!$B$16,Paramètres!$A$1:$I$89,5,0)</f>
        <v>189.82080000000005</v>
      </c>
      <c r="FG143" s="13">
        <f t="shared" si="155"/>
        <v>47.500332100049796</v>
      </c>
      <c r="FH143" s="20">
        <f t="shared" si="130"/>
        <v>413.33430507425345</v>
      </c>
      <c r="FI143" s="59">
        <f t="shared" si="131"/>
        <v>706.66763840758676</v>
      </c>
      <c r="FJ143" s="59">
        <f ca="1">AVERAGE(OFFSET($FI$3,0,0,'Données projet'!$E$16+1,1))-AVERAGE(OFFSET($H$3,0,0,'Données projet'!$E$16+1,1))</f>
        <v>272.90535195666996</v>
      </c>
      <c r="FK143" s="59">
        <f t="shared" si="156"/>
        <v>222.25422164416898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1.7366995941150423</v>
      </c>
      <c r="FR143" s="21">
        <f>EXP(-LN(2)/25)*FR142+(1-EXP(-LN(2)/25))/(LN(2)/25)*Calculateur!FM143*Calculateur!FO143*VLOOKUP('Données projet'!$B$16,Paramètres!$A$1:$I$89,3,0)*0.475*44/12</f>
        <v>3.0790780750199542</v>
      </c>
      <c r="FS143" s="21">
        <f>EXP(-LN(2)/2)*FS142+(1-EXP(-LN(2)/2))/(LN(2)/2)*FM143*FP143*VLOOKUP('Données projet'!$B$16,Paramètres!$A$1:$I$89,3,0)*0.475*44/12</f>
        <v>4.0352769724893013E-8</v>
      </c>
      <c r="FT143" s="22">
        <f t="shared" si="132"/>
        <v>4.815777709487767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293.33333333334531</v>
      </c>
      <c r="S144" s="59">
        <f ca="1">AVERAGE(OFFSET($R$3,0,0,'Données projet'!$E$9+1,1))-AVERAGE(OFFSET($H$3,0,0,'Données projet'!$E$9+1,1))</f>
        <v>384.05928630855732</v>
      </c>
      <c r="T144" s="59">
        <f t="shared" si="142"/>
        <v>279.93992813630513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304.99999999999983</v>
      </c>
      <c r="AJ144" s="13">
        <f>AI144*VLOOKUP('Données projet'!$B$10,Paramètres!$A$1:$I$89,3,0)*VLOOKUP('Données projet'!$B$10,Paramètres!$A$1:$I$89,5,0)</f>
        <v>275.96399999999983</v>
      </c>
      <c r="AK144" s="13">
        <f t="shared" si="143"/>
        <v>66.113366665488854</v>
      </c>
      <c r="AL144" s="20">
        <f t="shared" si="112"/>
        <v>595.78474694239264</v>
      </c>
      <c r="AM144" s="59">
        <f t="shared" si="113"/>
        <v>889.11808027572602</v>
      </c>
      <c r="AN144" s="59">
        <f ca="1">AVERAGE(OFFSET($AM$3,0,0,'Données projet'!$E$10+1,1))-AVERAGE(OFFSET($H$3,0,0,'Données projet'!$E$10+1,1))</f>
        <v>366.69125512029831</v>
      </c>
      <c r="AO144" s="59">
        <f t="shared" si="144"/>
        <v>513.80016421153414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0.17939812711974115</v>
      </c>
      <c r="AV144" s="21">
        <f>EXP(-LN(2)/25)*AV143+(1-EXP(-LN(2)/25))/(LN(2)/25)*Calculateur!AQ144*Calculateur!AS144*VLOOKUP('Données projet'!$B$10,Paramètres!$A$1:$I$89,3,0)*0.475*44/12</f>
        <v>0.34014175158615068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0.5195398787058918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212.28480000000002</v>
      </c>
      <c r="BF144" s="13">
        <f t="shared" si="145"/>
        <v>52.434557099704193</v>
      </c>
      <c r="BG144" s="20">
        <f t="shared" si="115"/>
        <v>461.05288028198476</v>
      </c>
      <c r="BH144" s="59">
        <f t="shared" si="116"/>
        <v>754.38621361531807</v>
      </c>
      <c r="BI144" s="59">
        <f ca="1">AVERAGE(OFFSET($BH$3,0,0,'Données projet'!$E$11+1,1))-AVERAGE(OFFSET($H$3,0,0,'Données projet'!$E$11+1,1))</f>
        <v>354.24684313982857</v>
      </c>
      <c r="BJ144" s="59">
        <f t="shared" si="146"/>
        <v>322.65043486962185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12.099581779137079</v>
      </c>
      <c r="BQ144" s="21">
        <f>EXP(-LN(2)/25)*BQ143+(1-EXP(-LN(2)/25))/(LN(2)/25)*Calculateur!BL144*Calculateur!BN144*VLOOKUP('Données projet'!$B$11,Paramètres!$A$1:$I$89,3,0)*0.475*44/12</f>
        <v>4.7777236010256248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16.877305380162703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5.4978954722173515E-13</v>
      </c>
      <c r="CA144" s="13">
        <f t="shared" si="147"/>
        <v>6.7731340873355904E-12</v>
      </c>
      <c r="CB144" s="20">
        <f t="shared" si="118"/>
        <v>1.2754091996854009E-11</v>
      </c>
      <c r="CC144" s="59">
        <f t="shared" si="119"/>
        <v>293.33333333334605</v>
      </c>
      <c r="CD144" s="59">
        <f ca="1">AVERAGE(OFFSET($CC$3,0,0,'Données projet'!$E$12+1,1))-AVERAGE(OFFSET($H$3,0,0,'Données projet'!$E$12+1,1))</f>
        <v>407.73540492005355</v>
      </c>
      <c r="CE144" s="59">
        <f t="shared" si="148"/>
        <v>296.29416764204774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149.93921115304477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149.93921115304477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266.99999999999983</v>
      </c>
      <c r="CU144" s="17">
        <f>CT144*VLOOKUP('Données projet'!$B$13,Paramètres!$A$1:$I$89,3,0)*VLOOKUP('Données projet'!$B$13,Paramètres!$A$1:$I$89,5,0)</f>
        <v>212.42519999999985</v>
      </c>
      <c r="CV144" s="13">
        <f t="shared" si="149"/>
        <v>52.465198231787184</v>
      </c>
      <c r="CW144" s="20">
        <f t="shared" si="121"/>
        <v>461.35077692036231</v>
      </c>
      <c r="CX144" s="59">
        <f t="shared" si="122"/>
        <v>754.68411025369562</v>
      </c>
      <c r="CY144" s="59">
        <f ca="1">AVERAGE(OFFSET($CX$3,0,0,'Données projet'!$E$13+1,1))-AVERAGE(OFFSET($H$3,0,0,'Données projet'!$E$13+1,1))</f>
        <v>299.10536994156814</v>
      </c>
      <c r="CZ144" s="59">
        <f t="shared" si="150"/>
        <v>292.57799203101769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8.6021959241476154</v>
      </c>
      <c r="DG144" s="21">
        <f>EXP(-LN(2)/25)*DG143+(1-EXP(-LN(2)/25))/(LN(2)/25)*Calculateur!DB144*Calculateur!DD144*VLOOKUP('Données projet'!$B$13,Paramètres!$A$1:$I$89,3,0)*0.475*44/12</f>
        <v>1.5348838357539694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10.137079759901585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266.99999999999983</v>
      </c>
      <c r="DP144" s="17">
        <f>DO144*VLOOKUP('Données projet'!$B$14,Paramètres!$A$1:$I$89,3,0)*VLOOKUP('Données projet'!$B$14,Paramètres!$A$1:$I$89,5,0)</f>
        <v>212.42519999999985</v>
      </c>
      <c r="DQ144" s="13">
        <f t="shared" si="151"/>
        <v>52.465198231787184</v>
      </c>
      <c r="DR144" s="20">
        <f t="shared" si="124"/>
        <v>461.35077692036231</v>
      </c>
      <c r="DS144" s="59">
        <f t="shared" si="125"/>
        <v>754.68411025369562</v>
      </c>
      <c r="DT144" s="59">
        <f ca="1">AVERAGE(OFFSET($DS$3,0,0,'Données projet'!$E$14+1,1))-AVERAGE(OFFSET($H$3,0,0,'Données projet'!$E$14+1,1))</f>
        <v>299.10536994156814</v>
      </c>
      <c r="DU144" s="59">
        <f t="shared" si="152"/>
        <v>292.57799203101769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8.6021959241476154</v>
      </c>
      <c r="EB144" s="21">
        <f>EXP(-LN(2)/25)*EB143+(1-EXP(-LN(2)/25))/(LN(2)/25)*Calculateur!DW144*Calculateur!DY144*VLOOKUP('Données projet'!$B$14,Paramètres!$A$1:$I$89,3,0)*0.475*44/12</f>
        <v>1.5348838357539694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10.137079759901585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204.00000000000017</v>
      </c>
      <c r="EK144" s="17">
        <f>EJ144*VLOOKUP('Données projet'!$B$15,Paramètres!$A$1:$I$89,3,0)*VLOOKUP('Données projet'!$B$15,Paramètres!$A$1:$I$89,5,0)</f>
        <v>133.66080000000011</v>
      </c>
      <c r="EL144" s="13">
        <f t="shared" si="153"/>
        <v>34.840890682716783</v>
      </c>
      <c r="EM144" s="20">
        <f t="shared" si="127"/>
        <v>293.4737779390652</v>
      </c>
      <c r="EN144" s="59">
        <f t="shared" si="128"/>
        <v>586.80711127239852</v>
      </c>
      <c r="EO144" s="59">
        <f ca="1">AVERAGE(OFFSET($EN$3,0,0,'Données projet'!$E$15+1,1))-AVERAGE(OFFSET($H$3,0,0,'Données projet'!$E$15+1,1))</f>
        <v>230.58262378842818</v>
      </c>
      <c r="EP144" s="59">
        <f t="shared" si="154"/>
        <v>235.68746142880792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0.695504923163897</v>
      </c>
      <c r="EW144" s="21">
        <f>EXP(-LN(2)/25)*EW143+(1-EXP(-LN(2)/25))/(LN(2)/25)*Calculateur!ER144*Calculateur!ET144*VLOOKUP('Données projet'!$B$15,Paramètres!$A$1:$I$89,3,0)*0.475*44/12</f>
        <v>2.6232909368296591</v>
      </c>
      <c r="EX144" s="21">
        <f>EXP(-LN(2)/2)*EX143+(1-EXP(-LN(2)/2))/(LN(2)/2)*ER144*EU144*VLOOKUP('Données projet'!$B$15,Paramètres!$A$1:$I$89,3,0)*0.475*44/12</f>
        <v>6.2737241793278518E-8</v>
      </c>
      <c r="EY144" s="22">
        <f t="shared" si="129"/>
        <v>3.3187959227307977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234.00000000000003</v>
      </c>
      <c r="FF144" s="17">
        <f>FE144*VLOOKUP('Données projet'!$B$16,Paramètres!$A$1:$I$89,3,0)*VLOOKUP('Données projet'!$B$16,Paramètres!$A$1:$I$89,5,0)</f>
        <v>189.82080000000005</v>
      </c>
      <c r="FG144" s="13">
        <f t="shared" si="155"/>
        <v>47.500332100049796</v>
      </c>
      <c r="FH144" s="20">
        <f t="shared" si="130"/>
        <v>413.33430507425345</v>
      </c>
      <c r="FI144" s="59">
        <f t="shared" si="131"/>
        <v>706.66763840758676</v>
      </c>
      <c r="FJ144" s="59">
        <f ca="1">AVERAGE(OFFSET($FI$3,0,0,'Données projet'!$E$16+1,1))-AVERAGE(OFFSET($H$3,0,0,'Données projet'!$E$16+1,1))</f>
        <v>272.90535195666996</v>
      </c>
      <c r="FK144" s="59">
        <f t="shared" si="156"/>
        <v>222.25422164416898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1.7026439743566033</v>
      </c>
      <c r="FR144" s="21">
        <f>EXP(-LN(2)/25)*FR143+(1-EXP(-LN(2)/25))/(LN(2)/25)*Calculateur!FM144*Calculateur!FO144*VLOOKUP('Données projet'!$B$16,Paramètres!$A$1:$I$89,3,0)*0.475*44/12</f>
        <v>2.9948805231368549</v>
      </c>
      <c r="FS144" s="21">
        <f>EXP(-LN(2)/2)*FS143+(1-EXP(-LN(2)/2))/(LN(2)/2)*FM144*FP144*VLOOKUP('Données projet'!$B$16,Paramètres!$A$1:$I$89,3,0)*0.475*44/12</f>
        <v>2.8533717112131064E-8</v>
      </c>
      <c r="FT144" s="22">
        <f t="shared" si="132"/>
        <v>4.6975245260271752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293.33333333334531</v>
      </c>
      <c r="S145" s="59">
        <f ca="1">AVERAGE(OFFSET($R$3,0,0,'Données projet'!$E$9+1,1))-AVERAGE(OFFSET($H$3,0,0,'Données projet'!$E$9+1,1))</f>
        <v>384.05928630855732</v>
      </c>
      <c r="T145" s="59">
        <f t="shared" si="142"/>
        <v>279.93992813630513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304.99999999999983</v>
      </c>
      <c r="AJ145" s="13">
        <f>AI145*VLOOKUP('Données projet'!$B$10,Paramètres!$A$1:$I$89,3,0)*VLOOKUP('Données projet'!$B$10,Paramètres!$A$1:$I$89,5,0)</f>
        <v>275.96399999999983</v>
      </c>
      <c r="AK145" s="13">
        <f t="shared" si="143"/>
        <v>66.113366665488854</v>
      </c>
      <c r="AL145" s="20">
        <f t="shared" si="112"/>
        <v>595.78474694239264</v>
      </c>
      <c r="AM145" s="59">
        <f t="shared" si="113"/>
        <v>889.11808027572602</v>
      </c>
      <c r="AN145" s="59">
        <f ca="1">AVERAGE(OFFSET($AM$3,0,0,'Données projet'!$E$10+1,1))-AVERAGE(OFFSET($H$3,0,0,'Données projet'!$E$10+1,1))</f>
        <v>366.69125512029831</v>
      </c>
      <c r="AO145" s="59">
        <f t="shared" si="144"/>
        <v>513.80016421153414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0.17588023926897603</v>
      </c>
      <c r="AV145" s="21">
        <f>EXP(-LN(2)/25)*AV144+(1-EXP(-LN(2)/25))/(LN(2)/25)*Calculateur!AQ145*Calculateur!AS145*VLOOKUP('Données projet'!$B$10,Paramètres!$A$1:$I$89,3,0)*0.475*44/12</f>
        <v>0.33084055750175007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0.50672079677072612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212.28480000000002</v>
      </c>
      <c r="BF145" s="13">
        <f t="shared" si="145"/>
        <v>52.434557099704193</v>
      </c>
      <c r="BG145" s="20">
        <f t="shared" si="115"/>
        <v>461.05288028198476</v>
      </c>
      <c r="BH145" s="59">
        <f t="shared" si="116"/>
        <v>754.38621361531807</v>
      </c>
      <c r="BI145" s="59">
        <f ca="1">AVERAGE(OFFSET($BH$3,0,0,'Données projet'!$E$11+1,1))-AVERAGE(OFFSET($H$3,0,0,'Données projet'!$E$11+1,1))</f>
        <v>354.24684313982857</v>
      </c>
      <c r="BJ145" s="59">
        <f t="shared" si="146"/>
        <v>322.65043486962185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11.862316360464369</v>
      </c>
      <c r="BQ145" s="21">
        <f>EXP(-LN(2)/25)*BQ144+(1-EXP(-LN(2)/25))/(LN(2)/25)*Calculateur!BL145*Calculateur!BN145*VLOOKUP('Données projet'!$B$11,Paramètres!$A$1:$I$89,3,0)*0.475*44/12</f>
        <v>4.6470764979060144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16.509392858370383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5.4978954722173515E-13</v>
      </c>
      <c r="CA145" s="13">
        <f t="shared" si="147"/>
        <v>6.7731340873355904E-12</v>
      </c>
      <c r="CB145" s="20">
        <f t="shared" si="118"/>
        <v>1.2754091996854009E-11</v>
      </c>
      <c r="CC145" s="59">
        <f t="shared" si="119"/>
        <v>293.33333333334605</v>
      </c>
      <c r="CD145" s="59">
        <f ca="1">AVERAGE(OFFSET($CC$3,0,0,'Données projet'!$E$12+1,1))-AVERAGE(OFFSET($H$3,0,0,'Données projet'!$E$12+1,1))</f>
        <v>407.73540492005355</v>
      </c>
      <c r="CE145" s="59">
        <f t="shared" si="148"/>
        <v>296.29416764204774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146.99899467622205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146.99899467622205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266.99999999999983</v>
      </c>
      <c r="CU145" s="17">
        <f>CT145*VLOOKUP('Données projet'!$B$13,Paramètres!$A$1:$I$89,3,0)*VLOOKUP('Données projet'!$B$13,Paramètres!$A$1:$I$89,5,0)</f>
        <v>212.42519999999985</v>
      </c>
      <c r="CV145" s="13">
        <f t="shared" si="149"/>
        <v>52.465198231787184</v>
      </c>
      <c r="CW145" s="20">
        <f t="shared" si="121"/>
        <v>461.35077692036231</v>
      </c>
      <c r="CX145" s="59">
        <f t="shared" si="122"/>
        <v>754.68411025369562</v>
      </c>
      <c r="CY145" s="59">
        <f ca="1">AVERAGE(OFFSET($CX$3,0,0,'Données projet'!$E$13+1,1))-AVERAGE(OFFSET($H$3,0,0,'Données projet'!$E$13+1,1))</f>
        <v>299.10536994156814</v>
      </c>
      <c r="CZ145" s="59">
        <f t="shared" si="150"/>
        <v>292.57799203101769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8.4335121088965135</v>
      </c>
      <c r="DG145" s="21">
        <f>EXP(-LN(2)/25)*DG144+(1-EXP(-LN(2)/25))/(LN(2)/25)*Calculateur!DB145*Calculateur!DD145*VLOOKUP('Données projet'!$B$13,Paramètres!$A$1:$I$89,3,0)*0.475*44/12</f>
        <v>1.4929123565492441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9.9264244654457574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266.99999999999983</v>
      </c>
      <c r="DP145" s="17">
        <f>DO145*VLOOKUP('Données projet'!$B$14,Paramètres!$A$1:$I$89,3,0)*VLOOKUP('Données projet'!$B$14,Paramètres!$A$1:$I$89,5,0)</f>
        <v>212.42519999999985</v>
      </c>
      <c r="DQ145" s="13">
        <f t="shared" si="151"/>
        <v>52.465198231787184</v>
      </c>
      <c r="DR145" s="20">
        <f t="shared" si="124"/>
        <v>461.35077692036231</v>
      </c>
      <c r="DS145" s="59">
        <f t="shared" si="125"/>
        <v>754.68411025369562</v>
      </c>
      <c r="DT145" s="59">
        <f ca="1">AVERAGE(OFFSET($DS$3,0,0,'Données projet'!$E$14+1,1))-AVERAGE(OFFSET($H$3,0,0,'Données projet'!$E$14+1,1))</f>
        <v>299.10536994156814</v>
      </c>
      <c r="DU145" s="59">
        <f t="shared" si="152"/>
        <v>292.57799203101769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8.4335121088965135</v>
      </c>
      <c r="EB145" s="21">
        <f>EXP(-LN(2)/25)*EB144+(1-EXP(-LN(2)/25))/(LN(2)/25)*Calculateur!DW145*Calculateur!DY145*VLOOKUP('Données projet'!$B$14,Paramètres!$A$1:$I$89,3,0)*0.475*44/12</f>
        <v>1.4929123565492441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9.9264244654457574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204.00000000000017</v>
      </c>
      <c r="EK145" s="17">
        <f>EJ145*VLOOKUP('Données projet'!$B$15,Paramètres!$A$1:$I$89,3,0)*VLOOKUP('Données projet'!$B$15,Paramètres!$A$1:$I$89,5,0)</f>
        <v>133.66080000000011</v>
      </c>
      <c r="EL145" s="13">
        <f t="shared" si="153"/>
        <v>34.840890682716783</v>
      </c>
      <c r="EM145" s="20">
        <f t="shared" si="127"/>
        <v>293.4737779390652</v>
      </c>
      <c r="EN145" s="59">
        <f t="shared" si="128"/>
        <v>586.80711127239852</v>
      </c>
      <c r="EO145" s="59">
        <f ca="1">AVERAGE(OFFSET($EN$3,0,0,'Données projet'!$E$15+1,1))-AVERAGE(OFFSET($H$3,0,0,'Données projet'!$E$15+1,1))</f>
        <v>230.58262378842818</v>
      </c>
      <c r="EP145" s="59">
        <f t="shared" si="154"/>
        <v>235.68746142880792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0.68186649583676828</v>
      </c>
      <c r="EW145" s="21">
        <f>EXP(-LN(2)/25)*EW144+(1-EXP(-LN(2)/25))/(LN(2)/25)*Calculateur!ER145*Calculateur!ET145*VLOOKUP('Données projet'!$B$15,Paramètres!$A$1:$I$89,3,0)*0.475*44/12</f>
        <v>2.5515569082091774</v>
      </c>
      <c r="EX145" s="21">
        <f>EXP(-LN(2)/2)*EX144+(1-EXP(-LN(2)/2))/(LN(2)/2)*ER145*EU145*VLOOKUP('Données projet'!$B$15,Paramètres!$A$1:$I$89,3,0)*0.475*44/12</f>
        <v>4.4361929104967318E-8</v>
      </c>
      <c r="EY145" s="22">
        <f t="shared" si="129"/>
        <v>3.233423448407875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234.00000000000003</v>
      </c>
      <c r="FF145" s="17">
        <f>FE145*VLOOKUP('Données projet'!$B$16,Paramètres!$A$1:$I$89,3,0)*VLOOKUP('Données projet'!$B$16,Paramètres!$A$1:$I$89,5,0)</f>
        <v>189.82080000000005</v>
      </c>
      <c r="FG145" s="13">
        <f t="shared" si="155"/>
        <v>47.500332100049796</v>
      </c>
      <c r="FH145" s="20">
        <f t="shared" si="130"/>
        <v>413.33430507425345</v>
      </c>
      <c r="FI145" s="59">
        <f t="shared" si="131"/>
        <v>706.66763840758676</v>
      </c>
      <c r="FJ145" s="59">
        <f ca="1">AVERAGE(OFFSET($FI$3,0,0,'Données projet'!$E$16+1,1))-AVERAGE(OFFSET($H$3,0,0,'Données projet'!$E$16+1,1))</f>
        <v>272.90535195666996</v>
      </c>
      <c r="FK145" s="59">
        <f t="shared" si="156"/>
        <v>222.25422164416898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1.6692561645297503</v>
      </c>
      <c r="FR145" s="21">
        <f>EXP(-LN(2)/25)*FR144+(1-EXP(-LN(2)/25))/(LN(2)/25)*Calculateur!FM145*Calculateur!FO145*VLOOKUP('Données projet'!$B$16,Paramètres!$A$1:$I$89,3,0)*0.475*44/12</f>
        <v>2.9129853577377558</v>
      </c>
      <c r="FS145" s="21">
        <f>EXP(-LN(2)/2)*FS144+(1-EXP(-LN(2)/2))/(LN(2)/2)*FM145*FP145*VLOOKUP('Données projet'!$B$16,Paramètres!$A$1:$I$89,3,0)*0.475*44/12</f>
        <v>2.0176384862446507E-8</v>
      </c>
      <c r="FT145" s="22">
        <f t="shared" si="132"/>
        <v>4.5822415424438914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293.33333333334531</v>
      </c>
      <c r="S146" s="59">
        <f ca="1">AVERAGE(OFFSET($R$3,0,0,'Données projet'!$E$9+1,1))-AVERAGE(OFFSET($H$3,0,0,'Données projet'!$E$9+1,1))</f>
        <v>384.05928630855732</v>
      </c>
      <c r="T146" s="59">
        <f t="shared" si="142"/>
        <v>279.93992813630513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304.99999999999983</v>
      </c>
      <c r="AJ146" s="13">
        <f>AI146*VLOOKUP('Données projet'!$B$10,Paramètres!$A$1:$I$89,3,0)*VLOOKUP('Données projet'!$B$10,Paramètres!$A$1:$I$89,5,0)</f>
        <v>275.96399999999983</v>
      </c>
      <c r="AK146" s="13">
        <f t="shared" si="143"/>
        <v>66.113366665488854</v>
      </c>
      <c r="AL146" s="20">
        <f t="shared" si="112"/>
        <v>595.78474694239264</v>
      </c>
      <c r="AM146" s="59">
        <f t="shared" si="113"/>
        <v>889.11808027572602</v>
      </c>
      <c r="AN146" s="59">
        <f ca="1">AVERAGE(OFFSET($AM$3,0,0,'Données projet'!$E$10+1,1))-AVERAGE(OFFSET($H$3,0,0,'Données projet'!$E$10+1,1))</f>
        <v>366.69125512029831</v>
      </c>
      <c r="AO146" s="59">
        <f t="shared" si="144"/>
        <v>513.80016421153414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0.17243133505326472</v>
      </c>
      <c r="AV146" s="21">
        <f>EXP(-LN(2)/25)*AV145+(1-EXP(-LN(2)/25))/(LN(2)/25)*Calculateur!AQ146*Calculateur!AS146*VLOOKUP('Données projet'!$B$10,Paramètres!$A$1:$I$89,3,0)*0.475*44/12</f>
        <v>0.32179370505871596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0.49422504011198065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212.28480000000002</v>
      </c>
      <c r="BF146" s="13">
        <f t="shared" si="145"/>
        <v>52.434557099704193</v>
      </c>
      <c r="BG146" s="20">
        <f t="shared" si="115"/>
        <v>461.05288028198476</v>
      </c>
      <c r="BH146" s="59">
        <f t="shared" si="116"/>
        <v>754.38621361531807</v>
      </c>
      <c r="BI146" s="59">
        <f ca="1">AVERAGE(OFFSET($BH$3,0,0,'Données projet'!$E$11+1,1))-AVERAGE(OFFSET($H$3,0,0,'Données projet'!$E$11+1,1))</f>
        <v>354.24684313982857</v>
      </c>
      <c r="BJ146" s="59">
        <f t="shared" si="146"/>
        <v>322.65043486962185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11.629703571934217</v>
      </c>
      <c r="BQ146" s="21">
        <f>EXP(-LN(2)/25)*BQ145+(1-EXP(-LN(2)/25))/(LN(2)/25)*Calculateur!BL146*Calculateur!BN146*VLOOKUP('Données projet'!$B$11,Paramètres!$A$1:$I$89,3,0)*0.475*44/12</f>
        <v>4.5200019466916421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16.149705518625858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5.4978954722173515E-13</v>
      </c>
      <c r="CA146" s="13">
        <f t="shared" si="147"/>
        <v>6.7731340873355904E-12</v>
      </c>
      <c r="CB146" s="20">
        <f t="shared" si="118"/>
        <v>1.2754091996854009E-11</v>
      </c>
      <c r="CC146" s="59">
        <f t="shared" si="119"/>
        <v>293.33333333334605</v>
      </c>
      <c r="CD146" s="59">
        <f ca="1">AVERAGE(OFFSET($CC$3,0,0,'Données projet'!$E$12+1,1))-AVERAGE(OFFSET($H$3,0,0,'Données projet'!$E$12+1,1))</f>
        <v>407.73540492005355</v>
      </c>
      <c r="CE146" s="59">
        <f t="shared" si="148"/>
        <v>296.29416764204774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144.11643405115484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144.11643405115484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266.99999999999983</v>
      </c>
      <c r="CU146" s="17">
        <f>CT146*VLOOKUP('Données projet'!$B$13,Paramètres!$A$1:$I$89,3,0)*VLOOKUP('Données projet'!$B$13,Paramètres!$A$1:$I$89,5,0)</f>
        <v>212.42519999999985</v>
      </c>
      <c r="CV146" s="13">
        <f t="shared" si="149"/>
        <v>52.465198231787184</v>
      </c>
      <c r="CW146" s="20">
        <f t="shared" si="121"/>
        <v>461.35077692036231</v>
      </c>
      <c r="CX146" s="59">
        <f t="shared" si="122"/>
        <v>754.68411025369562</v>
      </c>
      <c r="CY146" s="59">
        <f ca="1">AVERAGE(OFFSET($CX$3,0,0,'Données projet'!$E$13+1,1))-AVERAGE(OFFSET($H$3,0,0,'Données projet'!$E$13+1,1))</f>
        <v>299.10536994156814</v>
      </c>
      <c r="CZ146" s="59">
        <f t="shared" si="150"/>
        <v>292.57799203101769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8.2681360803755179</v>
      </c>
      <c r="DG146" s="21">
        <f>EXP(-LN(2)/25)*DG145+(1-EXP(-LN(2)/25))/(LN(2)/25)*Calculateur!DB146*Calculateur!DD146*VLOOKUP('Données projet'!$B$13,Paramètres!$A$1:$I$89,3,0)*0.475*44/12</f>
        <v>1.4520885896505564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9.7202246700260737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266.99999999999983</v>
      </c>
      <c r="DP146" s="17">
        <f>DO146*VLOOKUP('Données projet'!$B$14,Paramètres!$A$1:$I$89,3,0)*VLOOKUP('Données projet'!$B$14,Paramètres!$A$1:$I$89,5,0)</f>
        <v>212.42519999999985</v>
      </c>
      <c r="DQ146" s="13">
        <f t="shared" si="151"/>
        <v>52.465198231787184</v>
      </c>
      <c r="DR146" s="20">
        <f t="shared" si="124"/>
        <v>461.35077692036231</v>
      </c>
      <c r="DS146" s="59">
        <f t="shared" si="125"/>
        <v>754.68411025369562</v>
      </c>
      <c r="DT146" s="59">
        <f ca="1">AVERAGE(OFFSET($DS$3,0,0,'Données projet'!$E$14+1,1))-AVERAGE(OFFSET($H$3,0,0,'Données projet'!$E$14+1,1))</f>
        <v>299.10536994156814</v>
      </c>
      <c r="DU146" s="59">
        <f t="shared" si="152"/>
        <v>292.57799203101769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8.2681360803755179</v>
      </c>
      <c r="EB146" s="21">
        <f>EXP(-LN(2)/25)*EB145+(1-EXP(-LN(2)/25))/(LN(2)/25)*Calculateur!DW146*Calculateur!DY146*VLOOKUP('Données projet'!$B$14,Paramètres!$A$1:$I$89,3,0)*0.475*44/12</f>
        <v>1.4520885896505564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9.7202246700260737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204.00000000000017</v>
      </c>
      <c r="EK146" s="17">
        <f>EJ146*VLOOKUP('Données projet'!$B$15,Paramètres!$A$1:$I$89,3,0)*VLOOKUP('Données projet'!$B$15,Paramètres!$A$1:$I$89,5,0)</f>
        <v>133.66080000000011</v>
      </c>
      <c r="EL146" s="13">
        <f t="shared" si="153"/>
        <v>34.840890682716783</v>
      </c>
      <c r="EM146" s="20">
        <f t="shared" si="127"/>
        <v>293.4737779390652</v>
      </c>
      <c r="EN146" s="59">
        <f t="shared" si="128"/>
        <v>586.80711127239852</v>
      </c>
      <c r="EO146" s="59">
        <f ca="1">AVERAGE(OFFSET($EN$3,0,0,'Données projet'!$E$15+1,1))-AVERAGE(OFFSET($H$3,0,0,'Données projet'!$E$15+1,1))</f>
        <v>230.58262378842818</v>
      </c>
      <c r="EP146" s="59">
        <f t="shared" si="154"/>
        <v>235.68746142880792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0.66849550975090521</v>
      </c>
      <c r="EW146" s="21">
        <f>EXP(-LN(2)/25)*EW145+(1-EXP(-LN(2)/25))/(LN(2)/25)*Calculateur!ER146*Calculateur!ET146*VLOOKUP('Données projet'!$B$15,Paramètres!$A$1:$I$89,3,0)*0.475*44/12</f>
        <v>2.4817844503736515</v>
      </c>
      <c r="EX146" s="21">
        <f>EXP(-LN(2)/2)*EX145+(1-EXP(-LN(2)/2))/(LN(2)/2)*ER146*EU146*VLOOKUP('Données projet'!$B$15,Paramètres!$A$1:$I$89,3,0)*0.475*44/12</f>
        <v>3.1368620896639259E-8</v>
      </c>
      <c r="EY146" s="22">
        <f t="shared" si="129"/>
        <v>3.1502799914931776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234.00000000000003</v>
      </c>
      <c r="FF146" s="17">
        <f>FE146*VLOOKUP('Données projet'!$B$16,Paramètres!$A$1:$I$89,3,0)*VLOOKUP('Données projet'!$B$16,Paramètres!$A$1:$I$89,5,0)</f>
        <v>189.82080000000005</v>
      </c>
      <c r="FG146" s="13">
        <f t="shared" si="155"/>
        <v>47.500332100049796</v>
      </c>
      <c r="FH146" s="20">
        <f t="shared" si="130"/>
        <v>413.33430507425345</v>
      </c>
      <c r="FI146" s="59">
        <f t="shared" si="131"/>
        <v>706.66763840758676</v>
      </c>
      <c r="FJ146" s="59">
        <f ca="1">AVERAGE(OFFSET($FI$3,0,0,'Données projet'!$E$16+1,1))-AVERAGE(OFFSET($H$3,0,0,'Données projet'!$E$16+1,1))</f>
        <v>272.90535195666996</v>
      </c>
      <c r="FK146" s="59">
        <f t="shared" si="156"/>
        <v>222.25422164416898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1.6365230692890487</v>
      </c>
      <c r="FR146" s="21">
        <f>EXP(-LN(2)/25)*FR145+(1-EXP(-LN(2)/25))/(LN(2)/25)*Calculateur!FM146*Calculateur!FO146*VLOOKUP('Données projet'!$B$16,Paramètres!$A$1:$I$89,3,0)*0.475*44/12</f>
        <v>2.8333296199431746</v>
      </c>
      <c r="FS146" s="21">
        <f>EXP(-LN(2)/2)*FS145+(1-EXP(-LN(2)/2))/(LN(2)/2)*FM146*FP146*VLOOKUP('Données projet'!$B$16,Paramètres!$A$1:$I$89,3,0)*0.475*44/12</f>
        <v>1.4266858556065532E-8</v>
      </c>
      <c r="FT146" s="22">
        <f t="shared" si="132"/>
        <v>4.4698527034990816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293.33333333334531</v>
      </c>
      <c r="S147" s="59">
        <f ca="1">AVERAGE(OFFSET($R$3,0,0,'Données projet'!$E$9+1,1))-AVERAGE(OFFSET($H$3,0,0,'Données projet'!$E$9+1,1))</f>
        <v>384.05928630855732</v>
      </c>
      <c r="T147" s="59">
        <f t="shared" si="142"/>
        <v>279.93992813630513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304.99999999999983</v>
      </c>
      <c r="AJ147" s="13">
        <f>AI147*VLOOKUP('Données projet'!$B$10,Paramètres!$A$1:$I$89,3,0)*VLOOKUP('Données projet'!$B$10,Paramètres!$A$1:$I$89,5,0)</f>
        <v>275.96399999999983</v>
      </c>
      <c r="AK147" s="13">
        <f t="shared" si="143"/>
        <v>66.113366665488854</v>
      </c>
      <c r="AL147" s="20">
        <f t="shared" si="112"/>
        <v>595.78474694239264</v>
      </c>
      <c r="AM147" s="59">
        <f t="shared" si="113"/>
        <v>889.11808027572602</v>
      </c>
      <c r="AN147" s="59">
        <f ca="1">AVERAGE(OFFSET($AM$3,0,0,'Données projet'!$E$10+1,1))-AVERAGE(OFFSET($H$3,0,0,'Données projet'!$E$10+1,1))</f>
        <v>366.69125512029831</v>
      </c>
      <c r="AO147" s="59">
        <f t="shared" si="144"/>
        <v>513.80016421153414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0.16905006174559964</v>
      </c>
      <c r="AV147" s="21">
        <f>EXP(-LN(2)/25)*AV146+(1-EXP(-LN(2)/25))/(LN(2)/25)*Calculateur!AQ147*Calculateur!AS147*VLOOKUP('Données projet'!$B$10,Paramètres!$A$1:$I$89,3,0)*0.475*44/12</f>
        <v>0.31299423927148989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0.4820443010170895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212.28480000000002</v>
      </c>
      <c r="BF147" s="13">
        <f t="shared" si="145"/>
        <v>52.434557099704193</v>
      </c>
      <c r="BG147" s="20">
        <f t="shared" si="115"/>
        <v>461.05288028198476</v>
      </c>
      <c r="BH147" s="59">
        <f t="shared" si="116"/>
        <v>754.38621361531807</v>
      </c>
      <c r="BI147" s="59">
        <f ca="1">AVERAGE(OFFSET($BH$3,0,0,'Données projet'!$E$11+1,1))-AVERAGE(OFFSET($H$3,0,0,'Données projet'!$E$11+1,1))</f>
        <v>354.24684313982857</v>
      </c>
      <c r="BJ147" s="59">
        <f t="shared" si="146"/>
        <v>322.65043486962185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11.401652178307348</v>
      </c>
      <c r="BQ147" s="21">
        <f>EXP(-LN(2)/25)*BQ146+(1-EXP(-LN(2)/25))/(LN(2)/25)*Calculateur!BL147*Calculateur!BN147*VLOOKUP('Données projet'!$B$11,Paramètres!$A$1:$I$89,3,0)*0.475*44/12</f>
        <v>4.3964022557627871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15.798054434070135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5.4978954722173515E-13</v>
      </c>
      <c r="CA147" s="13">
        <f t="shared" si="147"/>
        <v>6.7731340873355904E-12</v>
      </c>
      <c r="CB147" s="20">
        <f t="shared" si="118"/>
        <v>1.2754091996854009E-11</v>
      </c>
      <c r="CC147" s="59">
        <f t="shared" si="119"/>
        <v>293.33333333334605</v>
      </c>
      <c r="CD147" s="59">
        <f ca="1">AVERAGE(OFFSET($CC$3,0,0,'Données projet'!$E$12+1,1))-AVERAGE(OFFSET($H$3,0,0,'Données projet'!$E$12+1,1))</f>
        <v>407.73540492005355</v>
      </c>
      <c r="CE147" s="59">
        <f t="shared" si="148"/>
        <v>296.29416764204774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141.29039868175684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141.29039868175684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266.99999999999983</v>
      </c>
      <c r="CU147" s="17">
        <f>CT147*VLOOKUP('Données projet'!$B$13,Paramètres!$A$1:$I$89,3,0)*VLOOKUP('Données projet'!$B$13,Paramètres!$A$1:$I$89,5,0)</f>
        <v>212.42519999999985</v>
      </c>
      <c r="CV147" s="13">
        <f t="shared" si="149"/>
        <v>52.465198231787184</v>
      </c>
      <c r="CW147" s="20">
        <f t="shared" si="121"/>
        <v>461.35077692036231</v>
      </c>
      <c r="CX147" s="59">
        <f t="shared" si="122"/>
        <v>754.68411025369562</v>
      </c>
      <c r="CY147" s="59">
        <f ca="1">AVERAGE(OFFSET($CX$3,0,0,'Données projet'!$E$13+1,1))-AVERAGE(OFFSET($H$3,0,0,'Données projet'!$E$13+1,1))</f>
        <v>299.10536994156814</v>
      </c>
      <c r="CZ147" s="59">
        <f t="shared" si="150"/>
        <v>292.57799203101769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8.1060029749044009</v>
      </c>
      <c r="DG147" s="21">
        <f>EXP(-LN(2)/25)*DG146+(1-EXP(-LN(2)/25))/(LN(2)/25)*Calculateur!DB147*Calculateur!DD147*VLOOKUP('Données projet'!$B$13,Paramètres!$A$1:$I$89,3,0)*0.475*44/12</f>
        <v>1.4123811508045419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9.518384125708943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266.99999999999983</v>
      </c>
      <c r="DP147" s="17">
        <f>DO147*VLOOKUP('Données projet'!$B$14,Paramètres!$A$1:$I$89,3,0)*VLOOKUP('Données projet'!$B$14,Paramètres!$A$1:$I$89,5,0)</f>
        <v>212.42519999999985</v>
      </c>
      <c r="DQ147" s="13">
        <f t="shared" si="151"/>
        <v>52.465198231787184</v>
      </c>
      <c r="DR147" s="20">
        <f t="shared" si="124"/>
        <v>461.35077692036231</v>
      </c>
      <c r="DS147" s="59">
        <f t="shared" si="125"/>
        <v>754.68411025369562</v>
      </c>
      <c r="DT147" s="59">
        <f ca="1">AVERAGE(OFFSET($DS$3,0,0,'Données projet'!$E$14+1,1))-AVERAGE(OFFSET($H$3,0,0,'Données projet'!$E$14+1,1))</f>
        <v>299.10536994156814</v>
      </c>
      <c r="DU147" s="59">
        <f t="shared" si="152"/>
        <v>292.57799203101769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8.1060029749044009</v>
      </c>
      <c r="EB147" s="21">
        <f>EXP(-LN(2)/25)*EB146+(1-EXP(-LN(2)/25))/(LN(2)/25)*Calculateur!DW147*Calculateur!DY147*VLOOKUP('Données projet'!$B$14,Paramètres!$A$1:$I$89,3,0)*0.475*44/12</f>
        <v>1.4123811508045419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9.518384125708943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204.00000000000017</v>
      </c>
      <c r="EK147" s="17">
        <f>EJ147*VLOOKUP('Données projet'!$B$15,Paramètres!$A$1:$I$89,3,0)*VLOOKUP('Données projet'!$B$15,Paramètres!$A$1:$I$89,5,0)</f>
        <v>133.66080000000011</v>
      </c>
      <c r="EL147" s="13">
        <f t="shared" si="153"/>
        <v>34.840890682716783</v>
      </c>
      <c r="EM147" s="20">
        <f t="shared" si="127"/>
        <v>293.4737779390652</v>
      </c>
      <c r="EN147" s="59">
        <f t="shared" si="128"/>
        <v>586.80711127239852</v>
      </c>
      <c r="EO147" s="59">
        <f ca="1">AVERAGE(OFFSET($EN$3,0,0,'Données projet'!$E$15+1,1))-AVERAGE(OFFSET($H$3,0,0,'Données projet'!$E$15+1,1))</f>
        <v>230.58262378842818</v>
      </c>
      <c r="EP147" s="59">
        <f t="shared" si="154"/>
        <v>235.68746142880792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0.65538672054668978</v>
      </c>
      <c r="EW147" s="21">
        <f>EXP(-LN(2)/25)*EW146+(1-EXP(-LN(2)/25))/(LN(2)/25)*Calculateur!ER147*Calculateur!ET147*VLOOKUP('Données projet'!$B$15,Paramètres!$A$1:$I$89,3,0)*0.475*44/12</f>
        <v>2.4139199240668119</v>
      </c>
      <c r="EX147" s="21">
        <f>EXP(-LN(2)/2)*EX146+(1-EXP(-LN(2)/2))/(LN(2)/2)*ER147*EU147*VLOOKUP('Données projet'!$B$15,Paramètres!$A$1:$I$89,3,0)*0.475*44/12</f>
        <v>2.2180964552483659E-8</v>
      </c>
      <c r="EY147" s="22">
        <f t="shared" si="129"/>
        <v>3.0693066667944664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234.00000000000003</v>
      </c>
      <c r="FF147" s="17">
        <f>FE147*VLOOKUP('Données projet'!$B$16,Paramètres!$A$1:$I$89,3,0)*VLOOKUP('Données projet'!$B$16,Paramètres!$A$1:$I$89,5,0)</f>
        <v>189.82080000000005</v>
      </c>
      <c r="FG147" s="13">
        <f t="shared" si="155"/>
        <v>47.500332100049796</v>
      </c>
      <c r="FH147" s="20">
        <f t="shared" si="130"/>
        <v>413.33430507425345</v>
      </c>
      <c r="FI147" s="59">
        <f t="shared" si="131"/>
        <v>706.66763840758676</v>
      </c>
      <c r="FJ147" s="59">
        <f ca="1">AVERAGE(OFFSET($FI$3,0,0,'Données projet'!$E$16+1,1))-AVERAGE(OFFSET($H$3,0,0,'Données projet'!$E$16+1,1))</f>
        <v>272.90535195666996</v>
      </c>
      <c r="FK147" s="59">
        <f t="shared" si="156"/>
        <v>222.25422164416898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1.6044318500808006</v>
      </c>
      <c r="FR147" s="21">
        <f>EXP(-LN(2)/25)*FR146+(1-EXP(-LN(2)/25))/(LN(2)/25)*Calculateur!FM147*Calculateur!FO147*VLOOKUP('Données projet'!$B$16,Paramètres!$A$1:$I$89,3,0)*0.475*44/12</f>
        <v>2.7558520724874995</v>
      </c>
      <c r="FS147" s="21">
        <f>EXP(-LN(2)/2)*FS146+(1-EXP(-LN(2)/2))/(LN(2)/2)*FM147*FP147*VLOOKUP('Données projet'!$B$16,Paramètres!$A$1:$I$89,3,0)*0.475*44/12</f>
        <v>1.0088192431223253E-8</v>
      </c>
      <c r="FT147" s="22">
        <f t="shared" si="132"/>
        <v>4.3602839326564924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293.33333333334531</v>
      </c>
      <c r="S148" s="59">
        <f ca="1">AVERAGE(OFFSET($R$3,0,0,'Données projet'!$E$9+1,1))-AVERAGE(OFFSET($H$3,0,0,'Données projet'!$E$9+1,1))</f>
        <v>384.05928630855732</v>
      </c>
      <c r="T148" s="59">
        <f t="shared" si="142"/>
        <v>279.93992813630513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304.99999999999983</v>
      </c>
      <c r="AJ148" s="13">
        <f>AI148*VLOOKUP('Données projet'!$B$10,Paramètres!$A$1:$I$89,3,0)*VLOOKUP('Données projet'!$B$10,Paramètres!$A$1:$I$89,5,0)</f>
        <v>275.96399999999983</v>
      </c>
      <c r="AK148" s="13">
        <f t="shared" si="143"/>
        <v>66.113366665488854</v>
      </c>
      <c r="AL148" s="20">
        <f t="shared" si="112"/>
        <v>595.78474694239264</v>
      </c>
      <c r="AM148" s="59">
        <f t="shared" si="113"/>
        <v>889.11808027572602</v>
      </c>
      <c r="AN148" s="59">
        <f ca="1">AVERAGE(OFFSET($AM$3,0,0,'Données projet'!$E$10+1,1))-AVERAGE(OFFSET($H$3,0,0,'Données projet'!$E$10+1,1))</f>
        <v>366.69125512029831</v>
      </c>
      <c r="AO148" s="59">
        <f t="shared" si="144"/>
        <v>513.80016421153414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0.1657350931451248</v>
      </c>
      <c r="AV148" s="21">
        <f>EXP(-LN(2)/25)*AV147+(1-EXP(-LN(2)/25))/(LN(2)/25)*Calculateur!AQ148*Calculateur!AS148*VLOOKUP('Données projet'!$B$10,Paramètres!$A$1:$I$89,3,0)*0.475*44/12</f>
        <v>0.3044353953389593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0.4701704884840841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212.28480000000002</v>
      </c>
      <c r="BF148" s="13">
        <f t="shared" si="145"/>
        <v>52.434557099704193</v>
      </c>
      <c r="BG148" s="20">
        <f t="shared" si="115"/>
        <v>461.05288028198476</v>
      </c>
      <c r="BH148" s="59">
        <f t="shared" si="116"/>
        <v>754.38621361531807</v>
      </c>
      <c r="BI148" s="59">
        <f ca="1">AVERAGE(OFFSET($BH$3,0,0,'Données projet'!$E$11+1,1))-AVERAGE(OFFSET($H$3,0,0,'Données projet'!$E$11+1,1))</f>
        <v>354.24684313982857</v>
      </c>
      <c r="BJ148" s="59">
        <f t="shared" si="146"/>
        <v>322.65043486962185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11.178072733411888</v>
      </c>
      <c r="BQ148" s="21">
        <f>EXP(-LN(2)/25)*BQ147+(1-EXP(-LN(2)/25))/(LN(2)/25)*Calculateur!BL148*Calculateur!BN148*VLOOKUP('Données projet'!$B$11,Paramètres!$A$1:$I$89,3,0)*0.475*44/12</f>
        <v>4.2761824048822072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15.454255138294094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5.4978954722173515E-13</v>
      </c>
      <c r="CA148" s="13">
        <f t="shared" si="147"/>
        <v>6.7731340873355904E-12</v>
      </c>
      <c r="CB148" s="20">
        <f t="shared" si="118"/>
        <v>1.2754091996854009E-11</v>
      </c>
      <c r="CC148" s="59">
        <f t="shared" si="119"/>
        <v>293.33333333334605</v>
      </c>
      <c r="CD148" s="59">
        <f ca="1">AVERAGE(OFFSET($CC$3,0,0,'Données projet'!$E$12+1,1))-AVERAGE(OFFSET($H$3,0,0,'Données projet'!$E$12+1,1))</f>
        <v>407.73540492005355</v>
      </c>
      <c r="CE148" s="59">
        <f t="shared" si="148"/>
        <v>296.29416764204774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138.51978014224136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138.51978014224136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266.99999999999983</v>
      </c>
      <c r="CU148" s="17">
        <f>CT148*VLOOKUP('Données projet'!$B$13,Paramètres!$A$1:$I$89,3,0)*VLOOKUP('Données projet'!$B$13,Paramètres!$A$1:$I$89,5,0)</f>
        <v>212.42519999999985</v>
      </c>
      <c r="CV148" s="13">
        <f t="shared" si="149"/>
        <v>52.465198231787184</v>
      </c>
      <c r="CW148" s="20">
        <f t="shared" si="121"/>
        <v>461.35077692036231</v>
      </c>
      <c r="CX148" s="59">
        <f t="shared" si="122"/>
        <v>754.68411025369562</v>
      </c>
      <c r="CY148" s="59">
        <f ca="1">AVERAGE(OFFSET($CX$3,0,0,'Données projet'!$E$13+1,1))-AVERAGE(OFFSET($H$3,0,0,'Données projet'!$E$13+1,1))</f>
        <v>299.10536994156814</v>
      </c>
      <c r="CZ148" s="59">
        <f t="shared" si="150"/>
        <v>292.57799203101769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7.9470492007401434</v>
      </c>
      <c r="DG148" s="21">
        <f>EXP(-LN(2)/25)*DG147+(1-EXP(-LN(2)/25))/(LN(2)/25)*Calculateur!DB148*Calculateur!DD148*VLOOKUP('Données projet'!$B$13,Paramètres!$A$1:$I$89,3,0)*0.475*44/12</f>
        <v>1.373759513961895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9.3208087147020393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266.99999999999983</v>
      </c>
      <c r="DP148" s="17">
        <f>DO148*VLOOKUP('Données projet'!$B$14,Paramètres!$A$1:$I$89,3,0)*VLOOKUP('Données projet'!$B$14,Paramètres!$A$1:$I$89,5,0)</f>
        <v>212.42519999999985</v>
      </c>
      <c r="DQ148" s="13">
        <f t="shared" si="151"/>
        <v>52.465198231787184</v>
      </c>
      <c r="DR148" s="20">
        <f t="shared" si="124"/>
        <v>461.35077692036231</v>
      </c>
      <c r="DS148" s="59">
        <f t="shared" si="125"/>
        <v>754.68411025369562</v>
      </c>
      <c r="DT148" s="59">
        <f ca="1">AVERAGE(OFFSET($DS$3,0,0,'Données projet'!$E$14+1,1))-AVERAGE(OFFSET($H$3,0,0,'Données projet'!$E$14+1,1))</f>
        <v>299.10536994156814</v>
      </c>
      <c r="DU148" s="59">
        <f t="shared" si="152"/>
        <v>292.57799203101769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7.9470492007401434</v>
      </c>
      <c r="EB148" s="21">
        <f>EXP(-LN(2)/25)*EB147+(1-EXP(-LN(2)/25))/(LN(2)/25)*Calculateur!DW148*Calculateur!DY148*VLOOKUP('Données projet'!$B$14,Paramètres!$A$1:$I$89,3,0)*0.475*44/12</f>
        <v>1.373759513961895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9.3208087147020393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204.00000000000017</v>
      </c>
      <c r="EK148" s="17">
        <f>EJ148*VLOOKUP('Données projet'!$B$15,Paramètres!$A$1:$I$89,3,0)*VLOOKUP('Données projet'!$B$15,Paramètres!$A$1:$I$89,5,0)</f>
        <v>133.66080000000011</v>
      </c>
      <c r="EL148" s="13">
        <f t="shared" si="153"/>
        <v>34.840890682716783</v>
      </c>
      <c r="EM148" s="20">
        <f t="shared" si="127"/>
        <v>293.4737779390652</v>
      </c>
      <c r="EN148" s="59">
        <f t="shared" si="128"/>
        <v>586.80711127239852</v>
      </c>
      <c r="EO148" s="59">
        <f ca="1">AVERAGE(OFFSET($EN$3,0,0,'Données projet'!$E$15+1,1))-AVERAGE(OFFSET($H$3,0,0,'Données projet'!$E$15+1,1))</f>
        <v>230.58262378842818</v>
      </c>
      <c r="EP148" s="59">
        <f t="shared" si="154"/>
        <v>235.68746142880792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0.64253498670319709</v>
      </c>
      <c r="EW148" s="21">
        <f>EXP(-LN(2)/25)*EW147+(1-EXP(-LN(2)/25))/(LN(2)/25)*Calculateur!ER148*Calculateur!ET148*VLOOKUP('Données projet'!$B$15,Paramètres!$A$1:$I$89,3,0)*0.475*44/12</f>
        <v>2.3479111568006732</v>
      </c>
      <c r="EX148" s="21">
        <f>EXP(-LN(2)/2)*EX147+(1-EXP(-LN(2)/2))/(LN(2)/2)*ER148*EU148*VLOOKUP('Données projet'!$B$15,Paramètres!$A$1:$I$89,3,0)*0.475*44/12</f>
        <v>1.5684310448319629E-8</v>
      </c>
      <c r="EY148" s="22">
        <f t="shared" si="129"/>
        <v>2.9904461591881808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234.00000000000003</v>
      </c>
      <c r="FF148" s="17">
        <f>FE148*VLOOKUP('Données projet'!$B$16,Paramètres!$A$1:$I$89,3,0)*VLOOKUP('Données projet'!$B$16,Paramètres!$A$1:$I$89,5,0)</f>
        <v>189.82080000000005</v>
      </c>
      <c r="FG148" s="13">
        <f t="shared" si="155"/>
        <v>47.500332100049796</v>
      </c>
      <c r="FH148" s="20">
        <f t="shared" si="130"/>
        <v>413.33430507425345</v>
      </c>
      <c r="FI148" s="59">
        <f t="shared" si="131"/>
        <v>706.66763840758676</v>
      </c>
      <c r="FJ148" s="59">
        <f ca="1">AVERAGE(OFFSET($FI$3,0,0,'Données projet'!$E$16+1,1))-AVERAGE(OFFSET($H$3,0,0,'Données projet'!$E$16+1,1))</f>
        <v>272.90535195666996</v>
      </c>
      <c r="FK148" s="59">
        <f t="shared" si="156"/>
        <v>222.25422164416898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1.5729699201075151</v>
      </c>
      <c r="FR148" s="21">
        <f>EXP(-LN(2)/25)*FR147+(1-EXP(-LN(2)/25))/(LN(2)/25)*Calculateur!FM148*Calculateur!FO148*VLOOKUP('Données projet'!$B$16,Paramètres!$A$1:$I$89,3,0)*0.475*44/12</f>
        <v>2.6804931526413669</v>
      </c>
      <c r="FS148" s="21">
        <f>EXP(-LN(2)/2)*FS147+(1-EXP(-LN(2)/2))/(LN(2)/2)*FM148*FP148*VLOOKUP('Données projet'!$B$16,Paramètres!$A$1:$I$89,3,0)*0.475*44/12</f>
        <v>7.1334292780327659E-9</v>
      </c>
      <c r="FT148" s="22">
        <f t="shared" si="132"/>
        <v>4.2534630798823114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293.33333333334531</v>
      </c>
      <c r="S149" s="59">
        <f ca="1">AVERAGE(OFFSET($R$3,0,0,'Données projet'!$E$9+1,1))-AVERAGE(OFFSET($H$3,0,0,'Données projet'!$E$9+1,1))</f>
        <v>384.05928630855732</v>
      </c>
      <c r="T149" s="59">
        <f t="shared" si="142"/>
        <v>279.93992813630513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304.99999999999983</v>
      </c>
      <c r="AJ149" s="13">
        <f>AI149*VLOOKUP('Données projet'!$B$10,Paramètres!$A$1:$I$89,3,0)*VLOOKUP('Données projet'!$B$10,Paramètres!$A$1:$I$89,5,0)</f>
        <v>275.96399999999983</v>
      </c>
      <c r="AK149" s="13">
        <f t="shared" si="143"/>
        <v>66.113366665488854</v>
      </c>
      <c r="AL149" s="20">
        <f t="shared" si="112"/>
        <v>595.78474694239264</v>
      </c>
      <c r="AM149" s="59">
        <f t="shared" si="113"/>
        <v>889.11808027572602</v>
      </c>
      <c r="AN149" s="59">
        <f ca="1">AVERAGE(OFFSET($AM$3,0,0,'Données projet'!$E$10+1,1))-AVERAGE(OFFSET($H$3,0,0,'Données projet'!$E$10+1,1))</f>
        <v>366.69125512029831</v>
      </c>
      <c r="AO149" s="59">
        <f t="shared" si="144"/>
        <v>513.80016421153414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0.16248512905697407</v>
      </c>
      <c r="AV149" s="21">
        <f>EXP(-LN(2)/25)*AV148+(1-EXP(-LN(2)/25))/(LN(2)/25)*Calculateur!AQ149*Calculateur!AS149*VLOOKUP('Données projet'!$B$10,Paramètres!$A$1:$I$89,3,0)*0.475*44/12</f>
        <v>0.29611059344385382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0.45859572250082792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212.28480000000002</v>
      </c>
      <c r="BF149" s="13">
        <f t="shared" si="145"/>
        <v>52.434557099704193</v>
      </c>
      <c r="BG149" s="20">
        <f t="shared" si="115"/>
        <v>461.05288028198476</v>
      </c>
      <c r="BH149" s="59">
        <f t="shared" si="116"/>
        <v>754.38621361531807</v>
      </c>
      <c r="BI149" s="59">
        <f ca="1">AVERAGE(OFFSET($BH$3,0,0,'Données projet'!$E$11+1,1))-AVERAGE(OFFSET($H$3,0,0,'Données projet'!$E$11+1,1))</f>
        <v>354.24684313982857</v>
      </c>
      <c r="BJ149" s="59">
        <f t="shared" si="146"/>
        <v>322.65043486962185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10.958877545060831</v>
      </c>
      <c r="BQ149" s="21">
        <f>EXP(-LN(2)/25)*BQ148+(1-EXP(-LN(2)/25))/(LN(2)/25)*Calculateur!BL149*Calculateur!BN149*VLOOKUP('Données projet'!$B$11,Paramètres!$A$1:$I$89,3,0)*0.475*44/12</f>
        <v>4.1592499721460436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15.118127517206876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5.4978954722173515E-13</v>
      </c>
      <c r="CA149" s="13">
        <f t="shared" si="147"/>
        <v>6.7731340873355904E-12</v>
      </c>
      <c r="CB149" s="20">
        <f t="shared" si="118"/>
        <v>1.2754091996854009E-11</v>
      </c>
      <c r="CC149" s="59">
        <f t="shared" si="119"/>
        <v>293.33333333334605</v>
      </c>
      <c r="CD149" s="59">
        <f ca="1">AVERAGE(OFFSET($CC$3,0,0,'Données projet'!$E$12+1,1))-AVERAGE(OFFSET($H$3,0,0,'Données projet'!$E$12+1,1))</f>
        <v>407.73540492005355</v>
      </c>
      <c r="CE149" s="59">
        <f t="shared" si="148"/>
        <v>296.29416764204774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135.80349174237531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135.80349174237531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266.99999999999983</v>
      </c>
      <c r="CU149" s="17">
        <f>CT149*VLOOKUP('Données projet'!$B$13,Paramètres!$A$1:$I$89,3,0)*VLOOKUP('Données projet'!$B$13,Paramètres!$A$1:$I$89,5,0)</f>
        <v>212.42519999999985</v>
      </c>
      <c r="CV149" s="13">
        <f t="shared" si="149"/>
        <v>52.465198231787184</v>
      </c>
      <c r="CW149" s="20">
        <f t="shared" si="121"/>
        <v>461.35077692036231</v>
      </c>
      <c r="CX149" s="59">
        <f t="shared" si="122"/>
        <v>754.68411025369562</v>
      </c>
      <c r="CY149" s="59">
        <f ca="1">AVERAGE(OFFSET($CX$3,0,0,'Données projet'!$E$13+1,1))-AVERAGE(OFFSET($H$3,0,0,'Données projet'!$E$13+1,1))</f>
        <v>299.10536994156814</v>
      </c>
      <c r="CZ149" s="59">
        <f t="shared" si="150"/>
        <v>292.57799203101769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7.7912124131350184</v>
      </c>
      <c r="DG149" s="21">
        <f>EXP(-LN(2)/25)*DG148+(1-EXP(-LN(2)/25))/(LN(2)/25)*Calculateur!DB149*Calculateur!DD149*VLOOKUP('Données projet'!$B$13,Paramètres!$A$1:$I$89,3,0)*0.475*44/12</f>
        <v>1.336193987809734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9.1274064009447518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266.99999999999983</v>
      </c>
      <c r="DP149" s="17">
        <f>DO149*VLOOKUP('Données projet'!$B$14,Paramètres!$A$1:$I$89,3,0)*VLOOKUP('Données projet'!$B$14,Paramètres!$A$1:$I$89,5,0)</f>
        <v>212.42519999999985</v>
      </c>
      <c r="DQ149" s="13">
        <f t="shared" si="151"/>
        <v>52.465198231787184</v>
      </c>
      <c r="DR149" s="20">
        <f t="shared" si="124"/>
        <v>461.35077692036231</v>
      </c>
      <c r="DS149" s="59">
        <f t="shared" si="125"/>
        <v>754.68411025369562</v>
      </c>
      <c r="DT149" s="59">
        <f ca="1">AVERAGE(OFFSET($DS$3,0,0,'Données projet'!$E$14+1,1))-AVERAGE(OFFSET($H$3,0,0,'Données projet'!$E$14+1,1))</f>
        <v>299.10536994156814</v>
      </c>
      <c r="DU149" s="59">
        <f t="shared" si="152"/>
        <v>292.57799203101769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7.7912124131350184</v>
      </c>
      <c r="EB149" s="21">
        <f>EXP(-LN(2)/25)*EB148+(1-EXP(-LN(2)/25))/(LN(2)/25)*Calculateur!DW149*Calculateur!DY149*VLOOKUP('Données projet'!$B$14,Paramètres!$A$1:$I$89,3,0)*0.475*44/12</f>
        <v>1.336193987809734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9.1274064009447518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204.00000000000017</v>
      </c>
      <c r="EK149" s="17">
        <f>EJ149*VLOOKUP('Données projet'!$B$15,Paramètres!$A$1:$I$89,3,0)*VLOOKUP('Données projet'!$B$15,Paramètres!$A$1:$I$89,5,0)</f>
        <v>133.66080000000011</v>
      </c>
      <c r="EL149" s="13">
        <f t="shared" si="153"/>
        <v>34.840890682716783</v>
      </c>
      <c r="EM149" s="20">
        <f t="shared" si="127"/>
        <v>293.4737779390652</v>
      </c>
      <c r="EN149" s="59">
        <f t="shared" si="128"/>
        <v>586.80711127239852</v>
      </c>
      <c r="EO149" s="59">
        <f ca="1">AVERAGE(OFFSET($EN$3,0,0,'Données projet'!$E$15+1,1))-AVERAGE(OFFSET($H$3,0,0,'Données projet'!$E$15+1,1))</f>
        <v>230.58262378842818</v>
      </c>
      <c r="EP149" s="59">
        <f t="shared" si="154"/>
        <v>235.68746142880792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0.62993526752159157</v>
      </c>
      <c r="EW149" s="21">
        <f>EXP(-LN(2)/25)*EW148+(1-EXP(-LN(2)/25))/(LN(2)/25)*Calculateur!ER149*Calculateur!ET149*VLOOKUP('Données projet'!$B$15,Paramètres!$A$1:$I$89,3,0)*0.475*44/12</f>
        <v>2.2837074027466771</v>
      </c>
      <c r="EX149" s="21">
        <f>EXP(-LN(2)/2)*EX148+(1-EXP(-LN(2)/2))/(LN(2)/2)*ER149*EU149*VLOOKUP('Données projet'!$B$15,Paramètres!$A$1:$I$89,3,0)*0.475*44/12</f>
        <v>1.109048227624183E-8</v>
      </c>
      <c r="EY149" s="22">
        <f t="shared" si="129"/>
        <v>2.913642681358751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234.00000000000003</v>
      </c>
      <c r="FF149" s="17">
        <f>FE149*VLOOKUP('Données projet'!$B$16,Paramètres!$A$1:$I$89,3,0)*VLOOKUP('Données projet'!$B$16,Paramètres!$A$1:$I$89,5,0)</f>
        <v>189.82080000000005</v>
      </c>
      <c r="FG149" s="13">
        <f t="shared" si="155"/>
        <v>47.500332100049796</v>
      </c>
      <c r="FH149" s="20">
        <f t="shared" si="130"/>
        <v>413.33430507425345</v>
      </c>
      <c r="FI149" s="59">
        <f t="shared" si="131"/>
        <v>706.66763840758676</v>
      </c>
      <c r="FJ149" s="59">
        <f ca="1">AVERAGE(OFFSET($FI$3,0,0,'Données projet'!$E$16+1,1))-AVERAGE(OFFSET($H$3,0,0,'Données projet'!$E$16+1,1))</f>
        <v>272.90535195666996</v>
      </c>
      <c r="FK149" s="59">
        <f t="shared" si="156"/>
        <v>222.25422164416898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1.5421249393911234</v>
      </c>
      <c r="FR149" s="21">
        <f>EXP(-LN(2)/25)*FR148+(1-EXP(-LN(2)/25))/(LN(2)/25)*Calculateur!FM149*Calculateur!FO149*VLOOKUP('Données projet'!$B$16,Paramètres!$A$1:$I$89,3,0)*0.475*44/12</f>
        <v>2.6071949264213803</v>
      </c>
      <c r="FS149" s="21">
        <f>EXP(-LN(2)/2)*FS148+(1-EXP(-LN(2)/2))/(LN(2)/2)*FM149*FP149*VLOOKUP('Données projet'!$B$16,Paramètres!$A$1:$I$89,3,0)*0.475*44/12</f>
        <v>5.0440962156116266E-9</v>
      </c>
      <c r="FT149" s="22">
        <f t="shared" si="132"/>
        <v>4.1493198708565995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293.33333333334531</v>
      </c>
      <c r="S150" s="59">
        <f ca="1">AVERAGE(OFFSET($R$3,0,0,'Données projet'!$E$9+1,1))-AVERAGE(OFFSET($H$3,0,0,'Données projet'!$E$9+1,1))</f>
        <v>384.05928630855732</v>
      </c>
      <c r="T150" s="59">
        <f t="shared" si="142"/>
        <v>279.93992813630513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304.99999999999983</v>
      </c>
      <c r="AJ150" s="13">
        <f>AI150*VLOOKUP('Données projet'!$B$10,Paramètres!$A$1:$I$89,3,0)*VLOOKUP('Données projet'!$B$10,Paramètres!$A$1:$I$89,5,0)</f>
        <v>275.96399999999983</v>
      </c>
      <c r="AK150" s="13">
        <f t="shared" si="143"/>
        <v>66.113366665488854</v>
      </c>
      <c r="AL150" s="20">
        <f t="shared" si="112"/>
        <v>595.78474694239264</v>
      </c>
      <c r="AM150" s="59">
        <f t="shared" si="113"/>
        <v>889.11808027572602</v>
      </c>
      <c r="AN150" s="59">
        <f ca="1">AVERAGE(OFFSET($AM$3,0,0,'Données projet'!$E$10+1,1))-AVERAGE(OFFSET($H$3,0,0,'Données projet'!$E$10+1,1))</f>
        <v>366.69125512029831</v>
      </c>
      <c r="AO150" s="59">
        <f t="shared" si="144"/>
        <v>513.80016421153414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0.1592988947823096</v>
      </c>
      <c r="AV150" s="21">
        <f>EXP(-LN(2)/25)*AV149+(1-EXP(-LN(2)/25))/(LN(2)/25)*Calculateur!AQ150*Calculateur!AS150*VLOOKUP('Données projet'!$B$10,Paramètres!$A$1:$I$89,3,0)*0.475*44/12</f>
        <v>0.28801343369435228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0.44731232847666191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212.28480000000002</v>
      </c>
      <c r="BF150" s="13">
        <f t="shared" si="145"/>
        <v>52.434557099704193</v>
      </c>
      <c r="BG150" s="20">
        <f t="shared" si="115"/>
        <v>461.05288028198476</v>
      </c>
      <c r="BH150" s="59">
        <f t="shared" si="116"/>
        <v>754.38621361531807</v>
      </c>
      <c r="BI150" s="59">
        <f ca="1">AVERAGE(OFFSET($BH$3,0,0,'Données projet'!$E$11+1,1))-AVERAGE(OFFSET($H$3,0,0,'Données projet'!$E$11+1,1))</f>
        <v>354.24684313982857</v>
      </c>
      <c r="BJ150" s="59">
        <f t="shared" si="146"/>
        <v>322.65043486962185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10.743980640657476</v>
      </c>
      <c r="BQ150" s="21">
        <f>EXP(-LN(2)/25)*BQ149+(1-EXP(-LN(2)/25))/(LN(2)/25)*Calculateur!BL150*Calculateur!BN150*VLOOKUP('Données projet'!$B$11,Paramètres!$A$1:$I$89,3,0)*0.475*44/12</f>
        <v>4.0455150629322603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14.789495703589736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5.4978954722173515E-13</v>
      </c>
      <c r="CA150" s="13">
        <f t="shared" si="147"/>
        <v>6.7731340873355904E-12</v>
      </c>
      <c r="CB150" s="20">
        <f t="shared" si="118"/>
        <v>1.2754091996854009E-11</v>
      </c>
      <c r="CC150" s="59">
        <f t="shared" si="119"/>
        <v>293.33333333334605</v>
      </c>
      <c r="CD150" s="59">
        <f ca="1">AVERAGE(OFFSET($CC$3,0,0,'Données projet'!$E$12+1,1))-AVERAGE(OFFSET($H$3,0,0,'Données projet'!$E$12+1,1))</f>
        <v>407.73540492005355</v>
      </c>
      <c r="CE150" s="59">
        <f t="shared" si="148"/>
        <v>296.29416764204774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133.14046810125834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133.14046810125834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266.99999999999983</v>
      </c>
      <c r="CU150" s="17">
        <f>CT150*VLOOKUP('Données projet'!$B$13,Paramètres!$A$1:$I$89,3,0)*VLOOKUP('Données projet'!$B$13,Paramètres!$A$1:$I$89,5,0)</f>
        <v>212.42519999999985</v>
      </c>
      <c r="CV150" s="13">
        <f t="shared" si="149"/>
        <v>52.465198231787184</v>
      </c>
      <c r="CW150" s="20">
        <f t="shared" si="121"/>
        <v>461.35077692036231</v>
      </c>
      <c r="CX150" s="59">
        <f t="shared" si="122"/>
        <v>754.68411025369562</v>
      </c>
      <c r="CY150" s="59">
        <f ca="1">AVERAGE(OFFSET($CX$3,0,0,'Données projet'!$E$13+1,1))-AVERAGE(OFFSET($H$3,0,0,'Données projet'!$E$13+1,1))</f>
        <v>299.10536994156814</v>
      </c>
      <c r="CZ150" s="59">
        <f t="shared" si="150"/>
        <v>292.57799203101769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7.6384314898837751</v>
      </c>
      <c r="DG150" s="21">
        <f>EXP(-LN(2)/25)*DG149+(1-EXP(-LN(2)/25))/(LN(2)/25)*Calculateur!DB150*Calculateur!DD150*VLOOKUP('Données projet'!$B$13,Paramètres!$A$1:$I$89,3,0)*0.475*44/12</f>
        <v>1.2996556929456888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8.938087182829463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266.99999999999983</v>
      </c>
      <c r="DP150" s="17">
        <f>DO150*VLOOKUP('Données projet'!$B$14,Paramètres!$A$1:$I$89,3,0)*VLOOKUP('Données projet'!$B$14,Paramètres!$A$1:$I$89,5,0)</f>
        <v>212.42519999999985</v>
      </c>
      <c r="DQ150" s="13">
        <f t="shared" si="151"/>
        <v>52.465198231787184</v>
      </c>
      <c r="DR150" s="20">
        <f t="shared" si="124"/>
        <v>461.35077692036231</v>
      </c>
      <c r="DS150" s="59">
        <f t="shared" si="125"/>
        <v>754.68411025369562</v>
      </c>
      <c r="DT150" s="59">
        <f ca="1">AVERAGE(OFFSET($DS$3,0,0,'Données projet'!$E$14+1,1))-AVERAGE(OFFSET($H$3,0,0,'Données projet'!$E$14+1,1))</f>
        <v>299.10536994156814</v>
      </c>
      <c r="DU150" s="59">
        <f t="shared" si="152"/>
        <v>292.57799203101769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7.6384314898837751</v>
      </c>
      <c r="EB150" s="21">
        <f>EXP(-LN(2)/25)*EB149+(1-EXP(-LN(2)/25))/(LN(2)/25)*Calculateur!DW150*Calculateur!DY150*VLOOKUP('Données projet'!$B$14,Paramètres!$A$1:$I$89,3,0)*0.475*44/12</f>
        <v>1.2996556929456888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8.938087182829463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204.00000000000017</v>
      </c>
      <c r="EK150" s="17">
        <f>EJ150*VLOOKUP('Données projet'!$B$15,Paramètres!$A$1:$I$89,3,0)*VLOOKUP('Données projet'!$B$15,Paramètres!$A$1:$I$89,5,0)</f>
        <v>133.66080000000011</v>
      </c>
      <c r="EL150" s="13">
        <f t="shared" si="153"/>
        <v>34.840890682716783</v>
      </c>
      <c r="EM150" s="20">
        <f t="shared" si="127"/>
        <v>293.4737779390652</v>
      </c>
      <c r="EN150" s="59">
        <f t="shared" si="128"/>
        <v>586.80711127239852</v>
      </c>
      <c r="EO150" s="59">
        <f ca="1">AVERAGE(OFFSET($EN$3,0,0,'Données projet'!$E$15+1,1))-AVERAGE(OFFSET($H$3,0,0,'Données projet'!$E$15+1,1))</f>
        <v>230.58262378842818</v>
      </c>
      <c r="EP150" s="59">
        <f t="shared" si="154"/>
        <v>235.68746142880792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0.6175826211480675</v>
      </c>
      <c r="EW150" s="21">
        <f>EXP(-LN(2)/25)*EW149+(1-EXP(-LN(2)/25))/(LN(2)/25)*Calculateur!ER150*Calculateur!ET150*VLOOKUP('Données projet'!$B$15,Paramètres!$A$1:$I$89,3,0)*0.475*44/12</f>
        <v>2.2212593037236164</v>
      </c>
      <c r="EX150" s="21">
        <f>EXP(-LN(2)/2)*EX149+(1-EXP(-LN(2)/2))/(LN(2)/2)*ER150*EU150*VLOOKUP('Données projet'!$B$15,Paramètres!$A$1:$I$89,3,0)*0.475*44/12</f>
        <v>7.8421552241598147E-9</v>
      </c>
      <c r="EY150" s="22">
        <f t="shared" si="129"/>
        <v>2.838841932713839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234.00000000000003</v>
      </c>
      <c r="FF150" s="17">
        <f>FE150*VLOOKUP('Données projet'!$B$16,Paramètres!$A$1:$I$89,3,0)*VLOOKUP('Données projet'!$B$16,Paramètres!$A$1:$I$89,5,0)</f>
        <v>189.82080000000005</v>
      </c>
      <c r="FG150" s="13">
        <f t="shared" si="155"/>
        <v>47.500332100049796</v>
      </c>
      <c r="FH150" s="20">
        <f t="shared" si="130"/>
        <v>413.33430507425345</v>
      </c>
      <c r="FI150" s="59">
        <f t="shared" si="131"/>
        <v>706.66763840758676</v>
      </c>
      <c r="FJ150" s="59">
        <f ca="1">AVERAGE(OFFSET($FI$3,0,0,'Données projet'!$E$16+1,1))-AVERAGE(OFFSET($H$3,0,0,'Données projet'!$E$16+1,1))</f>
        <v>272.90535195666996</v>
      </c>
      <c r="FK150" s="59">
        <f t="shared" si="156"/>
        <v>222.25422164416898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1.5118848099329996</v>
      </c>
      <c r="FR150" s="21">
        <f>EXP(-LN(2)/25)*FR149+(1-EXP(-LN(2)/25))/(LN(2)/25)*Calculateur!FM150*Calculateur!FO150*VLOOKUP('Données projet'!$B$16,Paramètres!$A$1:$I$89,3,0)*0.475*44/12</f>
        <v>2.5359010440519651</v>
      </c>
      <c r="FS150" s="21">
        <f>EXP(-LN(2)/2)*FS149+(1-EXP(-LN(2)/2))/(LN(2)/2)*FM150*FP150*VLOOKUP('Données projet'!$B$16,Paramètres!$A$1:$I$89,3,0)*0.475*44/12</f>
        <v>3.566714639016383E-9</v>
      </c>
      <c r="FT150" s="22">
        <f t="shared" si="132"/>
        <v>4.0477858575516796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293.33333333334531</v>
      </c>
      <c r="S151" s="59">
        <f ca="1">AVERAGE(OFFSET($R$3,0,0,'Données projet'!$E$9+1,1))-AVERAGE(OFFSET($H$3,0,0,'Données projet'!$E$9+1,1))</f>
        <v>384.05928630855732</v>
      </c>
      <c r="T151" s="59">
        <f t="shared" si="142"/>
        <v>279.93992813630513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304.99999999999983</v>
      </c>
      <c r="AJ151" s="13">
        <f>AI151*VLOOKUP('Données projet'!$B$10,Paramètres!$A$1:$I$89,3,0)*VLOOKUP('Données projet'!$B$10,Paramètres!$A$1:$I$89,5,0)</f>
        <v>275.96399999999983</v>
      </c>
      <c r="AK151" s="13">
        <f t="shared" si="143"/>
        <v>66.113366665488854</v>
      </c>
      <c r="AL151" s="20">
        <f t="shared" si="112"/>
        <v>595.78474694239264</v>
      </c>
      <c r="AM151" s="59">
        <f t="shared" si="113"/>
        <v>889.11808027572602</v>
      </c>
      <c r="AN151" s="59">
        <f ca="1">AVERAGE(OFFSET($AM$3,0,0,'Données projet'!$E$10+1,1))-AVERAGE(OFFSET($H$3,0,0,'Données projet'!$E$10+1,1))</f>
        <v>366.69125512029831</v>
      </c>
      <c r="AO151" s="59">
        <f t="shared" si="144"/>
        <v>513.80016421153414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0.1561751406183603</v>
      </c>
      <c r="AV151" s="21">
        <f>EXP(-LN(2)/25)*AV150+(1-EXP(-LN(2)/25))/(LN(2)/25)*Calculateur!AQ151*Calculateur!AS151*VLOOKUP('Données projet'!$B$10,Paramètres!$A$1:$I$89,3,0)*0.475*44/12</f>
        <v>0.280137691204012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0.43631283182237229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212.28480000000002</v>
      </c>
      <c r="BF151" s="13">
        <f t="shared" si="145"/>
        <v>52.434557099704193</v>
      </c>
      <c r="BG151" s="20">
        <f t="shared" si="115"/>
        <v>461.05288028198476</v>
      </c>
      <c r="BH151" s="59">
        <f t="shared" si="116"/>
        <v>754.38621361531807</v>
      </c>
      <c r="BI151" s="59">
        <f ca="1">AVERAGE(OFFSET($BH$3,0,0,'Données projet'!$E$11+1,1))-AVERAGE(OFFSET($H$3,0,0,'Données projet'!$E$11+1,1))</f>
        <v>354.24684313982857</v>
      </c>
      <c r="BJ151" s="59">
        <f t="shared" si="146"/>
        <v>322.65043486962185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10.533297733475301</v>
      </c>
      <c r="BQ151" s="21">
        <f>EXP(-LN(2)/25)*BQ150+(1-EXP(-LN(2)/25))/(LN(2)/25)*Calculateur!BL151*Calculateur!BN151*VLOOKUP('Données projet'!$B$11,Paramètres!$A$1:$I$89,3,0)*0.475*44/12</f>
        <v>3.9348902407919866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14.468187974267288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5.4978954722173515E-13</v>
      </c>
      <c r="CA151" s="13">
        <f t="shared" si="147"/>
        <v>6.7731340873355904E-12</v>
      </c>
      <c r="CB151" s="20">
        <f t="shared" si="118"/>
        <v>1.2754091996854009E-11</v>
      </c>
      <c r="CC151" s="59">
        <f t="shared" si="119"/>
        <v>293.33333333334605</v>
      </c>
      <c r="CD151" s="59">
        <f ca="1">AVERAGE(OFFSET($CC$3,0,0,'Données projet'!$E$12+1,1))-AVERAGE(OFFSET($H$3,0,0,'Données projet'!$E$12+1,1))</f>
        <v>407.73540492005355</v>
      </c>
      <c r="CE151" s="59">
        <f t="shared" si="148"/>
        <v>296.29416764204774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130.5296647294596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130.5296647294596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266.99999999999983</v>
      </c>
      <c r="CU151" s="17">
        <f>CT151*VLOOKUP('Données projet'!$B$13,Paramètres!$A$1:$I$89,3,0)*VLOOKUP('Données projet'!$B$13,Paramètres!$A$1:$I$89,5,0)</f>
        <v>212.42519999999985</v>
      </c>
      <c r="CV151" s="13">
        <f t="shared" si="149"/>
        <v>52.465198231787184</v>
      </c>
      <c r="CW151" s="20">
        <f t="shared" si="121"/>
        <v>461.35077692036231</v>
      </c>
      <c r="CX151" s="59">
        <f t="shared" si="122"/>
        <v>754.68411025369562</v>
      </c>
      <c r="CY151" s="59">
        <f ca="1">AVERAGE(OFFSET($CX$3,0,0,'Données projet'!$E$13+1,1))-AVERAGE(OFFSET($H$3,0,0,'Données projet'!$E$13+1,1))</f>
        <v>299.10536994156814</v>
      </c>
      <c r="CZ151" s="59">
        <f t="shared" si="150"/>
        <v>292.57799203101769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7.4886465073503263</v>
      </c>
      <c r="DG151" s="21">
        <f>EXP(-LN(2)/25)*DG150+(1-EXP(-LN(2)/25))/(LN(2)/25)*Calculateur!DB151*Calculateur!DD151*VLOOKUP('Données projet'!$B$13,Paramètres!$A$1:$I$89,3,0)*0.475*44/12</f>
        <v>1.2641165396761664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8.7527630470264928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266.99999999999983</v>
      </c>
      <c r="DP151" s="17">
        <f>DO151*VLOOKUP('Données projet'!$B$14,Paramètres!$A$1:$I$89,3,0)*VLOOKUP('Données projet'!$B$14,Paramètres!$A$1:$I$89,5,0)</f>
        <v>212.42519999999985</v>
      </c>
      <c r="DQ151" s="13">
        <f t="shared" si="151"/>
        <v>52.465198231787184</v>
      </c>
      <c r="DR151" s="20">
        <f t="shared" si="124"/>
        <v>461.35077692036231</v>
      </c>
      <c r="DS151" s="59">
        <f t="shared" si="125"/>
        <v>754.68411025369562</v>
      </c>
      <c r="DT151" s="59">
        <f ca="1">AVERAGE(OFFSET($DS$3,0,0,'Données projet'!$E$14+1,1))-AVERAGE(OFFSET($H$3,0,0,'Données projet'!$E$14+1,1))</f>
        <v>299.10536994156814</v>
      </c>
      <c r="DU151" s="59">
        <f t="shared" si="152"/>
        <v>292.57799203101769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7.4886465073503263</v>
      </c>
      <c r="EB151" s="21">
        <f>EXP(-LN(2)/25)*EB150+(1-EXP(-LN(2)/25))/(LN(2)/25)*Calculateur!DW151*Calculateur!DY151*VLOOKUP('Données projet'!$B$14,Paramètres!$A$1:$I$89,3,0)*0.475*44/12</f>
        <v>1.2641165396761664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8.7527630470264928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204.00000000000017</v>
      </c>
      <c r="EK151" s="17">
        <f>EJ151*VLOOKUP('Données projet'!$B$15,Paramètres!$A$1:$I$89,3,0)*VLOOKUP('Données projet'!$B$15,Paramètres!$A$1:$I$89,5,0)</f>
        <v>133.66080000000011</v>
      </c>
      <c r="EL151" s="13">
        <f t="shared" si="153"/>
        <v>34.840890682716783</v>
      </c>
      <c r="EM151" s="20">
        <f t="shared" si="127"/>
        <v>293.4737779390652</v>
      </c>
      <c r="EN151" s="59">
        <f t="shared" si="128"/>
        <v>586.80711127239852</v>
      </c>
      <c r="EO151" s="59">
        <f ca="1">AVERAGE(OFFSET($EN$3,0,0,'Données projet'!$E$15+1,1))-AVERAGE(OFFSET($H$3,0,0,'Données projet'!$E$15+1,1))</f>
        <v>230.58262378842818</v>
      </c>
      <c r="EP151" s="59">
        <f t="shared" si="154"/>
        <v>235.68746142880792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0.6054722026355579</v>
      </c>
      <c r="EW151" s="21">
        <f>EXP(-LN(2)/25)*EW150+(1-EXP(-LN(2)/25))/(LN(2)/25)*Calculateur!ER151*Calculateur!ET151*VLOOKUP('Données projet'!$B$15,Paramètres!$A$1:$I$89,3,0)*0.475*44/12</f>
        <v>2.1605188512523439</v>
      </c>
      <c r="EX151" s="21">
        <f>EXP(-LN(2)/2)*EX150+(1-EXP(-LN(2)/2))/(LN(2)/2)*ER151*EU151*VLOOKUP('Données projet'!$B$15,Paramètres!$A$1:$I$89,3,0)*0.475*44/12</f>
        <v>5.5452411381209148E-9</v>
      </c>
      <c r="EY151" s="22">
        <f t="shared" si="129"/>
        <v>2.7659910594331429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234.00000000000003</v>
      </c>
      <c r="FF151" s="17">
        <f>FE151*VLOOKUP('Données projet'!$B$16,Paramètres!$A$1:$I$89,3,0)*VLOOKUP('Données projet'!$B$16,Paramètres!$A$1:$I$89,5,0)</f>
        <v>189.82080000000005</v>
      </c>
      <c r="FG151" s="13">
        <f t="shared" si="155"/>
        <v>47.500332100049796</v>
      </c>
      <c r="FH151" s="20">
        <f t="shared" si="130"/>
        <v>413.33430507425345</v>
      </c>
      <c r="FI151" s="59">
        <f t="shared" si="131"/>
        <v>706.66763840758676</v>
      </c>
      <c r="FJ151" s="59">
        <f ca="1">AVERAGE(OFFSET($FI$3,0,0,'Données projet'!$E$16+1,1))-AVERAGE(OFFSET($H$3,0,0,'Données projet'!$E$16+1,1))</f>
        <v>272.90535195666996</v>
      </c>
      <c r="FK151" s="59">
        <f t="shared" si="156"/>
        <v>222.25422164416898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1.4822376709688918</v>
      </c>
      <c r="FR151" s="21">
        <f>EXP(-LN(2)/25)*FR150+(1-EXP(-LN(2)/25))/(LN(2)/25)*Calculateur!FM151*Calculateur!FO151*VLOOKUP('Données projet'!$B$16,Paramètres!$A$1:$I$89,3,0)*0.475*44/12</f>
        <v>2.466556696645124</v>
      </c>
      <c r="FS151" s="21">
        <f>EXP(-LN(2)/2)*FS150+(1-EXP(-LN(2)/2))/(LN(2)/2)*FM151*FP151*VLOOKUP('Données projet'!$B$16,Paramètres!$A$1:$I$89,3,0)*0.475*44/12</f>
        <v>2.5220481078058133E-9</v>
      </c>
      <c r="FT151" s="22">
        <f t="shared" si="132"/>
        <v>3.9487943701360639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293.33333333334531</v>
      </c>
      <c r="S152" s="59">
        <f ca="1">AVERAGE(OFFSET($R$3,0,0,'Données projet'!$E$9+1,1))-AVERAGE(OFFSET($H$3,0,0,'Données projet'!$E$9+1,1))</f>
        <v>384.05928630855732</v>
      </c>
      <c r="T152" s="59">
        <f t="shared" si="142"/>
        <v>279.93992813630513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304.99999999999983</v>
      </c>
      <c r="AJ152" s="13">
        <f>AI152*VLOOKUP('Données projet'!$B$10,Paramètres!$A$1:$I$89,3,0)*VLOOKUP('Données projet'!$B$10,Paramètres!$A$1:$I$89,5,0)</f>
        <v>275.96399999999983</v>
      </c>
      <c r="AK152" s="13">
        <f t="shared" si="143"/>
        <v>66.113366665488854</v>
      </c>
      <c r="AL152" s="20">
        <f t="shared" si="112"/>
        <v>595.78474694239264</v>
      </c>
      <c r="AM152" s="59">
        <f t="shared" si="113"/>
        <v>889.11808027572602</v>
      </c>
      <c r="AN152" s="59">
        <f ca="1">AVERAGE(OFFSET($AM$3,0,0,'Données projet'!$E$10+1,1))-AVERAGE(OFFSET($H$3,0,0,'Données projet'!$E$10+1,1))</f>
        <v>366.69125512029831</v>
      </c>
      <c r="AO152" s="59">
        <f t="shared" si="144"/>
        <v>513.80016421153414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0.15311264136826414</v>
      </c>
      <c r="AV152" s="21">
        <f>EXP(-LN(2)/25)*AV151+(1-EXP(-LN(2)/25))/(LN(2)/25)*Calculateur!AQ152*Calculateur!AS152*VLOOKUP('Données projet'!$B$10,Paramètres!$A$1:$I$89,3,0)*0.475*44/12</f>
        <v>0.27247731130623737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0.4255899526745015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212.28480000000002</v>
      </c>
      <c r="BF152" s="13">
        <f t="shared" si="145"/>
        <v>52.434557099704193</v>
      </c>
      <c r="BG152" s="20">
        <f t="shared" si="115"/>
        <v>461.05288028198476</v>
      </c>
      <c r="BH152" s="59">
        <f t="shared" si="116"/>
        <v>754.38621361531807</v>
      </c>
      <c r="BI152" s="59">
        <f ca="1">AVERAGE(OFFSET($BH$3,0,0,'Données projet'!$E$11+1,1))-AVERAGE(OFFSET($H$3,0,0,'Données projet'!$E$11+1,1))</f>
        <v>354.24684313982857</v>
      </c>
      <c r="BJ152" s="59">
        <f t="shared" si="146"/>
        <v>322.65043486962185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10.326746189599083</v>
      </c>
      <c r="BQ152" s="21">
        <f>EXP(-LN(2)/25)*BQ151+(1-EXP(-LN(2)/25))/(LN(2)/25)*Calculateur!BL152*Calculateur!BN152*VLOOKUP('Données projet'!$B$11,Paramètres!$A$1:$I$89,3,0)*0.475*44/12</f>
        <v>3.8272904602306452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14.154036649829727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5.4978954722173515E-13</v>
      </c>
      <c r="CA152" s="13">
        <f t="shared" si="147"/>
        <v>6.7731340873355904E-12</v>
      </c>
      <c r="CB152" s="20">
        <f t="shared" si="118"/>
        <v>1.2754091996854009E-11</v>
      </c>
      <c r="CC152" s="59">
        <f t="shared" si="119"/>
        <v>293.33333333334605</v>
      </c>
      <c r="CD152" s="59">
        <f ca="1">AVERAGE(OFFSET($CC$3,0,0,'Données projet'!$E$12+1,1))-AVERAGE(OFFSET($H$3,0,0,'Données projet'!$E$12+1,1))</f>
        <v>407.73540492005355</v>
      </c>
      <c r="CE152" s="59">
        <f t="shared" si="148"/>
        <v>296.29416764204774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127.97005761934903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127.97005761934903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266.99999999999983</v>
      </c>
      <c r="CU152" s="17">
        <f>CT152*VLOOKUP('Données projet'!$B$13,Paramètres!$A$1:$I$89,3,0)*VLOOKUP('Données projet'!$B$13,Paramètres!$A$1:$I$89,5,0)</f>
        <v>212.42519999999985</v>
      </c>
      <c r="CV152" s="13">
        <f t="shared" si="149"/>
        <v>52.465198231787184</v>
      </c>
      <c r="CW152" s="20">
        <f t="shared" si="121"/>
        <v>461.35077692036231</v>
      </c>
      <c r="CX152" s="59">
        <f t="shared" si="122"/>
        <v>754.68411025369562</v>
      </c>
      <c r="CY152" s="59">
        <f ca="1">AVERAGE(OFFSET($CX$3,0,0,'Données projet'!$E$13+1,1))-AVERAGE(OFFSET($H$3,0,0,'Données projet'!$E$13+1,1))</f>
        <v>299.10536994156814</v>
      </c>
      <c r="CZ152" s="59">
        <f t="shared" si="150"/>
        <v>292.57799203101769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7.3417987169645409</v>
      </c>
      <c r="DG152" s="21">
        <f>EXP(-LN(2)/25)*DG151+(1-EXP(-LN(2)/25))/(LN(2)/25)*Calculateur!DB152*Calculateur!DD152*VLOOKUP('Données projet'!$B$13,Paramètres!$A$1:$I$89,3,0)*0.475*44/12</f>
        <v>1.2295492064217219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8.5713479233862628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266.99999999999983</v>
      </c>
      <c r="DP152" s="17">
        <f>DO152*VLOOKUP('Données projet'!$B$14,Paramètres!$A$1:$I$89,3,0)*VLOOKUP('Données projet'!$B$14,Paramètres!$A$1:$I$89,5,0)</f>
        <v>212.42519999999985</v>
      </c>
      <c r="DQ152" s="13">
        <f t="shared" si="151"/>
        <v>52.465198231787184</v>
      </c>
      <c r="DR152" s="20">
        <f t="shared" si="124"/>
        <v>461.35077692036231</v>
      </c>
      <c r="DS152" s="59">
        <f t="shared" si="125"/>
        <v>754.68411025369562</v>
      </c>
      <c r="DT152" s="59">
        <f ca="1">AVERAGE(OFFSET($DS$3,0,0,'Données projet'!$E$14+1,1))-AVERAGE(OFFSET($H$3,0,0,'Données projet'!$E$14+1,1))</f>
        <v>299.10536994156814</v>
      </c>
      <c r="DU152" s="59">
        <f t="shared" si="152"/>
        <v>292.57799203101769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7.3417987169645409</v>
      </c>
      <c r="EB152" s="21">
        <f>EXP(-LN(2)/25)*EB151+(1-EXP(-LN(2)/25))/(LN(2)/25)*Calculateur!DW152*Calculateur!DY152*VLOOKUP('Données projet'!$B$14,Paramètres!$A$1:$I$89,3,0)*0.475*44/12</f>
        <v>1.2295492064217219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8.5713479233862628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204.00000000000017</v>
      </c>
      <c r="EK152" s="17">
        <f>EJ152*VLOOKUP('Données projet'!$B$15,Paramètres!$A$1:$I$89,3,0)*VLOOKUP('Données projet'!$B$15,Paramètres!$A$1:$I$89,5,0)</f>
        <v>133.66080000000011</v>
      </c>
      <c r="EL152" s="13">
        <f t="shared" si="153"/>
        <v>34.840890682716783</v>
      </c>
      <c r="EM152" s="20">
        <f t="shared" si="127"/>
        <v>293.4737779390652</v>
      </c>
      <c r="EN152" s="59">
        <f t="shared" si="128"/>
        <v>586.80711127239852</v>
      </c>
      <c r="EO152" s="59">
        <f ca="1">AVERAGE(OFFSET($EN$3,0,0,'Données projet'!$E$15+1,1))-AVERAGE(OFFSET($H$3,0,0,'Données projet'!$E$15+1,1))</f>
        <v>230.58262378842818</v>
      </c>
      <c r="EP152" s="59">
        <f t="shared" si="154"/>
        <v>235.68746142880792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0.5935992620434527</v>
      </c>
      <c r="EW152" s="21">
        <f>EXP(-LN(2)/25)*EW151+(1-EXP(-LN(2)/25))/(LN(2)/25)*Calculateur!ER152*Calculateur!ET152*VLOOKUP('Données projet'!$B$15,Paramètres!$A$1:$I$89,3,0)*0.475*44/12</f>
        <v>2.1014393496481003</v>
      </c>
      <c r="EX152" s="21">
        <f>EXP(-LN(2)/2)*EX151+(1-EXP(-LN(2)/2))/(LN(2)/2)*ER152*EU152*VLOOKUP('Données projet'!$B$15,Paramètres!$A$1:$I$89,3,0)*0.475*44/12</f>
        <v>3.9210776120799074E-9</v>
      </c>
      <c r="EY152" s="22">
        <f t="shared" si="129"/>
        <v>2.6950386156126305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234.00000000000003</v>
      </c>
      <c r="FF152" s="17">
        <f>FE152*VLOOKUP('Données projet'!$B$16,Paramètres!$A$1:$I$89,3,0)*VLOOKUP('Données projet'!$B$16,Paramètres!$A$1:$I$89,5,0)</f>
        <v>189.82080000000005</v>
      </c>
      <c r="FG152" s="13">
        <f t="shared" si="155"/>
        <v>47.500332100049796</v>
      </c>
      <c r="FH152" s="20">
        <f t="shared" si="130"/>
        <v>413.33430507425345</v>
      </c>
      <c r="FI152" s="59">
        <f t="shared" si="131"/>
        <v>706.66763840758676</v>
      </c>
      <c r="FJ152" s="59">
        <f ca="1">AVERAGE(OFFSET($FI$3,0,0,'Données projet'!$E$16+1,1))-AVERAGE(OFFSET($H$3,0,0,'Données projet'!$E$16+1,1))</f>
        <v>272.90535195666996</v>
      </c>
      <c r="FK152" s="59">
        <f t="shared" si="156"/>
        <v>222.25422164416898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1.453171894316901</v>
      </c>
      <c r="FR152" s="21">
        <f>EXP(-LN(2)/25)*FR151+(1-EXP(-LN(2)/25))/(LN(2)/25)*Calculateur!FM152*Calculateur!FO152*VLOOKUP('Données projet'!$B$16,Paramètres!$A$1:$I$89,3,0)*0.475*44/12</f>
        <v>2.3991085740647837</v>
      </c>
      <c r="FS152" s="21">
        <f>EXP(-LN(2)/2)*FS151+(1-EXP(-LN(2)/2))/(LN(2)/2)*FM152*FP152*VLOOKUP('Données projet'!$B$16,Paramètres!$A$1:$I$89,3,0)*0.475*44/12</f>
        <v>1.7833573195081915E-9</v>
      </c>
      <c r="FT152" s="22">
        <f t="shared" si="132"/>
        <v>3.8522804701650424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293.33333333334531</v>
      </c>
      <c r="S153" s="59">
        <f ca="1">AVERAGE(OFFSET($R$3,0,0,'Données projet'!$E$9+1,1))-AVERAGE(OFFSET($H$3,0,0,'Données projet'!$E$9+1,1))</f>
        <v>384.05928630855732</v>
      </c>
      <c r="T153" s="59">
        <f t="shared" si="142"/>
        <v>279.93992813630513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304.99999999999983</v>
      </c>
      <c r="AJ153" s="13">
        <f>AI153*VLOOKUP('Données projet'!$B$10,Paramètres!$A$1:$I$89,3,0)*VLOOKUP('Données projet'!$B$10,Paramètres!$A$1:$I$89,5,0)</f>
        <v>275.96399999999983</v>
      </c>
      <c r="AK153" s="13">
        <f t="shared" si="143"/>
        <v>66.113366665488854</v>
      </c>
      <c r="AL153" s="20">
        <f t="shared" si="112"/>
        <v>595.78474694239264</v>
      </c>
      <c r="AM153" s="59">
        <f t="shared" si="113"/>
        <v>889.11808027572602</v>
      </c>
      <c r="AN153" s="59">
        <f ca="1">AVERAGE(OFFSET($AM$3,0,0,'Données projet'!$E$10+1,1))-AVERAGE(OFFSET($H$3,0,0,'Données projet'!$E$10+1,1))</f>
        <v>366.69125512029831</v>
      </c>
      <c r="AO153" s="59">
        <f t="shared" si="144"/>
        <v>513.80016421153414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0.15011019586052227</v>
      </c>
      <c r="AV153" s="21">
        <f>EXP(-LN(2)/25)*AV152+(1-EXP(-LN(2)/25))/(LN(2)/25)*Calculateur!AQ153*Calculateur!AS153*VLOOKUP('Données projet'!$B$10,Paramètres!$A$1:$I$89,3,0)*0.475*44/12</f>
        <v>0.26502640489960927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0.41513660076013154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212.28480000000002</v>
      </c>
      <c r="BF153" s="13">
        <f t="shared" si="145"/>
        <v>52.434557099704193</v>
      </c>
      <c r="BG153" s="20">
        <f t="shared" si="115"/>
        <v>461.05288028198476</v>
      </c>
      <c r="BH153" s="59">
        <f t="shared" si="116"/>
        <v>754.38621361531807</v>
      </c>
      <c r="BI153" s="59">
        <f ca="1">AVERAGE(OFFSET($BH$3,0,0,'Données projet'!$E$11+1,1))-AVERAGE(OFFSET($H$3,0,0,'Données projet'!$E$11+1,1))</f>
        <v>354.24684313982857</v>
      </c>
      <c r="BJ153" s="59">
        <f t="shared" si="146"/>
        <v>322.65043486962185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10.124244995514276</v>
      </c>
      <c r="BQ153" s="21">
        <f>EXP(-LN(2)/25)*BQ152+(1-EXP(-LN(2)/25))/(LN(2)/25)*Calculateur!BL153*Calculateur!BN153*VLOOKUP('Données projet'!$B$11,Paramètres!$A$1:$I$89,3,0)*0.475*44/12</f>
        <v>3.7226330013271802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13.846877996841457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5.4978954722173515E-13</v>
      </c>
      <c r="CA153" s="13">
        <f t="shared" si="147"/>
        <v>6.7731340873355904E-12</v>
      </c>
      <c r="CB153" s="20">
        <f t="shared" si="118"/>
        <v>1.2754091996854009E-11</v>
      </c>
      <c r="CC153" s="59">
        <f t="shared" si="119"/>
        <v>293.33333333334605</v>
      </c>
      <c r="CD153" s="59">
        <f ca="1">AVERAGE(OFFSET($CC$3,0,0,'Données projet'!$E$12+1,1))-AVERAGE(OFFSET($H$3,0,0,'Données projet'!$E$12+1,1))</f>
        <v>407.73540492005355</v>
      </c>
      <c r="CE153" s="59">
        <f t="shared" si="148"/>
        <v>296.29416764204774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125.46064284346156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125.46064284346156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266.99999999999983</v>
      </c>
      <c r="CU153" s="17">
        <f>CT153*VLOOKUP('Données projet'!$B$13,Paramètres!$A$1:$I$89,3,0)*VLOOKUP('Données projet'!$B$13,Paramètres!$A$1:$I$89,5,0)</f>
        <v>212.42519999999985</v>
      </c>
      <c r="CV153" s="13">
        <f t="shared" si="149"/>
        <v>52.465198231787184</v>
      </c>
      <c r="CW153" s="20">
        <f t="shared" si="121"/>
        <v>461.35077692036231</v>
      </c>
      <c r="CX153" s="59">
        <f t="shared" si="122"/>
        <v>754.68411025369562</v>
      </c>
      <c r="CY153" s="59">
        <f ca="1">AVERAGE(OFFSET($CX$3,0,0,'Données projet'!$E$13+1,1))-AVERAGE(OFFSET($H$3,0,0,'Données projet'!$E$13+1,1))</f>
        <v>299.10536994156814</v>
      </c>
      <c r="CZ153" s="59">
        <f t="shared" si="150"/>
        <v>292.57799203101769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7.1978305221799124</v>
      </c>
      <c r="DG153" s="21">
        <f>EXP(-LN(2)/25)*DG152+(1-EXP(-LN(2)/25))/(LN(2)/25)*Calculateur!DB153*Calculateur!DD153*VLOOKUP('Données projet'!$B$13,Paramètres!$A$1:$I$89,3,0)*0.475*44/12</f>
        <v>1.1959271187129374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8.3937576408928507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266.99999999999983</v>
      </c>
      <c r="DP153" s="17">
        <f>DO153*VLOOKUP('Données projet'!$B$14,Paramètres!$A$1:$I$89,3,0)*VLOOKUP('Données projet'!$B$14,Paramètres!$A$1:$I$89,5,0)</f>
        <v>212.42519999999985</v>
      </c>
      <c r="DQ153" s="13">
        <f t="shared" si="151"/>
        <v>52.465198231787184</v>
      </c>
      <c r="DR153" s="20">
        <f t="shared" si="124"/>
        <v>461.35077692036231</v>
      </c>
      <c r="DS153" s="59">
        <f t="shared" si="125"/>
        <v>754.68411025369562</v>
      </c>
      <c r="DT153" s="59">
        <f ca="1">AVERAGE(OFFSET($DS$3,0,0,'Données projet'!$E$14+1,1))-AVERAGE(OFFSET($H$3,0,0,'Données projet'!$E$14+1,1))</f>
        <v>299.10536994156814</v>
      </c>
      <c r="DU153" s="59">
        <f t="shared" si="152"/>
        <v>292.57799203101769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7.1978305221799124</v>
      </c>
      <c r="EB153" s="21">
        <f>EXP(-LN(2)/25)*EB152+(1-EXP(-LN(2)/25))/(LN(2)/25)*Calculateur!DW153*Calculateur!DY153*VLOOKUP('Données projet'!$B$14,Paramètres!$A$1:$I$89,3,0)*0.475*44/12</f>
        <v>1.1959271187129374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8.3937576408928507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204.00000000000017</v>
      </c>
      <c r="EK153" s="17">
        <f>EJ153*VLOOKUP('Données projet'!$B$15,Paramètres!$A$1:$I$89,3,0)*VLOOKUP('Données projet'!$B$15,Paramètres!$A$1:$I$89,5,0)</f>
        <v>133.66080000000011</v>
      </c>
      <c r="EL153" s="13">
        <f t="shared" si="153"/>
        <v>34.840890682716783</v>
      </c>
      <c r="EM153" s="20">
        <f t="shared" si="127"/>
        <v>293.4737779390652</v>
      </c>
      <c r="EN153" s="59">
        <f t="shared" si="128"/>
        <v>586.80711127239852</v>
      </c>
      <c r="EO153" s="59">
        <f ca="1">AVERAGE(OFFSET($EN$3,0,0,'Données projet'!$E$15+1,1))-AVERAGE(OFFSET($H$3,0,0,'Données projet'!$E$15+1,1))</f>
        <v>230.58262378842818</v>
      </c>
      <c r="EP153" s="59">
        <f t="shared" si="154"/>
        <v>235.68746142880792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0.58195914257458004</v>
      </c>
      <c r="EW153" s="21">
        <f>EXP(-LN(2)/25)*EW152+(1-EXP(-LN(2)/25))/(LN(2)/25)*Calculateur!ER153*Calculateur!ET153*VLOOKUP('Données projet'!$B$15,Paramètres!$A$1:$I$89,3,0)*0.475*44/12</f>
        <v>2.0439753801220806</v>
      </c>
      <c r="EX153" s="21">
        <f>EXP(-LN(2)/2)*EX152+(1-EXP(-LN(2)/2))/(LN(2)/2)*ER153*EU153*VLOOKUP('Données projet'!$B$15,Paramètres!$A$1:$I$89,3,0)*0.475*44/12</f>
        <v>2.7726205690604574E-9</v>
      </c>
      <c r="EY153" s="22">
        <f t="shared" si="129"/>
        <v>2.625934525469281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234.00000000000003</v>
      </c>
      <c r="FF153" s="17">
        <f>FE153*VLOOKUP('Données projet'!$B$16,Paramètres!$A$1:$I$89,3,0)*VLOOKUP('Données projet'!$B$16,Paramètres!$A$1:$I$89,5,0)</f>
        <v>189.82080000000005</v>
      </c>
      <c r="FG153" s="13">
        <f t="shared" si="155"/>
        <v>47.500332100049796</v>
      </c>
      <c r="FH153" s="20">
        <f t="shared" si="130"/>
        <v>413.33430507425345</v>
      </c>
      <c r="FI153" s="59">
        <f t="shared" si="131"/>
        <v>706.66763840758676</v>
      </c>
      <c r="FJ153" s="59">
        <f ca="1">AVERAGE(OFFSET($FI$3,0,0,'Données projet'!$E$16+1,1))-AVERAGE(OFFSET($H$3,0,0,'Données projet'!$E$16+1,1))</f>
        <v>272.90535195666996</v>
      </c>
      <c r="FK153" s="59">
        <f t="shared" si="156"/>
        <v>222.25422164416898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1.4246760798166827</v>
      </c>
      <c r="FR153" s="21">
        <f>EXP(-LN(2)/25)*FR152+(1-EXP(-LN(2)/25))/(LN(2)/25)*Calculateur!FM153*Calculateur!FO153*VLOOKUP('Données projet'!$B$16,Paramètres!$A$1:$I$89,3,0)*0.475*44/12</f>
        <v>2.3335048239433456</v>
      </c>
      <c r="FS153" s="21">
        <f>EXP(-LN(2)/2)*FS152+(1-EXP(-LN(2)/2))/(LN(2)/2)*FM153*FP153*VLOOKUP('Données projet'!$B$16,Paramètres!$A$1:$I$89,3,0)*0.475*44/12</f>
        <v>1.2610240539029067E-9</v>
      </c>
      <c r="FT153" s="22">
        <f t="shared" si="132"/>
        <v>3.7581809050210522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293.33333333334531</v>
      </c>
      <c r="S154" s="59">
        <f ca="1">AVERAGE(OFFSET($R$3,0,0,'Données projet'!$E$9+1,1))-AVERAGE(OFFSET($H$3,0,0,'Données projet'!$E$9+1,1))</f>
        <v>384.05928630855732</v>
      </c>
      <c r="T154" s="59">
        <f t="shared" si="142"/>
        <v>279.93992813630513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304.99999999999983</v>
      </c>
      <c r="AJ154" s="13">
        <f>AI154*VLOOKUP('Données projet'!$B$10,Paramètres!$A$1:$I$89,3,0)*VLOOKUP('Données projet'!$B$10,Paramètres!$A$1:$I$89,5,0)</f>
        <v>275.96399999999983</v>
      </c>
      <c r="AK154" s="13">
        <f t="shared" ref="AK154:AK203" si="164">EXP(-1.0587+0.8836*LN(AJ154)+0.284)</f>
        <v>66.113366665488854</v>
      </c>
      <c r="AL154" s="20">
        <f t="shared" ref="AL154:AL203" si="165">(AJ154+AK154)*0.475*44/12</f>
        <v>595.78474694239264</v>
      </c>
      <c r="AM154" s="59">
        <f t="shared" si="113"/>
        <v>889.11808027572602</v>
      </c>
      <c r="AN154" s="59">
        <f ca="1">AVERAGE(OFFSET($AM$3,0,0,'Données projet'!$E$10+1,1))-AVERAGE(OFFSET($H$3,0,0,'Données projet'!$E$10+1,1))</f>
        <v>366.69125512029831</v>
      </c>
      <c r="AO154" s="59">
        <f t="shared" si="144"/>
        <v>513.80016421153414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0.14716662647787629</v>
      </c>
      <c r="AV154" s="21">
        <f>EXP(-LN(2)/25)*AV153+(1-EXP(-LN(2)/25))/(LN(2)/25)*Calculateur!AQ154*Calculateur!AS154*VLOOKUP('Données projet'!$B$10,Paramètres!$A$1:$I$89,3,0)*0.475*44/12</f>
        <v>0.25777924392049656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0.40494587039837282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212.28480000000002</v>
      </c>
      <c r="BF154" s="13">
        <f t="shared" ref="BF154:BF203" si="167">EXP(-1.0587+0.8836*LN(BE154)+0.284)</f>
        <v>52.434557099704193</v>
      </c>
      <c r="BG154" s="20">
        <f t="shared" ref="BG154:BG203" si="168">(BE154+BF154)*0.475*44/12</f>
        <v>461.05288028198476</v>
      </c>
      <c r="BH154" s="59">
        <f t="shared" si="116"/>
        <v>754.38621361531807</v>
      </c>
      <c r="BI154" s="59">
        <f ca="1">AVERAGE(OFFSET($BH$3,0,0,'Données projet'!$E$11+1,1))-AVERAGE(OFFSET($H$3,0,0,'Données projet'!$E$11+1,1))</f>
        <v>354.24684313982857</v>
      </c>
      <c r="BJ154" s="59">
        <f t="shared" si="146"/>
        <v>322.65043486962185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9.9257147263319396</v>
      </c>
      <c r="BQ154" s="21">
        <f>EXP(-LN(2)/25)*BQ153+(1-EXP(-LN(2)/25))/(LN(2)/25)*Calculateur!BL154*Calculateur!BN154*VLOOKUP('Données projet'!$B$11,Paramètres!$A$1:$I$89,3,0)*0.475*44/12</f>
        <v>3.6208374061411273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13.546552132473067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5.4978954722173515E-13</v>
      </c>
      <c r="CA154" s="13">
        <f t="shared" ref="CA154:CA203" si="170">EXP(-1.0587+0.8836*LN(BZ154)+0.284)</f>
        <v>6.7731340873355904E-12</v>
      </c>
      <c r="CB154" s="20">
        <f t="shared" ref="CB154:CB203" si="171">(BZ154+CA154)*0.475*44/12</f>
        <v>1.2754091996854009E-11</v>
      </c>
      <c r="CC154" s="59">
        <f t="shared" si="119"/>
        <v>293.33333333334605</v>
      </c>
      <c r="CD154" s="59">
        <f ca="1">AVERAGE(OFFSET($CC$3,0,0,'Données projet'!$E$12+1,1))-AVERAGE(OFFSET($H$3,0,0,'Données projet'!$E$12+1,1))</f>
        <v>407.73540492005355</v>
      </c>
      <c r="CE154" s="59">
        <f t="shared" si="148"/>
        <v>296.29416764204774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123.00043616073735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123.00043616073735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266.99999999999983</v>
      </c>
      <c r="CU154" s="17">
        <f>CT154*VLOOKUP('Données projet'!$B$13,Paramètres!$A$1:$I$89,3,0)*VLOOKUP('Données projet'!$B$13,Paramètres!$A$1:$I$89,5,0)</f>
        <v>212.42519999999985</v>
      </c>
      <c r="CV154" s="13">
        <f t="shared" ref="CV154:CV203" si="173">EXP(-1.0587+0.8836*LN(CU154)+0.284)</f>
        <v>52.465198231787184</v>
      </c>
      <c r="CW154" s="20">
        <f t="shared" ref="CW154:CW203" si="174">(CU154+CV154)*0.475*44/12</f>
        <v>461.35077692036231</v>
      </c>
      <c r="CX154" s="59">
        <f t="shared" si="122"/>
        <v>754.68411025369562</v>
      </c>
      <c r="CY154" s="59">
        <f ca="1">AVERAGE(OFFSET($CX$3,0,0,'Données projet'!$E$13+1,1))-AVERAGE(OFFSET($H$3,0,0,'Données projet'!$E$13+1,1))</f>
        <v>299.10536994156814</v>
      </c>
      <c r="CZ154" s="59">
        <f t="shared" si="150"/>
        <v>292.57799203101769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7.0566854558830823</v>
      </c>
      <c r="DG154" s="21">
        <f>EXP(-LN(2)/25)*DG153+(1-EXP(-LN(2)/25))/(LN(2)/25)*Calculateur!DB154*Calculateur!DD154*VLOOKUP('Données projet'!$B$13,Paramètres!$A$1:$I$89,3,0)*0.475*44/12</f>
        <v>1.1632244287606583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8.2199098846437408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266.99999999999983</v>
      </c>
      <c r="DP154" s="17">
        <f>DO154*VLOOKUP('Données projet'!$B$14,Paramètres!$A$1:$I$89,3,0)*VLOOKUP('Données projet'!$B$14,Paramètres!$A$1:$I$89,5,0)</f>
        <v>212.42519999999985</v>
      </c>
      <c r="DQ154" s="13">
        <f t="shared" ref="DQ154:DQ203" si="176">EXP(-1.0587+0.8836*LN(DP154)+0.284)</f>
        <v>52.465198231787184</v>
      </c>
      <c r="DR154" s="20">
        <f t="shared" ref="DR154:DR203" si="177">(DP154+DQ154)*0.475*44/12</f>
        <v>461.35077692036231</v>
      </c>
      <c r="DS154" s="59">
        <f t="shared" si="125"/>
        <v>754.68411025369562</v>
      </c>
      <c r="DT154" s="59">
        <f ca="1">AVERAGE(OFFSET($DS$3,0,0,'Données projet'!$E$14+1,1))-AVERAGE(OFFSET($H$3,0,0,'Données projet'!$E$14+1,1))</f>
        <v>299.10536994156814</v>
      </c>
      <c r="DU154" s="59">
        <f t="shared" si="152"/>
        <v>292.57799203101769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7.0566854558830823</v>
      </c>
      <c r="EB154" s="21">
        <f>EXP(-LN(2)/25)*EB153+(1-EXP(-LN(2)/25))/(LN(2)/25)*Calculateur!DW154*Calculateur!DY154*VLOOKUP('Données projet'!$B$14,Paramètres!$A$1:$I$89,3,0)*0.475*44/12</f>
        <v>1.1632244287606583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8.2199098846437408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204.00000000000017</v>
      </c>
      <c r="EK154" s="17">
        <f>EJ154*VLOOKUP('Données projet'!$B$15,Paramètres!$A$1:$I$89,3,0)*VLOOKUP('Données projet'!$B$15,Paramètres!$A$1:$I$89,5,0)</f>
        <v>133.66080000000011</v>
      </c>
      <c r="EL154" s="13">
        <f t="shared" ref="EL154:EL203" si="179">EXP(-1.0587+0.8836*LN(EK154)+0.284)</f>
        <v>34.840890682716783</v>
      </c>
      <c r="EM154" s="20">
        <f t="shared" ref="EM154:EM203" si="180">(EK154+EL154)*0.475*44/12</f>
        <v>293.4737779390652</v>
      </c>
      <c r="EN154" s="59">
        <f t="shared" si="128"/>
        <v>586.80711127239852</v>
      </c>
      <c r="EO154" s="59">
        <f ca="1">AVERAGE(OFFSET($EN$3,0,0,'Données projet'!$E$15+1,1))-AVERAGE(OFFSET($H$3,0,0,'Données projet'!$E$15+1,1))</f>
        <v>230.58262378842818</v>
      </c>
      <c r="EP154" s="59">
        <f t="shared" si="154"/>
        <v>235.68746142880792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0.57054727874872013</v>
      </c>
      <c r="EW154" s="21">
        <f>EXP(-LN(2)/25)*EW153+(1-EXP(-LN(2)/25))/(LN(2)/25)*Calculateur!ER154*Calculateur!ET154*VLOOKUP('Données projet'!$B$15,Paramètres!$A$1:$I$89,3,0)*0.475*44/12</f>
        <v>1.9880827658646487</v>
      </c>
      <c r="EX154" s="21">
        <f>EXP(-LN(2)/2)*EX153+(1-EXP(-LN(2)/2))/(LN(2)/2)*ER154*EU154*VLOOKUP('Données projet'!$B$15,Paramètres!$A$1:$I$89,3,0)*0.475*44/12</f>
        <v>1.9605388060399537E-9</v>
      </c>
      <c r="EY154" s="22">
        <f t="shared" ref="EY154:EY203" si="181">SUM(EV154:EX154)</f>
        <v>2.5586300465739078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234.00000000000003</v>
      </c>
      <c r="FF154" s="17">
        <f>FE154*VLOOKUP('Données projet'!$B$16,Paramètres!$A$1:$I$89,3,0)*VLOOKUP('Données projet'!$B$16,Paramètres!$A$1:$I$89,5,0)</f>
        <v>189.82080000000005</v>
      </c>
      <c r="FG154" s="13">
        <f t="shared" ref="FG154:FG203" si="182">EXP(-1.0587+0.8836*LN(FF154)+0.284)</f>
        <v>47.500332100049796</v>
      </c>
      <c r="FH154" s="20">
        <f t="shared" ref="FH154:FH203" si="183">(FF154+FG154)*0.475*44/12</f>
        <v>413.33430507425345</v>
      </c>
      <c r="FI154" s="59">
        <f t="shared" si="131"/>
        <v>706.66763840758676</v>
      </c>
      <c r="FJ154" s="59">
        <f ca="1">AVERAGE(OFFSET($FI$3,0,0,'Données projet'!$E$16+1,1))-AVERAGE(OFFSET($H$3,0,0,'Données projet'!$E$16+1,1))</f>
        <v>272.90535195666996</v>
      </c>
      <c r="FK154" s="59">
        <f t="shared" si="156"/>
        <v>222.25422164416898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1.3967390508580828</v>
      </c>
      <c r="FR154" s="21">
        <f>EXP(-LN(2)/25)*FR153+(1-EXP(-LN(2)/25))/(LN(2)/25)*Calculateur!FM154*Calculateur!FO154*VLOOKUP('Données projet'!$B$16,Paramètres!$A$1:$I$89,3,0)*0.475*44/12</f>
        <v>2.2696950118189294</v>
      </c>
      <c r="FS154" s="21">
        <f>EXP(-LN(2)/2)*FS153+(1-EXP(-LN(2)/2))/(LN(2)/2)*FM154*FP154*VLOOKUP('Données projet'!$B$16,Paramètres!$A$1:$I$89,3,0)*0.475*44/12</f>
        <v>8.9167865975409574E-10</v>
      </c>
      <c r="FT154" s="22">
        <f t="shared" ref="FT154:FT203" si="184">SUM(FQ154:FS154)</f>
        <v>3.6664340635686909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293.33333333334531</v>
      </c>
      <c r="S155" s="59">
        <f ca="1">AVERAGE(OFFSET($R$3,0,0,'Données projet'!$E$9+1,1))-AVERAGE(OFFSET($H$3,0,0,'Données projet'!$E$9+1,1))</f>
        <v>384.05928630855732</v>
      </c>
      <c r="T155" s="59">
        <f t="shared" si="142"/>
        <v>279.93992813630513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304.99999999999983</v>
      </c>
      <c r="AJ155" s="13">
        <f>AI155*VLOOKUP('Données projet'!$B$10,Paramètres!$A$1:$I$89,3,0)*VLOOKUP('Données projet'!$B$10,Paramètres!$A$1:$I$89,5,0)</f>
        <v>275.96399999999983</v>
      </c>
      <c r="AK155" s="13">
        <f t="shared" si="164"/>
        <v>66.113366665488854</v>
      </c>
      <c r="AL155" s="20">
        <f t="shared" si="165"/>
        <v>595.78474694239264</v>
      </c>
      <c r="AM155" s="59">
        <f t="shared" si="113"/>
        <v>889.11808027572602</v>
      </c>
      <c r="AN155" s="59">
        <f ca="1">AVERAGE(OFFSET($AM$3,0,0,'Données projet'!$E$10+1,1))-AVERAGE(OFFSET($H$3,0,0,'Données projet'!$E$10+1,1))</f>
        <v>366.69125512029831</v>
      </c>
      <c r="AO155" s="59">
        <f t="shared" si="144"/>
        <v>513.80016421153414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0.14428077869542394</v>
      </c>
      <c r="AV155" s="21">
        <f>EXP(-LN(2)/25)*AV154+(1-EXP(-LN(2)/25))/(LN(2)/25)*Calculateur!AQ155*Calculateur!AS155*VLOOKUP('Données projet'!$B$10,Paramètres!$A$1:$I$89,3,0)*0.475*44/12</f>
        <v>0.25073025693946932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0.39501103563489326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212.28480000000002</v>
      </c>
      <c r="BF155" s="13">
        <f t="shared" si="167"/>
        <v>52.434557099704193</v>
      </c>
      <c r="BG155" s="20">
        <f t="shared" si="168"/>
        <v>461.05288028198476</v>
      </c>
      <c r="BH155" s="59">
        <f t="shared" si="116"/>
        <v>754.38621361531807</v>
      </c>
      <c r="BI155" s="59">
        <f ca="1">AVERAGE(OFFSET($BH$3,0,0,'Données projet'!$E$11+1,1))-AVERAGE(OFFSET($H$3,0,0,'Données projet'!$E$11+1,1))</f>
        <v>354.24684313982857</v>
      </c>
      <c r="BJ155" s="59">
        <f t="shared" si="146"/>
        <v>322.65043486962185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9.7310775146367625</v>
      </c>
      <c r="BQ155" s="21">
        <f>EXP(-LN(2)/25)*BQ154+(1-EXP(-LN(2)/25))/(LN(2)/25)*Calculateur!BL155*Calculateur!BN155*VLOOKUP('Données projet'!$B$11,Paramètres!$A$1:$I$89,3,0)*0.475*44/12</f>
        <v>3.5218254168586345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13.252902931495397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5.4978954722173515E-13</v>
      </c>
      <c r="CA155" s="13">
        <f t="shared" si="170"/>
        <v>6.7731340873355904E-12</v>
      </c>
      <c r="CB155" s="20">
        <f t="shared" si="171"/>
        <v>1.2754091996854009E-11</v>
      </c>
      <c r="CC155" s="59">
        <f t="shared" si="119"/>
        <v>293.33333333334605</v>
      </c>
      <c r="CD155" s="59">
        <f ca="1">AVERAGE(OFFSET($CC$3,0,0,'Données projet'!$E$12+1,1))-AVERAGE(OFFSET($H$3,0,0,'Données projet'!$E$12+1,1))</f>
        <v>407.73540492005355</v>
      </c>
      <c r="CE155" s="59">
        <f t="shared" si="148"/>
        <v>296.29416764204774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120.58847263048345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120.58847263048345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266.99999999999983</v>
      </c>
      <c r="CU155" s="17">
        <f>CT155*VLOOKUP('Données projet'!$B$13,Paramètres!$A$1:$I$89,3,0)*VLOOKUP('Données projet'!$B$13,Paramètres!$A$1:$I$89,5,0)</f>
        <v>212.42519999999985</v>
      </c>
      <c r="CV155" s="13">
        <f t="shared" si="173"/>
        <v>52.465198231787184</v>
      </c>
      <c r="CW155" s="20">
        <f t="shared" si="174"/>
        <v>461.35077692036231</v>
      </c>
      <c r="CX155" s="59">
        <f t="shared" si="122"/>
        <v>754.68411025369562</v>
      </c>
      <c r="CY155" s="59">
        <f ca="1">AVERAGE(OFFSET($CX$3,0,0,'Données projet'!$E$13+1,1))-AVERAGE(OFFSET($H$3,0,0,'Données projet'!$E$13+1,1))</f>
        <v>299.10536994156814</v>
      </c>
      <c r="CZ155" s="59">
        <f t="shared" si="150"/>
        <v>292.57799203101769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6.9183081582463437</v>
      </c>
      <c r="DG155" s="21">
        <f>EXP(-LN(2)/25)*DG154+(1-EXP(-LN(2)/25))/(LN(2)/25)*Calculateur!DB155*Calculateur!DD155*VLOOKUP('Données projet'!$B$13,Paramètres!$A$1:$I$89,3,0)*0.475*44/12</f>
        <v>1.1314159955848839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8.0497241538312281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266.99999999999983</v>
      </c>
      <c r="DP155" s="17">
        <f>DO155*VLOOKUP('Données projet'!$B$14,Paramètres!$A$1:$I$89,3,0)*VLOOKUP('Données projet'!$B$14,Paramètres!$A$1:$I$89,5,0)</f>
        <v>212.42519999999985</v>
      </c>
      <c r="DQ155" s="13">
        <f t="shared" si="176"/>
        <v>52.465198231787184</v>
      </c>
      <c r="DR155" s="20">
        <f t="shared" si="177"/>
        <v>461.35077692036231</v>
      </c>
      <c r="DS155" s="59">
        <f t="shared" si="125"/>
        <v>754.68411025369562</v>
      </c>
      <c r="DT155" s="59">
        <f ca="1">AVERAGE(OFFSET($DS$3,0,0,'Données projet'!$E$14+1,1))-AVERAGE(OFFSET($H$3,0,0,'Données projet'!$E$14+1,1))</f>
        <v>299.10536994156814</v>
      </c>
      <c r="DU155" s="59">
        <f t="shared" si="152"/>
        <v>292.57799203101769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6.9183081582463437</v>
      </c>
      <c r="EB155" s="21">
        <f>EXP(-LN(2)/25)*EB154+(1-EXP(-LN(2)/25))/(LN(2)/25)*Calculateur!DW155*Calculateur!DY155*VLOOKUP('Données projet'!$B$14,Paramètres!$A$1:$I$89,3,0)*0.475*44/12</f>
        <v>1.1314159955848839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8.0497241538312281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204.00000000000017</v>
      </c>
      <c r="EK155" s="17">
        <f>EJ155*VLOOKUP('Données projet'!$B$15,Paramètres!$A$1:$I$89,3,0)*VLOOKUP('Données projet'!$B$15,Paramètres!$A$1:$I$89,5,0)</f>
        <v>133.66080000000011</v>
      </c>
      <c r="EL155" s="13">
        <f t="shared" si="179"/>
        <v>34.840890682716783</v>
      </c>
      <c r="EM155" s="20">
        <f t="shared" si="180"/>
        <v>293.4737779390652</v>
      </c>
      <c r="EN155" s="59">
        <f t="shared" si="128"/>
        <v>586.80711127239852</v>
      </c>
      <c r="EO155" s="59">
        <f ca="1">AVERAGE(OFFSET($EN$3,0,0,'Données projet'!$E$15+1,1))-AVERAGE(OFFSET($H$3,0,0,'Données projet'!$E$15+1,1))</f>
        <v>230.58262378842818</v>
      </c>
      <c r="EP155" s="59">
        <f t="shared" si="154"/>
        <v>235.68746142880792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0.55935919461193573</v>
      </c>
      <c r="EW155" s="21">
        <f>EXP(-LN(2)/25)*EW154+(1-EXP(-LN(2)/25))/(LN(2)/25)*Calculateur!ER155*Calculateur!ET155*VLOOKUP('Données projet'!$B$15,Paramètres!$A$1:$I$89,3,0)*0.475*44/12</f>
        <v>1.933718538083351</v>
      </c>
      <c r="EX155" s="21">
        <f>EXP(-LN(2)/2)*EX154+(1-EXP(-LN(2)/2))/(LN(2)/2)*ER155*EU155*VLOOKUP('Données projet'!$B$15,Paramètres!$A$1:$I$89,3,0)*0.475*44/12</f>
        <v>1.3863102845302287E-9</v>
      </c>
      <c r="EY155" s="22">
        <f t="shared" si="181"/>
        <v>2.4930777340815968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234.00000000000003</v>
      </c>
      <c r="FF155" s="17">
        <f>FE155*VLOOKUP('Données projet'!$B$16,Paramètres!$A$1:$I$89,3,0)*VLOOKUP('Données projet'!$B$16,Paramètres!$A$1:$I$89,5,0)</f>
        <v>189.82080000000005</v>
      </c>
      <c r="FG155" s="13">
        <f t="shared" si="182"/>
        <v>47.500332100049796</v>
      </c>
      <c r="FH155" s="20">
        <f t="shared" si="183"/>
        <v>413.33430507425345</v>
      </c>
      <c r="FI155" s="59">
        <f t="shared" si="131"/>
        <v>706.66763840758676</v>
      </c>
      <c r="FJ155" s="59">
        <f ca="1">AVERAGE(OFFSET($FI$3,0,0,'Données projet'!$E$16+1,1))-AVERAGE(OFFSET($H$3,0,0,'Données projet'!$E$16+1,1))</f>
        <v>272.90535195666996</v>
      </c>
      <c r="FK155" s="59">
        <f t="shared" si="156"/>
        <v>222.25422164416898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1.3693498499974561</v>
      </c>
      <c r="FR155" s="21">
        <f>EXP(-LN(2)/25)*FR154+(1-EXP(-LN(2)/25))/(LN(2)/25)*Calculateur!FM155*Calculateur!FO155*VLOOKUP('Données projet'!$B$16,Paramètres!$A$1:$I$89,3,0)*0.475*44/12</f>
        <v>2.2076300823626678</v>
      </c>
      <c r="FS155" s="21">
        <f>EXP(-LN(2)/2)*FS154+(1-EXP(-LN(2)/2))/(LN(2)/2)*FM155*FP155*VLOOKUP('Données projet'!$B$16,Paramètres!$A$1:$I$89,3,0)*0.475*44/12</f>
        <v>6.3051202695145333E-10</v>
      </c>
      <c r="FT155" s="22">
        <f t="shared" si="184"/>
        <v>3.576979932990636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293.33333333334531</v>
      </c>
      <c r="S156" s="59">
        <f ca="1">AVERAGE(OFFSET($R$3,0,0,'Données projet'!$E$9+1,1))-AVERAGE(OFFSET($H$3,0,0,'Données projet'!$E$9+1,1))</f>
        <v>384.05928630855732</v>
      </c>
      <c r="T156" s="59">
        <f t="shared" si="142"/>
        <v>279.93992813630513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304.99999999999983</v>
      </c>
      <c r="AJ156" s="13">
        <f>AI156*VLOOKUP('Données projet'!$B$10,Paramètres!$A$1:$I$89,3,0)*VLOOKUP('Données projet'!$B$10,Paramètres!$A$1:$I$89,5,0)</f>
        <v>275.96399999999983</v>
      </c>
      <c r="AK156" s="13">
        <f t="shared" si="164"/>
        <v>66.113366665488854</v>
      </c>
      <c r="AL156" s="20">
        <f t="shared" si="165"/>
        <v>595.78474694239264</v>
      </c>
      <c r="AM156" s="59">
        <f t="shared" si="113"/>
        <v>889.11808027572602</v>
      </c>
      <c r="AN156" s="59">
        <f ca="1">AVERAGE(OFFSET($AM$3,0,0,'Données projet'!$E$10+1,1))-AVERAGE(OFFSET($H$3,0,0,'Données projet'!$E$10+1,1))</f>
        <v>366.69125512029831</v>
      </c>
      <c r="AO156" s="59">
        <f t="shared" si="144"/>
        <v>513.80016421153414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0.14145152062779215</v>
      </c>
      <c r="AV156" s="21">
        <f>EXP(-LN(2)/25)*AV155+(1-EXP(-LN(2)/25))/(LN(2)/25)*Calculateur!AQ156*Calculateur!AS156*VLOOKUP('Données projet'!$B$10,Paramètres!$A$1:$I$89,3,0)*0.475*44/12</f>
        <v>0.24387402487812837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0.38532554550592052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212.28480000000002</v>
      </c>
      <c r="BF156" s="13">
        <f t="shared" si="167"/>
        <v>52.434557099704193</v>
      </c>
      <c r="BG156" s="20">
        <f t="shared" si="168"/>
        <v>461.05288028198476</v>
      </c>
      <c r="BH156" s="59">
        <f t="shared" si="116"/>
        <v>754.38621361531807</v>
      </c>
      <c r="BI156" s="59">
        <f ca="1">AVERAGE(OFFSET($BH$3,0,0,'Données projet'!$E$11+1,1))-AVERAGE(OFFSET($H$3,0,0,'Données projet'!$E$11+1,1))</f>
        <v>354.24684313982857</v>
      </c>
      <c r="BJ156" s="59">
        <f t="shared" si="146"/>
        <v>322.65043486962185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9.5402570199459511</v>
      </c>
      <c r="BQ156" s="21">
        <f>EXP(-LN(2)/25)*BQ155+(1-EXP(-LN(2)/25))/(LN(2)/25)*Calculateur!BL156*Calculateur!BN156*VLOOKUP('Données projet'!$B$11,Paramètres!$A$1:$I$89,3,0)*0.475*44/12</f>
        <v>3.4255209156298858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12.965777935575836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5.4978954722173515E-13</v>
      </c>
      <c r="CA156" s="13">
        <f t="shared" si="170"/>
        <v>6.7731340873355904E-12</v>
      </c>
      <c r="CB156" s="20">
        <f t="shared" si="171"/>
        <v>1.2754091996854009E-11</v>
      </c>
      <c r="CC156" s="59">
        <f t="shared" si="119"/>
        <v>293.33333333334605</v>
      </c>
      <c r="CD156" s="59">
        <f ca="1">AVERAGE(OFFSET($CC$3,0,0,'Données projet'!$E$12+1,1))-AVERAGE(OFFSET($H$3,0,0,'Données projet'!$E$12+1,1))</f>
        <v>407.73540492005355</v>
      </c>
      <c r="CE156" s="59">
        <f t="shared" si="148"/>
        <v>296.29416764204774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118.22380623390535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118.22380623390535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266.99999999999983</v>
      </c>
      <c r="CU156" s="17">
        <f>CT156*VLOOKUP('Données projet'!$B$13,Paramètres!$A$1:$I$89,3,0)*VLOOKUP('Données projet'!$B$13,Paramètres!$A$1:$I$89,5,0)</f>
        <v>212.42519999999985</v>
      </c>
      <c r="CV156" s="13">
        <f t="shared" si="173"/>
        <v>52.465198231787184</v>
      </c>
      <c r="CW156" s="20">
        <f t="shared" si="174"/>
        <v>461.35077692036231</v>
      </c>
      <c r="CX156" s="59">
        <f t="shared" si="122"/>
        <v>754.68411025369562</v>
      </c>
      <c r="CY156" s="59">
        <f ca="1">AVERAGE(OFFSET($CX$3,0,0,'Données projet'!$E$13+1,1))-AVERAGE(OFFSET($H$3,0,0,'Données projet'!$E$13+1,1))</f>
        <v>299.10536994156814</v>
      </c>
      <c r="CZ156" s="59">
        <f t="shared" si="150"/>
        <v>292.57799203101769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6.782644355014444</v>
      </c>
      <c r="DG156" s="21">
        <f>EXP(-LN(2)/25)*DG155+(1-EXP(-LN(2)/25))/(LN(2)/25)*Calculateur!DB156*Calculateur!DD156*VLOOKUP('Données projet'!$B$13,Paramètres!$A$1:$I$89,3,0)*0.475*44/12</f>
        <v>1.1004773656870339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7.8831217207014781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266.99999999999983</v>
      </c>
      <c r="DP156" s="17">
        <f>DO156*VLOOKUP('Données projet'!$B$14,Paramètres!$A$1:$I$89,3,0)*VLOOKUP('Données projet'!$B$14,Paramètres!$A$1:$I$89,5,0)</f>
        <v>212.42519999999985</v>
      </c>
      <c r="DQ156" s="13">
        <f t="shared" si="176"/>
        <v>52.465198231787184</v>
      </c>
      <c r="DR156" s="20">
        <f t="shared" si="177"/>
        <v>461.35077692036231</v>
      </c>
      <c r="DS156" s="59">
        <f t="shared" si="125"/>
        <v>754.68411025369562</v>
      </c>
      <c r="DT156" s="59">
        <f ca="1">AVERAGE(OFFSET($DS$3,0,0,'Données projet'!$E$14+1,1))-AVERAGE(OFFSET($H$3,0,0,'Données projet'!$E$14+1,1))</f>
        <v>299.10536994156814</v>
      </c>
      <c r="DU156" s="59">
        <f t="shared" si="152"/>
        <v>292.57799203101769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6.782644355014444</v>
      </c>
      <c r="EB156" s="21">
        <f>EXP(-LN(2)/25)*EB155+(1-EXP(-LN(2)/25))/(LN(2)/25)*Calculateur!DW156*Calculateur!DY156*VLOOKUP('Données projet'!$B$14,Paramètres!$A$1:$I$89,3,0)*0.475*44/12</f>
        <v>1.1004773656870339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7.8831217207014781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204.00000000000017</v>
      </c>
      <c r="EK156" s="17">
        <f>EJ156*VLOOKUP('Données projet'!$B$15,Paramètres!$A$1:$I$89,3,0)*VLOOKUP('Données projet'!$B$15,Paramètres!$A$1:$I$89,5,0)</f>
        <v>133.66080000000011</v>
      </c>
      <c r="EL156" s="13">
        <f t="shared" si="179"/>
        <v>34.840890682716783</v>
      </c>
      <c r="EM156" s="20">
        <f t="shared" si="180"/>
        <v>293.4737779390652</v>
      </c>
      <c r="EN156" s="59">
        <f t="shared" si="128"/>
        <v>586.80711127239852</v>
      </c>
      <c r="EO156" s="59">
        <f ca="1">AVERAGE(OFFSET($EN$3,0,0,'Données projet'!$E$15+1,1))-AVERAGE(OFFSET($H$3,0,0,'Données projet'!$E$15+1,1))</f>
        <v>230.58262378842818</v>
      </c>
      <c r="EP156" s="59">
        <f t="shared" si="154"/>
        <v>235.68746142880792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0.54839050198101613</v>
      </c>
      <c r="EW156" s="21">
        <f>EXP(-LN(2)/25)*EW155+(1-EXP(-LN(2)/25))/(LN(2)/25)*Calculateur!ER156*Calculateur!ET156*VLOOKUP('Données projet'!$B$15,Paramètres!$A$1:$I$89,3,0)*0.475*44/12</f>
        <v>1.8808409029696234</v>
      </c>
      <c r="EX156" s="21">
        <f>EXP(-LN(2)/2)*EX155+(1-EXP(-LN(2)/2))/(LN(2)/2)*ER156*EU156*VLOOKUP('Données projet'!$B$15,Paramètres!$A$1:$I$89,3,0)*0.475*44/12</f>
        <v>9.8026940301997684E-10</v>
      </c>
      <c r="EY156" s="22">
        <f t="shared" si="181"/>
        <v>2.4292314059309086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234.00000000000003</v>
      </c>
      <c r="FF156" s="17">
        <f>FE156*VLOOKUP('Données projet'!$B$16,Paramètres!$A$1:$I$89,3,0)*VLOOKUP('Données projet'!$B$16,Paramètres!$A$1:$I$89,5,0)</f>
        <v>189.82080000000005</v>
      </c>
      <c r="FG156" s="13">
        <f t="shared" si="182"/>
        <v>47.500332100049796</v>
      </c>
      <c r="FH156" s="20">
        <f t="shared" si="183"/>
        <v>413.33430507425345</v>
      </c>
      <c r="FI156" s="59">
        <f t="shared" si="131"/>
        <v>706.66763840758676</v>
      </c>
      <c r="FJ156" s="59">
        <f ca="1">AVERAGE(OFFSET($FI$3,0,0,'Données projet'!$E$16+1,1))-AVERAGE(OFFSET($H$3,0,0,'Données projet'!$E$16+1,1))</f>
        <v>272.90535195666996</v>
      </c>
      <c r="FK156" s="59">
        <f t="shared" si="156"/>
        <v>222.25422164416898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1.3424977346599434</v>
      </c>
      <c r="FR156" s="21">
        <f>EXP(-LN(2)/25)*FR155+(1-EXP(-LN(2)/25))/(LN(2)/25)*Calculateur!FM156*Calculateur!FO156*VLOOKUP('Données projet'!$B$16,Paramètres!$A$1:$I$89,3,0)*0.475*44/12</f>
        <v>2.1472623216662403</v>
      </c>
      <c r="FS156" s="21">
        <f>EXP(-LN(2)/2)*FS155+(1-EXP(-LN(2)/2))/(LN(2)/2)*FM156*FP156*VLOOKUP('Données projet'!$B$16,Paramètres!$A$1:$I$89,3,0)*0.475*44/12</f>
        <v>4.4583932987704787E-10</v>
      </c>
      <c r="FT156" s="22">
        <f t="shared" si="184"/>
        <v>3.4897600567720231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293.33333333334531</v>
      </c>
      <c r="S157" s="59">
        <f ca="1">AVERAGE(OFFSET($R$3,0,0,'Données projet'!$E$9+1,1))-AVERAGE(OFFSET($H$3,0,0,'Données projet'!$E$9+1,1))</f>
        <v>384.05928630855732</v>
      </c>
      <c r="T157" s="59">
        <f t="shared" si="142"/>
        <v>279.93992813630513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304.99999999999983</v>
      </c>
      <c r="AJ157" s="13">
        <f>AI157*VLOOKUP('Données projet'!$B$10,Paramètres!$A$1:$I$89,3,0)*VLOOKUP('Données projet'!$B$10,Paramètres!$A$1:$I$89,5,0)</f>
        <v>275.96399999999983</v>
      </c>
      <c r="AK157" s="13">
        <f t="shared" si="164"/>
        <v>66.113366665488854</v>
      </c>
      <c r="AL157" s="20">
        <f t="shared" si="165"/>
        <v>595.78474694239264</v>
      </c>
      <c r="AM157" s="59">
        <f t="shared" si="113"/>
        <v>889.11808027572602</v>
      </c>
      <c r="AN157" s="59">
        <f ca="1">AVERAGE(OFFSET($AM$3,0,0,'Données projet'!$E$10+1,1))-AVERAGE(OFFSET($H$3,0,0,'Données projet'!$E$10+1,1))</f>
        <v>366.69125512029831</v>
      </c>
      <c r="AO157" s="59">
        <f t="shared" si="144"/>
        <v>513.80016421153414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0.13867774258518958</v>
      </c>
      <c r="AV157" s="21">
        <f>EXP(-LN(2)/25)*AV156+(1-EXP(-LN(2)/25))/(LN(2)/25)*Calculateur!AQ157*Calculateur!AS157*VLOOKUP('Données projet'!$B$10,Paramètres!$A$1:$I$89,3,0)*0.475*44/12</f>
        <v>0.23720527684305837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0.37588301942824798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212.28480000000002</v>
      </c>
      <c r="BF157" s="13">
        <f t="shared" si="167"/>
        <v>52.434557099704193</v>
      </c>
      <c r="BG157" s="20">
        <f t="shared" si="168"/>
        <v>461.05288028198476</v>
      </c>
      <c r="BH157" s="59">
        <f t="shared" si="116"/>
        <v>754.38621361531807</v>
      </c>
      <c r="BI157" s="59">
        <f ca="1">AVERAGE(OFFSET($BH$3,0,0,'Données projet'!$E$11+1,1))-AVERAGE(OFFSET($H$3,0,0,'Données projet'!$E$11+1,1))</f>
        <v>354.24684313982857</v>
      </c>
      <c r="BJ157" s="59">
        <f t="shared" si="146"/>
        <v>322.65043486962185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9.3531783987670156</v>
      </c>
      <c r="BQ157" s="21">
        <f>EXP(-LN(2)/25)*BQ156+(1-EXP(-LN(2)/25))/(LN(2)/25)*Calculateur!BL157*Calculateur!BN157*VLOOKUP('Données projet'!$B$11,Paramètres!$A$1:$I$89,3,0)*0.475*44/12</f>
        <v>3.3318498660516709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12.685028264818687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5.4978954722173515E-13</v>
      </c>
      <c r="CA157" s="13">
        <f t="shared" si="170"/>
        <v>6.7731340873355904E-12</v>
      </c>
      <c r="CB157" s="20">
        <f t="shared" si="171"/>
        <v>1.2754091996854009E-11</v>
      </c>
      <c r="CC157" s="59">
        <f t="shared" si="119"/>
        <v>293.33333333334605</v>
      </c>
      <c r="CD157" s="59">
        <f ca="1">AVERAGE(OFFSET($CC$3,0,0,'Données projet'!$E$12+1,1))-AVERAGE(OFFSET($H$3,0,0,'Données projet'!$E$12+1,1))</f>
        <v>407.73540492005355</v>
      </c>
      <c r="CE157" s="59">
        <f t="shared" si="148"/>
        <v>296.29416764204774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115.90550950306006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115.90550950306006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266.99999999999983</v>
      </c>
      <c r="CU157" s="17">
        <f>CT157*VLOOKUP('Données projet'!$B$13,Paramètres!$A$1:$I$89,3,0)*VLOOKUP('Données projet'!$B$13,Paramètres!$A$1:$I$89,5,0)</f>
        <v>212.42519999999985</v>
      </c>
      <c r="CV157" s="13">
        <f t="shared" si="173"/>
        <v>52.465198231787184</v>
      </c>
      <c r="CW157" s="20">
        <f t="shared" si="174"/>
        <v>461.35077692036231</v>
      </c>
      <c r="CX157" s="59">
        <f t="shared" si="122"/>
        <v>754.68411025369562</v>
      </c>
      <c r="CY157" s="59">
        <f ca="1">AVERAGE(OFFSET($CX$3,0,0,'Données projet'!$E$13+1,1))-AVERAGE(OFFSET($H$3,0,0,'Données projet'!$E$13+1,1))</f>
        <v>299.10536994156814</v>
      </c>
      <c r="CZ157" s="59">
        <f t="shared" si="150"/>
        <v>292.57799203101769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6.6496408362171717</v>
      </c>
      <c r="DG157" s="21">
        <f>EXP(-LN(2)/25)*DG156+(1-EXP(-LN(2)/25))/(LN(2)/25)*Calculateur!DB157*Calculateur!DD157*VLOOKUP('Données projet'!$B$13,Paramètres!$A$1:$I$89,3,0)*0.475*44/12</f>
        <v>1.0703847542507325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7.7200255904679045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266.99999999999983</v>
      </c>
      <c r="DP157" s="17">
        <f>DO157*VLOOKUP('Données projet'!$B$14,Paramètres!$A$1:$I$89,3,0)*VLOOKUP('Données projet'!$B$14,Paramètres!$A$1:$I$89,5,0)</f>
        <v>212.42519999999985</v>
      </c>
      <c r="DQ157" s="13">
        <f t="shared" si="176"/>
        <v>52.465198231787184</v>
      </c>
      <c r="DR157" s="20">
        <f t="shared" si="177"/>
        <v>461.35077692036231</v>
      </c>
      <c r="DS157" s="59">
        <f t="shared" si="125"/>
        <v>754.68411025369562</v>
      </c>
      <c r="DT157" s="59">
        <f ca="1">AVERAGE(OFFSET($DS$3,0,0,'Données projet'!$E$14+1,1))-AVERAGE(OFFSET($H$3,0,0,'Données projet'!$E$14+1,1))</f>
        <v>299.10536994156814</v>
      </c>
      <c r="DU157" s="59">
        <f t="shared" si="152"/>
        <v>292.57799203101769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6.6496408362171717</v>
      </c>
      <c r="EB157" s="21">
        <f>EXP(-LN(2)/25)*EB156+(1-EXP(-LN(2)/25))/(LN(2)/25)*Calculateur!DW157*Calculateur!DY157*VLOOKUP('Données projet'!$B$14,Paramètres!$A$1:$I$89,3,0)*0.475*44/12</f>
        <v>1.0703847542507325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7.7200255904679045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204.00000000000017</v>
      </c>
      <c r="EK157" s="17">
        <f>EJ157*VLOOKUP('Données projet'!$B$15,Paramètres!$A$1:$I$89,3,0)*VLOOKUP('Données projet'!$B$15,Paramètres!$A$1:$I$89,5,0)</f>
        <v>133.66080000000011</v>
      </c>
      <c r="EL157" s="13">
        <f t="shared" si="179"/>
        <v>34.840890682716783</v>
      </c>
      <c r="EM157" s="20">
        <f t="shared" si="180"/>
        <v>293.4737779390652</v>
      </c>
      <c r="EN157" s="59">
        <f t="shared" si="128"/>
        <v>586.80711127239852</v>
      </c>
      <c r="EO157" s="59">
        <f ca="1">AVERAGE(OFFSET($EN$3,0,0,'Données projet'!$E$15+1,1))-AVERAGE(OFFSET($H$3,0,0,'Données projet'!$E$15+1,1))</f>
        <v>230.58262378842818</v>
      </c>
      <c r="EP157" s="59">
        <f t="shared" si="154"/>
        <v>235.68746142880792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0.53763689872234699</v>
      </c>
      <c r="EW157" s="21">
        <f>EXP(-LN(2)/25)*EW156+(1-EXP(-LN(2)/25))/(LN(2)/25)*Calculateur!ER157*Calculateur!ET157*VLOOKUP('Données projet'!$B$15,Paramètres!$A$1:$I$89,3,0)*0.475*44/12</f>
        <v>1.8294092095687946</v>
      </c>
      <c r="EX157" s="21">
        <f>EXP(-LN(2)/2)*EX156+(1-EXP(-LN(2)/2))/(LN(2)/2)*ER157*EU157*VLOOKUP('Données projet'!$B$15,Paramètres!$A$1:$I$89,3,0)*0.475*44/12</f>
        <v>6.9315514226511435E-10</v>
      </c>
      <c r="EY157" s="22">
        <f t="shared" si="181"/>
        <v>2.3670461089842969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234.00000000000003</v>
      </c>
      <c r="FF157" s="17">
        <f>FE157*VLOOKUP('Données projet'!$B$16,Paramètres!$A$1:$I$89,3,0)*VLOOKUP('Données projet'!$B$16,Paramètres!$A$1:$I$89,5,0)</f>
        <v>189.82080000000005</v>
      </c>
      <c r="FG157" s="13">
        <f t="shared" si="182"/>
        <v>47.500332100049796</v>
      </c>
      <c r="FH157" s="20">
        <f t="shared" si="183"/>
        <v>413.33430507425345</v>
      </c>
      <c r="FI157" s="59">
        <f t="shared" si="131"/>
        <v>706.66763840758676</v>
      </c>
      <c r="FJ157" s="59">
        <f ca="1">AVERAGE(OFFSET($FI$3,0,0,'Données projet'!$E$16+1,1))-AVERAGE(OFFSET($H$3,0,0,'Données projet'!$E$16+1,1))</f>
        <v>272.90535195666996</v>
      </c>
      <c r="FK157" s="59">
        <f t="shared" si="156"/>
        <v>222.25422164416898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1.3161721729260261</v>
      </c>
      <c r="FR157" s="21">
        <f>EXP(-LN(2)/25)*FR156+(1-EXP(-LN(2)/25))/(LN(2)/25)*Calculateur!FM157*Calculateur!FO157*VLOOKUP('Données projet'!$B$16,Paramètres!$A$1:$I$89,3,0)*0.475*44/12</f>
        <v>2.0885453205606592</v>
      </c>
      <c r="FS157" s="21">
        <f>EXP(-LN(2)/2)*FS156+(1-EXP(-LN(2)/2))/(LN(2)/2)*FM157*FP157*VLOOKUP('Données projet'!$B$16,Paramètres!$A$1:$I$89,3,0)*0.475*44/12</f>
        <v>3.1525601347572666E-10</v>
      </c>
      <c r="FT157" s="22">
        <f t="shared" si="184"/>
        <v>3.4047174938019409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293.33333333334531</v>
      </c>
      <c r="S158" s="59">
        <f ca="1">AVERAGE(OFFSET($R$3,0,0,'Données projet'!$E$9+1,1))-AVERAGE(OFFSET($H$3,0,0,'Données projet'!$E$9+1,1))</f>
        <v>384.05928630855732</v>
      </c>
      <c r="T158" s="59">
        <f t="shared" si="142"/>
        <v>279.93992813630513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304.99999999999983</v>
      </c>
      <c r="AJ158" s="13">
        <f>AI158*VLOOKUP('Données projet'!$B$10,Paramètres!$A$1:$I$89,3,0)*VLOOKUP('Données projet'!$B$10,Paramètres!$A$1:$I$89,5,0)</f>
        <v>275.96399999999983</v>
      </c>
      <c r="AK158" s="13">
        <f t="shared" si="164"/>
        <v>66.113366665488854</v>
      </c>
      <c r="AL158" s="20">
        <f t="shared" si="165"/>
        <v>595.78474694239264</v>
      </c>
      <c r="AM158" s="59">
        <f t="shared" si="113"/>
        <v>889.11808027572602</v>
      </c>
      <c r="AN158" s="59">
        <f ca="1">AVERAGE(OFFSET($AM$3,0,0,'Données projet'!$E$10+1,1))-AVERAGE(OFFSET($H$3,0,0,'Données projet'!$E$10+1,1))</f>
        <v>366.69125512029831</v>
      </c>
      <c r="AO158" s="59">
        <f t="shared" si="144"/>
        <v>513.80016421153414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0.13595835663816491</v>
      </c>
      <c r="AV158" s="21">
        <f>EXP(-LN(2)/25)*AV157+(1-EXP(-LN(2)/25))/(LN(2)/25)*Calculateur!AQ158*Calculateur!AS158*VLOOKUP('Données projet'!$B$10,Paramètres!$A$1:$I$89,3,0)*0.475*44/12</f>
        <v>0.23071888607370156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0.36667724271186647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212.28480000000002</v>
      </c>
      <c r="BF158" s="13">
        <f t="shared" si="167"/>
        <v>52.434557099704193</v>
      </c>
      <c r="BG158" s="20">
        <f t="shared" si="168"/>
        <v>461.05288028198476</v>
      </c>
      <c r="BH158" s="59">
        <f t="shared" si="116"/>
        <v>754.38621361531807</v>
      </c>
      <c r="BI158" s="59">
        <f ca="1">AVERAGE(OFFSET($BH$3,0,0,'Données projet'!$E$11+1,1))-AVERAGE(OFFSET($H$3,0,0,'Données projet'!$E$11+1,1))</f>
        <v>354.24684313982857</v>
      </c>
      <c r="BJ158" s="59">
        <f t="shared" si="146"/>
        <v>322.65043486962185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9.1697682752427081</v>
      </c>
      <c r="BQ158" s="21">
        <f>EXP(-LN(2)/25)*BQ157+(1-EXP(-LN(2)/25))/(LN(2)/25)*Calculateur!BL158*Calculateur!BN158*VLOOKUP('Données projet'!$B$11,Paramètres!$A$1:$I$89,3,0)*0.475*44/12</f>
        <v>3.2407402562501186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12.410508531492827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5.4978954722173515E-13</v>
      </c>
      <c r="CA158" s="13">
        <f t="shared" si="170"/>
        <v>6.7731340873355904E-12</v>
      </c>
      <c r="CB158" s="20">
        <f t="shared" si="171"/>
        <v>1.2754091996854009E-11</v>
      </c>
      <c r="CC158" s="59">
        <f t="shared" si="119"/>
        <v>293.33333333334605</v>
      </c>
      <c r="CD158" s="59">
        <f ca="1">AVERAGE(OFFSET($CC$3,0,0,'Données projet'!$E$12+1,1))-AVERAGE(OFFSET($H$3,0,0,'Données projet'!$E$12+1,1))</f>
        <v>407.73540492005355</v>
      </c>
      <c r="CE158" s="59">
        <f t="shared" si="148"/>
        <v>296.29416764204774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113.63267315708526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113.63267315708526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266.99999999999983</v>
      </c>
      <c r="CU158" s="17">
        <f>CT158*VLOOKUP('Données projet'!$B$13,Paramètres!$A$1:$I$89,3,0)*VLOOKUP('Données projet'!$B$13,Paramètres!$A$1:$I$89,5,0)</f>
        <v>212.42519999999985</v>
      </c>
      <c r="CV158" s="13">
        <f t="shared" si="173"/>
        <v>52.465198231787184</v>
      </c>
      <c r="CW158" s="20">
        <f t="shared" si="174"/>
        <v>461.35077692036231</v>
      </c>
      <c r="CX158" s="59">
        <f t="shared" si="122"/>
        <v>754.68411025369562</v>
      </c>
      <c r="CY158" s="59">
        <f ca="1">AVERAGE(OFFSET($CX$3,0,0,'Données projet'!$E$13+1,1))-AVERAGE(OFFSET($H$3,0,0,'Données projet'!$E$13+1,1))</f>
        <v>299.10536994156814</v>
      </c>
      <c r="CZ158" s="59">
        <f t="shared" si="150"/>
        <v>292.57799203101769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6.5192454352993785</v>
      </c>
      <c r="DG158" s="21">
        <f>EXP(-LN(2)/25)*DG157+(1-EXP(-LN(2)/25))/(LN(2)/25)*Calculateur!DB158*Calculateur!DD158*VLOOKUP('Données projet'!$B$13,Paramètres!$A$1:$I$89,3,0)*0.475*44/12</f>
        <v>1.0411150268566585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7.5603604621560372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266.99999999999983</v>
      </c>
      <c r="DP158" s="17">
        <f>DO158*VLOOKUP('Données projet'!$B$14,Paramètres!$A$1:$I$89,3,0)*VLOOKUP('Données projet'!$B$14,Paramètres!$A$1:$I$89,5,0)</f>
        <v>212.42519999999985</v>
      </c>
      <c r="DQ158" s="13">
        <f t="shared" si="176"/>
        <v>52.465198231787184</v>
      </c>
      <c r="DR158" s="20">
        <f t="shared" si="177"/>
        <v>461.35077692036231</v>
      </c>
      <c r="DS158" s="59">
        <f t="shared" si="125"/>
        <v>754.68411025369562</v>
      </c>
      <c r="DT158" s="59">
        <f ca="1">AVERAGE(OFFSET($DS$3,0,0,'Données projet'!$E$14+1,1))-AVERAGE(OFFSET($H$3,0,0,'Données projet'!$E$14+1,1))</f>
        <v>299.10536994156814</v>
      </c>
      <c r="DU158" s="59">
        <f t="shared" si="152"/>
        <v>292.57799203101769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6.5192454352993785</v>
      </c>
      <c r="EB158" s="21">
        <f>EXP(-LN(2)/25)*EB157+(1-EXP(-LN(2)/25))/(LN(2)/25)*Calculateur!DW158*Calculateur!DY158*VLOOKUP('Données projet'!$B$14,Paramètres!$A$1:$I$89,3,0)*0.475*44/12</f>
        <v>1.0411150268566585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7.5603604621560372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204.00000000000017</v>
      </c>
      <c r="EK158" s="17">
        <f>EJ158*VLOOKUP('Données projet'!$B$15,Paramètres!$A$1:$I$89,3,0)*VLOOKUP('Données projet'!$B$15,Paramètres!$A$1:$I$89,5,0)</f>
        <v>133.66080000000011</v>
      </c>
      <c r="EL158" s="13">
        <f t="shared" si="179"/>
        <v>34.840890682716783</v>
      </c>
      <c r="EM158" s="20">
        <f t="shared" si="180"/>
        <v>293.4737779390652</v>
      </c>
      <c r="EN158" s="59">
        <f t="shared" si="128"/>
        <v>586.80711127239852</v>
      </c>
      <c r="EO158" s="59">
        <f ca="1">AVERAGE(OFFSET($EN$3,0,0,'Données projet'!$E$15+1,1))-AVERAGE(OFFSET($H$3,0,0,'Données projet'!$E$15+1,1))</f>
        <v>230.58262378842818</v>
      </c>
      <c r="EP158" s="59">
        <f t="shared" si="154"/>
        <v>235.68746142880792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0.52709416706452994</v>
      </c>
      <c r="EW158" s="21">
        <f>EXP(-LN(2)/25)*EW157+(1-EXP(-LN(2)/25))/(LN(2)/25)*Calculateur!ER158*Calculateur!ET158*VLOOKUP('Données projet'!$B$15,Paramètres!$A$1:$I$89,3,0)*0.475*44/12</f>
        <v>1.7793839185286868</v>
      </c>
      <c r="EX158" s="21">
        <f>EXP(-LN(2)/2)*EX157+(1-EXP(-LN(2)/2))/(LN(2)/2)*ER158*EU158*VLOOKUP('Données projet'!$B$15,Paramètres!$A$1:$I$89,3,0)*0.475*44/12</f>
        <v>4.9013470150998842E-10</v>
      </c>
      <c r="EY158" s="22">
        <f t="shared" si="181"/>
        <v>2.3064780860833514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234.00000000000003</v>
      </c>
      <c r="FF158" s="17">
        <f>FE158*VLOOKUP('Données projet'!$B$16,Paramètres!$A$1:$I$89,3,0)*VLOOKUP('Données projet'!$B$16,Paramètres!$A$1:$I$89,5,0)</f>
        <v>189.82080000000005</v>
      </c>
      <c r="FG158" s="13">
        <f t="shared" si="182"/>
        <v>47.500332100049796</v>
      </c>
      <c r="FH158" s="20">
        <f t="shared" si="183"/>
        <v>413.33430507425345</v>
      </c>
      <c r="FI158" s="59">
        <f t="shared" si="131"/>
        <v>706.66763840758676</v>
      </c>
      <c r="FJ158" s="59">
        <f ca="1">AVERAGE(OFFSET($FI$3,0,0,'Données projet'!$E$16+1,1))-AVERAGE(OFFSET($H$3,0,0,'Données projet'!$E$16+1,1))</f>
        <v>272.90535195666996</v>
      </c>
      <c r="FK158" s="59">
        <f t="shared" si="156"/>
        <v>222.25422164416898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1.2903628394007036</v>
      </c>
      <c r="FR158" s="21">
        <f>EXP(-LN(2)/25)*FR157+(1-EXP(-LN(2)/25))/(LN(2)/25)*Calculateur!FM158*Calculateur!FO158*VLOOKUP('Données projet'!$B$16,Paramètres!$A$1:$I$89,3,0)*0.475*44/12</f>
        <v>2.0314339389381031</v>
      </c>
      <c r="FS158" s="21">
        <f>EXP(-LN(2)/2)*FS157+(1-EXP(-LN(2)/2))/(LN(2)/2)*FM158*FP158*VLOOKUP('Données projet'!$B$16,Paramètres!$A$1:$I$89,3,0)*0.475*44/12</f>
        <v>2.2291966493852394E-10</v>
      </c>
      <c r="FT158" s="22">
        <f t="shared" si="184"/>
        <v>3.3217967785617262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293.33333333334531</v>
      </c>
      <c r="S159" s="59">
        <f ca="1">AVERAGE(OFFSET($R$3,0,0,'Données projet'!$E$9+1,1))-AVERAGE(OFFSET($H$3,0,0,'Données projet'!$E$9+1,1))</f>
        <v>384.05928630855732</v>
      </c>
      <c r="T159" s="59">
        <f t="shared" si="142"/>
        <v>279.93992813630513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304.99999999999983</v>
      </c>
      <c r="AJ159" s="13">
        <f>AI159*VLOOKUP('Données projet'!$B$10,Paramètres!$A$1:$I$89,3,0)*VLOOKUP('Données projet'!$B$10,Paramètres!$A$1:$I$89,5,0)</f>
        <v>275.96399999999983</v>
      </c>
      <c r="AK159" s="13">
        <f t="shared" si="164"/>
        <v>66.113366665488854</v>
      </c>
      <c r="AL159" s="20">
        <f t="shared" si="165"/>
        <v>595.78474694239264</v>
      </c>
      <c r="AM159" s="59">
        <f t="shared" si="113"/>
        <v>889.11808027572602</v>
      </c>
      <c r="AN159" s="59">
        <f ca="1">AVERAGE(OFFSET($AM$3,0,0,'Données projet'!$E$10+1,1))-AVERAGE(OFFSET($H$3,0,0,'Données projet'!$E$10+1,1))</f>
        <v>366.69125512029831</v>
      </c>
      <c r="AO159" s="59">
        <f t="shared" si="144"/>
        <v>513.80016421153414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0.13329229619089975</v>
      </c>
      <c r="AV159" s="21">
        <f>EXP(-LN(2)/25)*AV158+(1-EXP(-LN(2)/25))/(LN(2)/25)*Calculateur!AQ159*Calculateur!AS159*VLOOKUP('Données projet'!$B$10,Paramètres!$A$1:$I$89,3,0)*0.475*44/12</f>
        <v>0.22440986600103729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0.35770216219193707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212.28480000000002</v>
      </c>
      <c r="BF159" s="13">
        <f t="shared" si="167"/>
        <v>52.434557099704193</v>
      </c>
      <c r="BG159" s="20">
        <f t="shared" si="168"/>
        <v>461.05288028198476</v>
      </c>
      <c r="BH159" s="59">
        <f t="shared" si="116"/>
        <v>754.38621361531807</v>
      </c>
      <c r="BI159" s="59">
        <f ca="1">AVERAGE(OFFSET($BH$3,0,0,'Données projet'!$E$11+1,1))-AVERAGE(OFFSET($H$3,0,0,'Données projet'!$E$11+1,1))</f>
        <v>354.24684313982857</v>
      </c>
      <c r="BJ159" s="59">
        <f t="shared" si="146"/>
        <v>322.65043486962185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8.9899547123715831</v>
      </c>
      <c r="BQ159" s="21">
        <f>EXP(-LN(2)/25)*BQ158+(1-EXP(-LN(2)/25))/(LN(2)/25)*Calculateur!BL159*Calculateur!BN159*VLOOKUP('Données projet'!$B$11,Paramètres!$A$1:$I$89,3,0)*0.475*44/12</f>
        <v>3.152122043519836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12.14207675589142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5.4978954722173515E-13</v>
      </c>
      <c r="CA159" s="13">
        <f t="shared" si="170"/>
        <v>6.7731340873355904E-12</v>
      </c>
      <c r="CB159" s="20">
        <f t="shared" si="171"/>
        <v>1.2754091996854009E-11</v>
      </c>
      <c r="CC159" s="59">
        <f t="shared" si="119"/>
        <v>293.33333333334605</v>
      </c>
      <c r="CD159" s="59">
        <f ca="1">AVERAGE(OFFSET($CC$3,0,0,'Données projet'!$E$12+1,1))-AVERAGE(OFFSET($H$3,0,0,'Données projet'!$E$12+1,1))</f>
        <v>407.73540492005355</v>
      </c>
      <c r="CE159" s="59">
        <f t="shared" si="148"/>
        <v>296.29416764204774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111.40440574556175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111.40440574556175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266.99999999999983</v>
      </c>
      <c r="CU159" s="17">
        <f>CT159*VLOOKUP('Données projet'!$B$13,Paramètres!$A$1:$I$89,3,0)*VLOOKUP('Données projet'!$B$13,Paramètres!$A$1:$I$89,5,0)</f>
        <v>212.42519999999985</v>
      </c>
      <c r="CV159" s="13">
        <f t="shared" si="173"/>
        <v>52.465198231787184</v>
      </c>
      <c r="CW159" s="20">
        <f t="shared" si="174"/>
        <v>461.35077692036231</v>
      </c>
      <c r="CX159" s="59">
        <f t="shared" si="122"/>
        <v>754.68411025369562</v>
      </c>
      <c r="CY159" s="59">
        <f ca="1">AVERAGE(OFFSET($CX$3,0,0,'Données projet'!$E$13+1,1))-AVERAGE(OFFSET($H$3,0,0,'Données projet'!$E$13+1,1))</f>
        <v>299.10536994156814</v>
      </c>
      <c r="CZ159" s="59">
        <f t="shared" si="150"/>
        <v>292.57799203101769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6.3914070086602415</v>
      </c>
      <c r="DG159" s="21">
        <f>EXP(-LN(2)/25)*DG158+(1-EXP(-LN(2)/25))/(LN(2)/25)*Calculateur!DB159*Calculateur!DD159*VLOOKUP('Données projet'!$B$13,Paramètres!$A$1:$I$89,3,0)*0.475*44/12</f>
        <v>1.0126456816974034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7.4040526903576449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266.99999999999983</v>
      </c>
      <c r="DP159" s="17">
        <f>DO159*VLOOKUP('Données projet'!$B$14,Paramètres!$A$1:$I$89,3,0)*VLOOKUP('Données projet'!$B$14,Paramètres!$A$1:$I$89,5,0)</f>
        <v>212.42519999999985</v>
      </c>
      <c r="DQ159" s="13">
        <f t="shared" si="176"/>
        <v>52.465198231787184</v>
      </c>
      <c r="DR159" s="20">
        <f t="shared" si="177"/>
        <v>461.35077692036231</v>
      </c>
      <c r="DS159" s="59">
        <f t="shared" si="125"/>
        <v>754.68411025369562</v>
      </c>
      <c r="DT159" s="59">
        <f ca="1">AVERAGE(OFFSET($DS$3,0,0,'Données projet'!$E$14+1,1))-AVERAGE(OFFSET($H$3,0,0,'Données projet'!$E$14+1,1))</f>
        <v>299.10536994156814</v>
      </c>
      <c r="DU159" s="59">
        <f t="shared" si="152"/>
        <v>292.57799203101769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6.3914070086602415</v>
      </c>
      <c r="EB159" s="21">
        <f>EXP(-LN(2)/25)*EB158+(1-EXP(-LN(2)/25))/(LN(2)/25)*Calculateur!DW159*Calculateur!DY159*VLOOKUP('Données projet'!$B$14,Paramètres!$A$1:$I$89,3,0)*0.475*44/12</f>
        <v>1.0126456816974034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7.4040526903576449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204.00000000000017</v>
      </c>
      <c r="EK159" s="17">
        <f>EJ159*VLOOKUP('Données projet'!$B$15,Paramètres!$A$1:$I$89,3,0)*VLOOKUP('Données projet'!$B$15,Paramètres!$A$1:$I$89,5,0)</f>
        <v>133.66080000000011</v>
      </c>
      <c r="EL159" s="13">
        <f t="shared" si="179"/>
        <v>34.840890682716783</v>
      </c>
      <c r="EM159" s="20">
        <f t="shared" si="180"/>
        <v>293.4737779390652</v>
      </c>
      <c r="EN159" s="59">
        <f t="shared" si="128"/>
        <v>586.80711127239852</v>
      </c>
      <c r="EO159" s="59">
        <f ca="1">AVERAGE(OFFSET($EN$3,0,0,'Données projet'!$E$15+1,1))-AVERAGE(OFFSET($H$3,0,0,'Données projet'!$E$15+1,1))</f>
        <v>230.58262378842818</v>
      </c>
      <c r="EP159" s="59">
        <f t="shared" si="154"/>
        <v>235.68746142880792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0.51675817194409135</v>
      </c>
      <c r="EW159" s="21">
        <f>EXP(-LN(2)/25)*EW158+(1-EXP(-LN(2)/25))/(LN(2)/25)*Calculateur!ER159*Calculateur!ET159*VLOOKUP('Données projet'!$B$15,Paramètres!$A$1:$I$89,3,0)*0.475*44/12</f>
        <v>1.7307265717027864</v>
      </c>
      <c r="EX159" s="21">
        <f>EXP(-LN(2)/2)*EX158+(1-EXP(-LN(2)/2))/(LN(2)/2)*ER159*EU159*VLOOKUP('Données projet'!$B$15,Paramètres!$A$1:$I$89,3,0)*0.475*44/12</f>
        <v>3.4657757113255717E-10</v>
      </c>
      <c r="EY159" s="22">
        <f t="shared" si="181"/>
        <v>2.2474847439934553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234.00000000000003</v>
      </c>
      <c r="FF159" s="17">
        <f>FE159*VLOOKUP('Données projet'!$B$16,Paramètres!$A$1:$I$89,3,0)*VLOOKUP('Données projet'!$B$16,Paramètres!$A$1:$I$89,5,0)</f>
        <v>189.82080000000005</v>
      </c>
      <c r="FG159" s="13">
        <f t="shared" si="182"/>
        <v>47.500332100049796</v>
      </c>
      <c r="FH159" s="20">
        <f t="shared" si="183"/>
        <v>413.33430507425345</v>
      </c>
      <c r="FI159" s="59">
        <f t="shared" si="131"/>
        <v>706.66763840758676</v>
      </c>
      <c r="FJ159" s="59">
        <f ca="1">AVERAGE(OFFSET($FI$3,0,0,'Données projet'!$E$16+1,1))-AVERAGE(OFFSET($H$3,0,0,'Données projet'!$E$16+1,1))</f>
        <v>272.90535195666996</v>
      </c>
      <c r="FK159" s="59">
        <f t="shared" si="156"/>
        <v>222.25422164416898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1.2650596111636738</v>
      </c>
      <c r="FR159" s="21">
        <f>EXP(-LN(2)/25)*FR158+(1-EXP(-LN(2)/25))/(LN(2)/25)*Calculateur!FM159*Calculateur!FO159*VLOOKUP('Données projet'!$B$16,Paramètres!$A$1:$I$89,3,0)*0.475*44/12</f>
        <v>1.9758842710493727</v>
      </c>
      <c r="FS159" s="21">
        <f>EXP(-LN(2)/2)*FS158+(1-EXP(-LN(2)/2))/(LN(2)/2)*FM159*FP159*VLOOKUP('Données projet'!$B$16,Paramètres!$A$1:$I$89,3,0)*0.475*44/12</f>
        <v>1.5762800673786333E-10</v>
      </c>
      <c r="FT159" s="22">
        <f t="shared" si="184"/>
        <v>3.2409438823706744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293.33333333334531</v>
      </c>
      <c r="S160" s="59">
        <f ca="1">AVERAGE(OFFSET($R$3,0,0,'Données projet'!$E$9+1,1))-AVERAGE(OFFSET($H$3,0,0,'Données projet'!$E$9+1,1))</f>
        <v>384.05928630855732</v>
      </c>
      <c r="T160" s="59">
        <f t="shared" si="142"/>
        <v>279.93992813630513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304.99999999999983</v>
      </c>
      <c r="AJ160" s="13">
        <f>AI160*VLOOKUP('Données projet'!$B$10,Paramètres!$A$1:$I$89,3,0)*VLOOKUP('Données projet'!$B$10,Paramètres!$A$1:$I$89,5,0)</f>
        <v>275.96399999999983</v>
      </c>
      <c r="AK160" s="13">
        <f t="shared" si="164"/>
        <v>66.113366665488854</v>
      </c>
      <c r="AL160" s="20">
        <f t="shared" si="165"/>
        <v>595.78474694239264</v>
      </c>
      <c r="AM160" s="59">
        <f t="shared" si="113"/>
        <v>889.11808027572602</v>
      </c>
      <c r="AN160" s="59">
        <f ca="1">AVERAGE(OFFSET($AM$3,0,0,'Données projet'!$E$10+1,1))-AVERAGE(OFFSET($H$3,0,0,'Données projet'!$E$10+1,1))</f>
        <v>366.69125512029831</v>
      </c>
      <c r="AO160" s="59">
        <f t="shared" si="144"/>
        <v>513.80016421153414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0.13067851556286914</v>
      </c>
      <c r="AV160" s="21">
        <f>EXP(-LN(2)/25)*AV159+(1-EXP(-LN(2)/25))/(LN(2)/25)*Calculateur!AQ160*Calculateur!AS160*VLOOKUP('Données projet'!$B$10,Paramètres!$A$1:$I$89,3,0)*0.475*44/12</f>
        <v>0.21827336641403697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0.34895188197690608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212.28480000000002</v>
      </c>
      <c r="BF160" s="13">
        <f t="shared" si="167"/>
        <v>52.434557099704193</v>
      </c>
      <c r="BG160" s="20">
        <f t="shared" si="168"/>
        <v>461.05288028198476</v>
      </c>
      <c r="BH160" s="59">
        <f t="shared" si="116"/>
        <v>754.38621361531807</v>
      </c>
      <c r="BI160" s="59">
        <f ca="1">AVERAGE(OFFSET($BH$3,0,0,'Données projet'!$E$11+1,1))-AVERAGE(OFFSET($H$3,0,0,'Données projet'!$E$11+1,1))</f>
        <v>354.24684313982857</v>
      </c>
      <c r="BJ160" s="59">
        <f t="shared" si="146"/>
        <v>322.65043486962185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8.8136671837929175</v>
      </c>
      <c r="BQ160" s="21">
        <f>EXP(-LN(2)/25)*BQ159+(1-EXP(-LN(2)/25))/(LN(2)/25)*Calculateur!BL160*Calculateur!BN160*VLOOKUP('Données projet'!$B$11,Paramètres!$A$1:$I$89,3,0)*0.475*44/12</f>
        <v>3.065927100476892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11.87959428426981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5.4978954722173515E-13</v>
      </c>
      <c r="CA160" s="13">
        <f t="shared" si="170"/>
        <v>6.7731340873355904E-12</v>
      </c>
      <c r="CB160" s="20">
        <f t="shared" si="171"/>
        <v>1.2754091996854009E-11</v>
      </c>
      <c r="CC160" s="59">
        <f t="shared" si="119"/>
        <v>293.33333333334605</v>
      </c>
      <c r="CD160" s="59">
        <f ca="1">AVERAGE(OFFSET($CC$3,0,0,'Données projet'!$E$12+1,1))-AVERAGE(OFFSET($H$3,0,0,'Données projet'!$E$12+1,1))</f>
        <v>407.73540492005355</v>
      </c>
      <c r="CE160" s="59">
        <f t="shared" si="148"/>
        <v>296.29416764204774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109.21983329886928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109.21983329886928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266.99999999999983</v>
      </c>
      <c r="CU160" s="17">
        <f>CT160*VLOOKUP('Données projet'!$B$13,Paramètres!$A$1:$I$89,3,0)*VLOOKUP('Données projet'!$B$13,Paramètres!$A$1:$I$89,5,0)</f>
        <v>212.42519999999985</v>
      </c>
      <c r="CV160" s="13">
        <f t="shared" si="173"/>
        <v>52.465198231787184</v>
      </c>
      <c r="CW160" s="20">
        <f t="shared" si="174"/>
        <v>461.35077692036231</v>
      </c>
      <c r="CX160" s="59">
        <f t="shared" si="122"/>
        <v>754.68411025369562</v>
      </c>
      <c r="CY160" s="59">
        <f ca="1">AVERAGE(OFFSET($CX$3,0,0,'Données projet'!$E$13+1,1))-AVERAGE(OFFSET($H$3,0,0,'Données projet'!$E$13+1,1))</f>
        <v>299.10536994156814</v>
      </c>
      <c r="CZ160" s="59">
        <f t="shared" si="150"/>
        <v>292.57799203101769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6.2660754155937575</v>
      </c>
      <c r="DG160" s="21">
        <f>EXP(-LN(2)/25)*DG159+(1-EXP(-LN(2)/25))/(LN(2)/25)*Calculateur!DB160*Calculateur!DD160*VLOOKUP('Données projet'!$B$13,Paramètres!$A$1:$I$89,3,0)*0.475*44/12</f>
        <v>0.98495483227866598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7.2510302478724231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266.99999999999983</v>
      </c>
      <c r="DP160" s="17">
        <f>DO160*VLOOKUP('Données projet'!$B$14,Paramètres!$A$1:$I$89,3,0)*VLOOKUP('Données projet'!$B$14,Paramètres!$A$1:$I$89,5,0)</f>
        <v>212.42519999999985</v>
      </c>
      <c r="DQ160" s="13">
        <f t="shared" si="176"/>
        <v>52.465198231787184</v>
      </c>
      <c r="DR160" s="20">
        <f t="shared" si="177"/>
        <v>461.35077692036231</v>
      </c>
      <c r="DS160" s="59">
        <f t="shared" si="125"/>
        <v>754.68411025369562</v>
      </c>
      <c r="DT160" s="59">
        <f ca="1">AVERAGE(OFFSET($DS$3,0,0,'Données projet'!$E$14+1,1))-AVERAGE(OFFSET($H$3,0,0,'Données projet'!$E$14+1,1))</f>
        <v>299.10536994156814</v>
      </c>
      <c r="DU160" s="59">
        <f t="shared" si="152"/>
        <v>292.57799203101769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6.2660754155937575</v>
      </c>
      <c r="EB160" s="21">
        <f>EXP(-LN(2)/25)*EB159+(1-EXP(-LN(2)/25))/(LN(2)/25)*Calculateur!DW160*Calculateur!DY160*VLOOKUP('Données projet'!$B$14,Paramètres!$A$1:$I$89,3,0)*0.475*44/12</f>
        <v>0.98495483227866598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7.2510302478724231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204.00000000000017</v>
      </c>
      <c r="EK160" s="17">
        <f>EJ160*VLOOKUP('Données projet'!$B$15,Paramètres!$A$1:$I$89,3,0)*VLOOKUP('Données projet'!$B$15,Paramètres!$A$1:$I$89,5,0)</f>
        <v>133.66080000000011</v>
      </c>
      <c r="EL160" s="13">
        <f t="shared" si="179"/>
        <v>34.840890682716783</v>
      </c>
      <c r="EM160" s="20">
        <f t="shared" si="180"/>
        <v>293.4737779390652</v>
      </c>
      <c r="EN160" s="59">
        <f t="shared" si="128"/>
        <v>586.80711127239852</v>
      </c>
      <c r="EO160" s="59">
        <f ca="1">AVERAGE(OFFSET($EN$3,0,0,'Données projet'!$E$15+1,1))-AVERAGE(OFFSET($H$3,0,0,'Données projet'!$E$15+1,1))</f>
        <v>230.58262378842818</v>
      </c>
      <c r="EP160" s="59">
        <f t="shared" si="154"/>
        <v>235.68746142880792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0.50662485938363</v>
      </c>
      <c r="EW160" s="21">
        <f>EXP(-LN(2)/25)*EW159+(1-EXP(-LN(2)/25))/(LN(2)/25)*Calculateur!ER160*Calculateur!ET160*VLOOKUP('Données projet'!$B$15,Paramètres!$A$1:$I$89,3,0)*0.475*44/12</f>
        <v>1.6833997625846189</v>
      </c>
      <c r="EX160" s="21">
        <f>EXP(-LN(2)/2)*EX159+(1-EXP(-LN(2)/2))/(LN(2)/2)*ER160*EU160*VLOOKUP('Données projet'!$B$15,Paramètres!$A$1:$I$89,3,0)*0.475*44/12</f>
        <v>2.4506735075499421E-10</v>
      </c>
      <c r="EY160" s="22">
        <f t="shared" si="181"/>
        <v>2.1900246222133162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234.00000000000003</v>
      </c>
      <c r="FF160" s="17">
        <f>FE160*VLOOKUP('Données projet'!$B$16,Paramètres!$A$1:$I$89,3,0)*VLOOKUP('Données projet'!$B$16,Paramètres!$A$1:$I$89,5,0)</f>
        <v>189.82080000000005</v>
      </c>
      <c r="FG160" s="13">
        <f t="shared" si="182"/>
        <v>47.500332100049796</v>
      </c>
      <c r="FH160" s="20">
        <f t="shared" si="183"/>
        <v>413.33430507425345</v>
      </c>
      <c r="FI160" s="59">
        <f t="shared" si="131"/>
        <v>706.66763840758676</v>
      </c>
      <c r="FJ160" s="59">
        <f ca="1">AVERAGE(OFFSET($FI$3,0,0,'Données projet'!$E$16+1,1))-AVERAGE(OFFSET($H$3,0,0,'Données projet'!$E$16+1,1))</f>
        <v>272.90535195666996</v>
      </c>
      <c r="FK160" s="59">
        <f t="shared" si="156"/>
        <v>222.25422164416898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1.2402525637989268</v>
      </c>
      <c r="FR160" s="21">
        <f>EXP(-LN(2)/25)*FR159+(1-EXP(-LN(2)/25))/(LN(2)/25)*Calculateur!FM160*Calculateur!FO160*VLOOKUP('Données projet'!$B$16,Paramètres!$A$1:$I$89,3,0)*0.475*44/12</f>
        <v>1.9218536117502898</v>
      </c>
      <c r="FS160" s="21">
        <f>EXP(-LN(2)/2)*FS159+(1-EXP(-LN(2)/2))/(LN(2)/2)*FM160*FP160*VLOOKUP('Données projet'!$B$16,Paramètres!$A$1:$I$89,3,0)*0.475*44/12</f>
        <v>1.1145983246926197E-10</v>
      </c>
      <c r="FT160" s="22">
        <f t="shared" si="184"/>
        <v>3.1621061756606763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293.33333333334531</v>
      </c>
      <c r="S161" s="59">
        <f ca="1">AVERAGE(OFFSET($R$3,0,0,'Données projet'!$E$9+1,1))-AVERAGE(OFFSET($H$3,0,0,'Données projet'!$E$9+1,1))</f>
        <v>384.05928630855732</v>
      </c>
      <c r="T161" s="59">
        <f t="shared" si="142"/>
        <v>279.93992813630513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304.99999999999983</v>
      </c>
      <c r="AJ161" s="13">
        <f>AI161*VLOOKUP('Données projet'!$B$10,Paramètres!$A$1:$I$89,3,0)*VLOOKUP('Données projet'!$B$10,Paramètres!$A$1:$I$89,5,0)</f>
        <v>275.96399999999983</v>
      </c>
      <c r="AK161" s="13">
        <f t="shared" si="164"/>
        <v>66.113366665488854</v>
      </c>
      <c r="AL161" s="20">
        <f t="shared" si="165"/>
        <v>595.78474694239264</v>
      </c>
      <c r="AM161" s="59">
        <f t="shared" si="113"/>
        <v>889.11808027572602</v>
      </c>
      <c r="AN161" s="59">
        <f ca="1">AVERAGE(OFFSET($AM$3,0,0,'Données projet'!$E$10+1,1))-AVERAGE(OFFSET($H$3,0,0,'Données projet'!$E$10+1,1))</f>
        <v>366.69125512029831</v>
      </c>
      <c r="AO161" s="59">
        <f t="shared" si="144"/>
        <v>513.80016421153414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0.12811598957870546</v>
      </c>
      <c r="AV161" s="21">
        <f>EXP(-LN(2)/25)*AV160+(1-EXP(-LN(2)/25))/(LN(2)/25)*Calculateur!AQ161*Calculateur!AS161*VLOOKUP('Données projet'!$B$10,Paramètres!$A$1:$I$89,3,0)*0.475*44/12</f>
        <v>0.21230466973094766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0.34042065930965315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212.28480000000002</v>
      </c>
      <c r="BF161" s="13">
        <f t="shared" si="167"/>
        <v>52.434557099704193</v>
      </c>
      <c r="BG161" s="20">
        <f t="shared" si="168"/>
        <v>461.05288028198476</v>
      </c>
      <c r="BH161" s="59">
        <f t="shared" si="116"/>
        <v>754.38621361531807</v>
      </c>
      <c r="BI161" s="59">
        <f ca="1">AVERAGE(OFFSET($BH$3,0,0,'Données projet'!$E$11+1,1))-AVERAGE(OFFSET($H$3,0,0,'Données projet'!$E$11+1,1))</f>
        <v>354.24684313982857</v>
      </c>
      <c r="BJ161" s="59">
        <f t="shared" si="146"/>
        <v>322.65043486962185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8.6408365461249037</v>
      </c>
      <c r="BQ161" s="21">
        <f>EXP(-LN(2)/25)*BQ160+(1-EXP(-LN(2)/25))/(LN(2)/25)*Calculateur!BL161*Calculateur!BN161*VLOOKUP('Données projet'!$B$11,Paramètres!$A$1:$I$89,3,0)*0.475*44/12</f>
        <v>2.9820891626842525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11.622925708809156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5.4978954722173515E-13</v>
      </c>
      <c r="CA161" s="13">
        <f t="shared" si="170"/>
        <v>6.7731340873355904E-12</v>
      </c>
      <c r="CB161" s="20">
        <f t="shared" si="171"/>
        <v>1.2754091996854009E-11</v>
      </c>
      <c r="CC161" s="59">
        <f t="shared" si="119"/>
        <v>293.33333333334605</v>
      </c>
      <c r="CD161" s="59">
        <f ca="1">AVERAGE(OFFSET($CC$3,0,0,'Données projet'!$E$12+1,1))-AVERAGE(OFFSET($H$3,0,0,'Données projet'!$E$12+1,1))</f>
        <v>407.73540492005355</v>
      </c>
      <c r="CE161" s="59">
        <f t="shared" si="148"/>
        <v>296.29416764204774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107.07809898539882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107.07809898539882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266.99999999999983</v>
      </c>
      <c r="CU161" s="17">
        <f>CT161*VLOOKUP('Données projet'!$B$13,Paramètres!$A$1:$I$89,3,0)*VLOOKUP('Données projet'!$B$13,Paramètres!$A$1:$I$89,5,0)</f>
        <v>212.42519999999985</v>
      </c>
      <c r="CV161" s="13">
        <f t="shared" si="173"/>
        <v>52.465198231787184</v>
      </c>
      <c r="CW161" s="20">
        <f t="shared" si="174"/>
        <v>461.35077692036231</v>
      </c>
      <c r="CX161" s="59">
        <f t="shared" si="122"/>
        <v>754.68411025369562</v>
      </c>
      <c r="CY161" s="59">
        <f ca="1">AVERAGE(OFFSET($CX$3,0,0,'Données projet'!$E$13+1,1))-AVERAGE(OFFSET($H$3,0,0,'Données projet'!$E$13+1,1))</f>
        <v>299.10536994156814</v>
      </c>
      <c r="CZ161" s="59">
        <f t="shared" si="150"/>
        <v>292.57799203101769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6.1432014986225836</v>
      </c>
      <c r="DG161" s="21">
        <f>EXP(-LN(2)/25)*DG160+(1-EXP(-LN(2)/25))/(LN(2)/25)*Calculateur!DB161*Calculateur!DD161*VLOOKUP('Données projet'!$B$13,Paramètres!$A$1:$I$89,3,0)*0.475*44/12</f>
        <v>0.95802119059348234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7.1012226892160655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266.99999999999983</v>
      </c>
      <c r="DP161" s="17">
        <f>DO161*VLOOKUP('Données projet'!$B$14,Paramètres!$A$1:$I$89,3,0)*VLOOKUP('Données projet'!$B$14,Paramètres!$A$1:$I$89,5,0)</f>
        <v>212.42519999999985</v>
      </c>
      <c r="DQ161" s="13">
        <f t="shared" si="176"/>
        <v>52.465198231787184</v>
      </c>
      <c r="DR161" s="20">
        <f t="shared" si="177"/>
        <v>461.35077692036231</v>
      </c>
      <c r="DS161" s="59">
        <f t="shared" si="125"/>
        <v>754.68411025369562</v>
      </c>
      <c r="DT161" s="59">
        <f ca="1">AVERAGE(OFFSET($DS$3,0,0,'Données projet'!$E$14+1,1))-AVERAGE(OFFSET($H$3,0,0,'Données projet'!$E$14+1,1))</f>
        <v>299.10536994156814</v>
      </c>
      <c r="DU161" s="59">
        <f t="shared" si="152"/>
        <v>292.57799203101769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6.1432014986225836</v>
      </c>
      <c r="EB161" s="21">
        <f>EXP(-LN(2)/25)*EB160+(1-EXP(-LN(2)/25))/(LN(2)/25)*Calculateur!DW161*Calculateur!DY161*VLOOKUP('Données projet'!$B$14,Paramètres!$A$1:$I$89,3,0)*0.475*44/12</f>
        <v>0.95802119059348234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7.1012226892160655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204.00000000000017</v>
      </c>
      <c r="EK161" s="17">
        <f>EJ161*VLOOKUP('Données projet'!$B$15,Paramètres!$A$1:$I$89,3,0)*VLOOKUP('Données projet'!$B$15,Paramètres!$A$1:$I$89,5,0)</f>
        <v>133.66080000000011</v>
      </c>
      <c r="EL161" s="13">
        <f t="shared" si="179"/>
        <v>34.840890682716783</v>
      </c>
      <c r="EM161" s="20">
        <f t="shared" si="180"/>
        <v>293.4737779390652</v>
      </c>
      <c r="EN161" s="59">
        <f t="shared" si="128"/>
        <v>586.80711127239852</v>
      </c>
      <c r="EO161" s="59">
        <f ca="1">AVERAGE(OFFSET($EN$3,0,0,'Données projet'!$E$15+1,1))-AVERAGE(OFFSET($H$3,0,0,'Données projet'!$E$15+1,1))</f>
        <v>230.58262378842818</v>
      </c>
      <c r="EP161" s="59">
        <f t="shared" si="154"/>
        <v>235.68746142880792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0.49669025490176899</v>
      </c>
      <c r="EW161" s="21">
        <f>EXP(-LN(2)/25)*EW160+(1-EXP(-LN(2)/25))/(LN(2)/25)*Calculateur!ER161*Calculateur!ET161*VLOOKUP('Données projet'!$B$15,Paramètres!$A$1:$I$89,3,0)*0.475*44/12</f>
        <v>1.6373671075505964</v>
      </c>
      <c r="EX161" s="21">
        <f>EXP(-LN(2)/2)*EX160+(1-EXP(-LN(2)/2))/(LN(2)/2)*ER161*EU161*VLOOKUP('Données projet'!$B$15,Paramètres!$A$1:$I$89,3,0)*0.475*44/12</f>
        <v>1.7328878556627859E-10</v>
      </c>
      <c r="EY161" s="22">
        <f t="shared" si="181"/>
        <v>2.1340573626256543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234.00000000000003</v>
      </c>
      <c r="FF161" s="17">
        <f>FE161*VLOOKUP('Données projet'!$B$16,Paramètres!$A$1:$I$89,3,0)*VLOOKUP('Données projet'!$B$16,Paramètres!$A$1:$I$89,5,0)</f>
        <v>189.82080000000005</v>
      </c>
      <c r="FG161" s="13">
        <f t="shared" si="182"/>
        <v>47.500332100049796</v>
      </c>
      <c r="FH161" s="20">
        <f t="shared" si="183"/>
        <v>413.33430507425345</v>
      </c>
      <c r="FI161" s="59">
        <f t="shared" si="131"/>
        <v>706.66763840758676</v>
      </c>
      <c r="FJ161" s="59">
        <f ca="1">AVERAGE(OFFSET($FI$3,0,0,'Données projet'!$E$16+1,1))-AVERAGE(OFFSET($H$3,0,0,'Données projet'!$E$16+1,1))</f>
        <v>272.90535195666996</v>
      </c>
      <c r="FK161" s="59">
        <f t="shared" si="156"/>
        <v>222.25422164416898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1.2159319675021976</v>
      </c>
      <c r="FR161" s="21">
        <f>EXP(-LN(2)/25)*FR160+(1-EXP(-LN(2)/25))/(LN(2)/25)*Calculateur!FM161*Calculateur!FO161*VLOOKUP('Données projet'!$B$16,Paramètres!$A$1:$I$89,3,0)*0.475*44/12</f>
        <v>1.8693004236710891</v>
      </c>
      <c r="FS161" s="21">
        <f>EXP(-LN(2)/2)*FS160+(1-EXP(-LN(2)/2))/(LN(2)/2)*FM161*FP161*VLOOKUP('Données projet'!$B$16,Paramètres!$A$1:$I$89,3,0)*0.475*44/12</f>
        <v>7.8814003368931666E-11</v>
      </c>
      <c r="FT161" s="22">
        <f t="shared" si="184"/>
        <v>3.0852323912521005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293.33333333334531</v>
      </c>
      <c r="S162" s="59">
        <f ca="1">AVERAGE(OFFSET($R$3,0,0,'Données projet'!$E$9+1,1))-AVERAGE(OFFSET($H$3,0,0,'Données projet'!$E$9+1,1))</f>
        <v>384.05928630855732</v>
      </c>
      <c r="T162" s="59">
        <f t="shared" si="142"/>
        <v>279.93992813630513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304.99999999999983</v>
      </c>
      <c r="AJ162" s="13">
        <f>AI162*VLOOKUP('Données projet'!$B$10,Paramètres!$A$1:$I$89,3,0)*VLOOKUP('Données projet'!$B$10,Paramètres!$A$1:$I$89,5,0)</f>
        <v>275.96399999999983</v>
      </c>
      <c r="AK162" s="13">
        <f t="shared" si="164"/>
        <v>66.113366665488854</v>
      </c>
      <c r="AL162" s="20">
        <f t="shared" si="165"/>
        <v>595.78474694239264</v>
      </c>
      <c r="AM162" s="59">
        <f t="shared" si="113"/>
        <v>889.11808027572602</v>
      </c>
      <c r="AN162" s="59">
        <f ca="1">AVERAGE(OFFSET($AM$3,0,0,'Données projet'!$E$10+1,1))-AVERAGE(OFFSET($H$3,0,0,'Données projet'!$E$10+1,1))</f>
        <v>366.69125512029831</v>
      </c>
      <c r="AO162" s="59">
        <f t="shared" si="144"/>
        <v>513.80016421153414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0.12560371316610469</v>
      </c>
      <c r="AV162" s="21">
        <f>EXP(-LN(2)/25)*AV161+(1-EXP(-LN(2)/25))/(LN(2)/25)*Calculateur!AQ162*Calculateur!AS162*VLOOKUP('Données projet'!$B$10,Paramètres!$A$1:$I$89,3,0)*0.475*44/12</f>
        <v>0.20649918737253756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0.33210290053864222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212.28480000000002</v>
      </c>
      <c r="BF162" s="13">
        <f t="shared" si="167"/>
        <v>52.434557099704193</v>
      </c>
      <c r="BG162" s="20">
        <f t="shared" si="168"/>
        <v>461.05288028198476</v>
      </c>
      <c r="BH162" s="59">
        <f t="shared" si="116"/>
        <v>754.38621361531807</v>
      </c>
      <c r="BI162" s="59">
        <f ca="1">AVERAGE(OFFSET($BH$3,0,0,'Données projet'!$E$11+1,1))-AVERAGE(OFFSET($H$3,0,0,'Données projet'!$E$11+1,1))</f>
        <v>354.24684313982857</v>
      </c>
      <c r="BJ162" s="59">
        <f t="shared" si="146"/>
        <v>322.65043486962185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8.4713950118452797</v>
      </c>
      <c r="BQ162" s="21">
        <f>EXP(-LN(2)/25)*BQ161+(1-EXP(-LN(2)/25))/(LN(2)/25)*Calculateur!BL162*Calculateur!BN162*VLOOKUP('Données projet'!$B$11,Paramètres!$A$1:$I$89,3,0)*0.475*44/12</f>
        <v>2.9005437777093981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11.371938789554678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5.4978954722173515E-13</v>
      </c>
      <c r="CA162" s="13">
        <f t="shared" si="170"/>
        <v>6.7731340873355904E-12</v>
      </c>
      <c r="CB162" s="20">
        <f t="shared" si="171"/>
        <v>1.2754091996854009E-11</v>
      </c>
      <c r="CC162" s="59">
        <f t="shared" si="119"/>
        <v>293.33333333334605</v>
      </c>
      <c r="CD162" s="59">
        <f ca="1">AVERAGE(OFFSET($CC$3,0,0,'Données projet'!$E$12+1,1))-AVERAGE(OFFSET($H$3,0,0,'Données projet'!$E$12+1,1))</f>
        <v>407.73540492005355</v>
      </c>
      <c r="CE162" s="59">
        <f t="shared" si="148"/>
        <v>296.29416764204774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104.97836277548659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104.97836277548659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266.99999999999983</v>
      </c>
      <c r="CU162" s="17">
        <f>CT162*VLOOKUP('Données projet'!$B$13,Paramètres!$A$1:$I$89,3,0)*VLOOKUP('Données projet'!$B$13,Paramètres!$A$1:$I$89,5,0)</f>
        <v>212.42519999999985</v>
      </c>
      <c r="CV162" s="13">
        <f t="shared" si="173"/>
        <v>52.465198231787184</v>
      </c>
      <c r="CW162" s="20">
        <f t="shared" si="174"/>
        <v>461.35077692036231</v>
      </c>
      <c r="CX162" s="59">
        <f t="shared" si="122"/>
        <v>754.68411025369562</v>
      </c>
      <c r="CY162" s="59">
        <f ca="1">AVERAGE(OFFSET($CX$3,0,0,'Données projet'!$E$13+1,1))-AVERAGE(OFFSET($H$3,0,0,'Données projet'!$E$13+1,1))</f>
        <v>299.10536994156814</v>
      </c>
      <c r="CZ162" s="59">
        <f t="shared" si="150"/>
        <v>292.57799203101769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6.0227370642175249</v>
      </c>
      <c r="DG162" s="21">
        <f>EXP(-LN(2)/25)*DG161+(1-EXP(-LN(2)/25))/(LN(2)/25)*Calculateur!DB162*Calculateur!DD162*VLOOKUP('Données projet'!$B$13,Paramètres!$A$1:$I$89,3,0)*0.475*44/12</f>
        <v>0.93182405075655872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6.9545611149740836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266.99999999999983</v>
      </c>
      <c r="DP162" s="17">
        <f>DO162*VLOOKUP('Données projet'!$B$14,Paramètres!$A$1:$I$89,3,0)*VLOOKUP('Données projet'!$B$14,Paramètres!$A$1:$I$89,5,0)</f>
        <v>212.42519999999985</v>
      </c>
      <c r="DQ162" s="13">
        <f t="shared" si="176"/>
        <v>52.465198231787184</v>
      </c>
      <c r="DR162" s="20">
        <f t="shared" si="177"/>
        <v>461.35077692036231</v>
      </c>
      <c r="DS162" s="59">
        <f t="shared" si="125"/>
        <v>754.68411025369562</v>
      </c>
      <c r="DT162" s="59">
        <f ca="1">AVERAGE(OFFSET($DS$3,0,0,'Données projet'!$E$14+1,1))-AVERAGE(OFFSET($H$3,0,0,'Données projet'!$E$14+1,1))</f>
        <v>299.10536994156814</v>
      </c>
      <c r="DU162" s="59">
        <f t="shared" si="152"/>
        <v>292.57799203101769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6.0227370642175249</v>
      </c>
      <c r="EB162" s="21">
        <f>EXP(-LN(2)/25)*EB161+(1-EXP(-LN(2)/25))/(LN(2)/25)*Calculateur!DW162*Calculateur!DY162*VLOOKUP('Données projet'!$B$14,Paramètres!$A$1:$I$89,3,0)*0.475*44/12</f>
        <v>0.93182405075655872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6.9545611149740836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204.00000000000017</v>
      </c>
      <c r="EK162" s="17">
        <f>EJ162*VLOOKUP('Données projet'!$B$15,Paramètres!$A$1:$I$89,3,0)*VLOOKUP('Données projet'!$B$15,Paramètres!$A$1:$I$89,5,0)</f>
        <v>133.66080000000011</v>
      </c>
      <c r="EL162" s="13">
        <f t="shared" si="179"/>
        <v>34.840890682716783</v>
      </c>
      <c r="EM162" s="20">
        <f t="shared" si="180"/>
        <v>293.4737779390652</v>
      </c>
      <c r="EN162" s="59">
        <f t="shared" si="128"/>
        <v>586.80711127239852</v>
      </c>
      <c r="EO162" s="59">
        <f ca="1">AVERAGE(OFFSET($EN$3,0,0,'Données projet'!$E$15+1,1))-AVERAGE(OFFSET($H$3,0,0,'Données projet'!$E$15+1,1))</f>
        <v>230.58262378842818</v>
      </c>
      <c r="EP162" s="59">
        <f t="shared" si="154"/>
        <v>235.68746142880792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0.48695046195428687</v>
      </c>
      <c r="EW162" s="21">
        <f>EXP(-LN(2)/25)*EW161+(1-EXP(-LN(2)/25))/(LN(2)/25)*Calculateur!ER162*Calculateur!ET162*VLOOKUP('Données projet'!$B$15,Paramètres!$A$1:$I$89,3,0)*0.475*44/12</f>
        <v>1.5925932178892315</v>
      </c>
      <c r="EX162" s="21">
        <f>EXP(-LN(2)/2)*EX161+(1-EXP(-LN(2)/2))/(LN(2)/2)*ER162*EU162*VLOOKUP('Données projet'!$B$15,Paramètres!$A$1:$I$89,3,0)*0.475*44/12</f>
        <v>1.2253367537749711E-10</v>
      </c>
      <c r="EY162" s="22">
        <f t="shared" si="181"/>
        <v>2.079543679966052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234.00000000000003</v>
      </c>
      <c r="FF162" s="17">
        <f>FE162*VLOOKUP('Données projet'!$B$16,Paramètres!$A$1:$I$89,3,0)*VLOOKUP('Données projet'!$B$16,Paramètres!$A$1:$I$89,5,0)</f>
        <v>189.82080000000005</v>
      </c>
      <c r="FG162" s="13">
        <f t="shared" si="182"/>
        <v>47.500332100049796</v>
      </c>
      <c r="FH162" s="20">
        <f t="shared" si="183"/>
        <v>413.33430507425345</v>
      </c>
      <c r="FI162" s="59">
        <f t="shared" si="131"/>
        <v>706.66763840758676</v>
      </c>
      <c r="FJ162" s="59">
        <f ca="1">AVERAGE(OFFSET($FI$3,0,0,'Données projet'!$E$16+1,1))-AVERAGE(OFFSET($H$3,0,0,'Données projet'!$E$16+1,1))</f>
        <v>272.90535195666996</v>
      </c>
      <c r="FK162" s="59">
        <f t="shared" si="156"/>
        <v>222.25422164416898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1.1920882832647484</v>
      </c>
      <c r="FR162" s="21">
        <f>EXP(-LN(2)/25)*FR161+(1-EXP(-LN(2)/25))/(LN(2)/25)*Calculateur!FM162*Calculateur!FO162*VLOOKUP('Données projet'!$B$16,Paramètres!$A$1:$I$89,3,0)*0.475*44/12</f>
        <v>1.8181843052835662</v>
      </c>
      <c r="FS162" s="21">
        <f>EXP(-LN(2)/2)*FS161+(1-EXP(-LN(2)/2))/(LN(2)/2)*FM162*FP162*VLOOKUP('Données projet'!$B$16,Paramètres!$A$1:$I$89,3,0)*0.475*44/12</f>
        <v>5.5729916234630984E-11</v>
      </c>
      <c r="FT162" s="22">
        <f t="shared" si="184"/>
        <v>3.0102725886040447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293.33333333334531</v>
      </c>
      <c r="S163" s="59">
        <f ca="1">AVERAGE(OFFSET($R$3,0,0,'Données projet'!$E$9+1,1))-AVERAGE(OFFSET($H$3,0,0,'Données projet'!$E$9+1,1))</f>
        <v>384.05928630855732</v>
      </c>
      <c r="T163" s="59">
        <f t="shared" si="142"/>
        <v>279.93992813630513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304.99999999999983</v>
      </c>
      <c r="AJ163" s="13">
        <f>AI163*VLOOKUP('Données projet'!$B$10,Paramètres!$A$1:$I$89,3,0)*VLOOKUP('Données projet'!$B$10,Paramètres!$A$1:$I$89,5,0)</f>
        <v>275.96399999999983</v>
      </c>
      <c r="AK163" s="13">
        <f t="shared" si="164"/>
        <v>66.113366665488854</v>
      </c>
      <c r="AL163" s="20">
        <f t="shared" si="165"/>
        <v>595.78474694239264</v>
      </c>
      <c r="AM163" s="59">
        <f t="shared" si="113"/>
        <v>889.11808027572602</v>
      </c>
      <c r="AN163" s="59">
        <f ca="1">AVERAGE(OFFSET($AM$3,0,0,'Données projet'!$E$10+1,1))-AVERAGE(OFFSET($H$3,0,0,'Données projet'!$E$10+1,1))</f>
        <v>366.69125512029831</v>
      </c>
      <c r="AO163" s="59">
        <f t="shared" si="144"/>
        <v>513.80016421153414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0.12314070096161774</v>
      </c>
      <c r="AV163" s="21">
        <f>EXP(-LN(2)/25)*AV162+(1-EXP(-LN(2)/25))/(LN(2)/25)*Calculateur!AQ163*Calculateur!AS163*VLOOKUP('Données projet'!$B$10,Paramètres!$A$1:$I$89,3,0)*0.475*44/12</f>
        <v>0.20085245623451523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0.32399315719613297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212.28480000000002</v>
      </c>
      <c r="BF163" s="13">
        <f t="shared" si="167"/>
        <v>52.434557099704193</v>
      </c>
      <c r="BG163" s="20">
        <f t="shared" si="168"/>
        <v>461.05288028198476</v>
      </c>
      <c r="BH163" s="59">
        <f t="shared" si="116"/>
        <v>754.38621361531807</v>
      </c>
      <c r="BI163" s="59">
        <f ca="1">AVERAGE(OFFSET($BH$3,0,0,'Données projet'!$E$11+1,1))-AVERAGE(OFFSET($H$3,0,0,'Données projet'!$E$11+1,1))</f>
        <v>354.24684313982857</v>
      </c>
      <c r="BJ163" s="59">
        <f t="shared" si="146"/>
        <v>322.65043486962185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8.3052761227037486</v>
      </c>
      <c r="BQ163" s="21">
        <f>EXP(-LN(2)/25)*BQ162+(1-EXP(-LN(2)/25))/(LN(2)/25)*Calculateur!BL163*Calculateur!BN163*VLOOKUP('Données projet'!$B$11,Paramètres!$A$1:$I$89,3,0)*0.475*44/12</f>
        <v>2.8212282555749666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11.126504378278716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5.4978954722173515E-13</v>
      </c>
      <c r="CA163" s="13">
        <f t="shared" si="170"/>
        <v>6.7731340873355904E-12</v>
      </c>
      <c r="CB163" s="20">
        <f t="shared" si="171"/>
        <v>1.2754091996854009E-11</v>
      </c>
      <c r="CC163" s="59">
        <f t="shared" si="119"/>
        <v>293.33333333334605</v>
      </c>
      <c r="CD163" s="59">
        <f ca="1">AVERAGE(OFFSET($CC$3,0,0,'Données projet'!$E$12+1,1))-AVERAGE(OFFSET($H$3,0,0,'Données projet'!$E$12+1,1))</f>
        <v>407.73540492005355</v>
      </c>
      <c r="CE163" s="59">
        <f t="shared" si="148"/>
        <v>296.29416764204774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102.9198011119381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102.9198011119381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266.99999999999983</v>
      </c>
      <c r="CU163" s="17">
        <f>CT163*VLOOKUP('Données projet'!$B$13,Paramètres!$A$1:$I$89,3,0)*VLOOKUP('Données projet'!$B$13,Paramètres!$A$1:$I$89,5,0)</f>
        <v>212.42519999999985</v>
      </c>
      <c r="CV163" s="13">
        <f t="shared" si="173"/>
        <v>52.465198231787184</v>
      </c>
      <c r="CW163" s="20">
        <f t="shared" si="174"/>
        <v>461.35077692036231</v>
      </c>
      <c r="CX163" s="59">
        <f t="shared" si="122"/>
        <v>754.68411025369562</v>
      </c>
      <c r="CY163" s="59">
        <f ca="1">AVERAGE(OFFSET($CX$3,0,0,'Données projet'!$E$13+1,1))-AVERAGE(OFFSET($H$3,0,0,'Données projet'!$E$13+1,1))</f>
        <v>299.10536994156814</v>
      </c>
      <c r="CZ163" s="59">
        <f t="shared" si="150"/>
        <v>292.57799203101769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5.9046348638951001</v>
      </c>
      <c r="DG163" s="21">
        <f>EXP(-LN(2)/25)*DG162+(1-EXP(-LN(2)/25))/(LN(2)/25)*Calculateur!DB163*Calculateur!DD163*VLOOKUP('Données projet'!$B$13,Paramètres!$A$1:$I$89,3,0)*0.475*44/12</f>
        <v>0.9063432730861235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6.8109781369812232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266.99999999999983</v>
      </c>
      <c r="DP163" s="17">
        <f>DO163*VLOOKUP('Données projet'!$B$14,Paramètres!$A$1:$I$89,3,0)*VLOOKUP('Données projet'!$B$14,Paramètres!$A$1:$I$89,5,0)</f>
        <v>212.42519999999985</v>
      </c>
      <c r="DQ163" s="13">
        <f t="shared" si="176"/>
        <v>52.465198231787184</v>
      </c>
      <c r="DR163" s="20">
        <f t="shared" si="177"/>
        <v>461.35077692036231</v>
      </c>
      <c r="DS163" s="59">
        <f t="shared" si="125"/>
        <v>754.68411025369562</v>
      </c>
      <c r="DT163" s="59">
        <f ca="1">AVERAGE(OFFSET($DS$3,0,0,'Données projet'!$E$14+1,1))-AVERAGE(OFFSET($H$3,0,0,'Données projet'!$E$14+1,1))</f>
        <v>299.10536994156814</v>
      </c>
      <c r="DU163" s="59">
        <f t="shared" si="152"/>
        <v>292.57799203101769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5.9046348638951001</v>
      </c>
      <c r="EB163" s="21">
        <f>EXP(-LN(2)/25)*EB162+(1-EXP(-LN(2)/25))/(LN(2)/25)*Calculateur!DW163*Calculateur!DY163*VLOOKUP('Données projet'!$B$14,Paramètres!$A$1:$I$89,3,0)*0.475*44/12</f>
        <v>0.9063432730861235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6.8109781369812232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204.00000000000017</v>
      </c>
      <c r="EK163" s="17">
        <f>EJ163*VLOOKUP('Données projet'!$B$15,Paramètres!$A$1:$I$89,3,0)*VLOOKUP('Données projet'!$B$15,Paramètres!$A$1:$I$89,5,0)</f>
        <v>133.66080000000011</v>
      </c>
      <c r="EL163" s="13">
        <f t="shared" si="179"/>
        <v>34.840890682716783</v>
      </c>
      <c r="EM163" s="20">
        <f t="shared" si="180"/>
        <v>293.4737779390652</v>
      </c>
      <c r="EN163" s="59">
        <f t="shared" si="128"/>
        <v>586.80711127239852</v>
      </c>
      <c r="EO163" s="59">
        <f ca="1">AVERAGE(OFFSET($EN$3,0,0,'Données projet'!$E$15+1,1))-AVERAGE(OFFSET($H$3,0,0,'Données projet'!$E$15+1,1))</f>
        <v>230.58262378842818</v>
      </c>
      <c r="EP163" s="59">
        <f t="shared" si="154"/>
        <v>235.68746142880792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0.47740166040581777</v>
      </c>
      <c r="EW163" s="21">
        <f>EXP(-LN(2)/25)*EW162+(1-EXP(-LN(2)/25))/(LN(2)/25)*Calculateur!ER163*Calculateur!ET163*VLOOKUP('Données projet'!$B$15,Paramètres!$A$1:$I$89,3,0)*0.475*44/12</f>
        <v>1.549043672595213</v>
      </c>
      <c r="EX163" s="21">
        <f>EXP(-LN(2)/2)*EX162+(1-EXP(-LN(2)/2))/(LN(2)/2)*ER163*EU163*VLOOKUP('Données projet'!$B$15,Paramètres!$A$1:$I$89,3,0)*0.475*44/12</f>
        <v>8.6644392783139293E-11</v>
      </c>
      <c r="EY163" s="22">
        <f t="shared" si="181"/>
        <v>2.0264453330876755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234.00000000000003</v>
      </c>
      <c r="FF163" s="17">
        <f>FE163*VLOOKUP('Données projet'!$B$16,Paramètres!$A$1:$I$89,3,0)*VLOOKUP('Données projet'!$B$16,Paramètres!$A$1:$I$89,5,0)</f>
        <v>189.82080000000005</v>
      </c>
      <c r="FG163" s="13">
        <f t="shared" si="182"/>
        <v>47.500332100049796</v>
      </c>
      <c r="FH163" s="20">
        <f t="shared" si="183"/>
        <v>413.33430507425345</v>
      </c>
      <c r="FI163" s="59">
        <f t="shared" si="131"/>
        <v>706.66763840758676</v>
      </c>
      <c r="FJ163" s="59">
        <f ca="1">AVERAGE(OFFSET($FI$3,0,0,'Données projet'!$E$16+1,1))-AVERAGE(OFFSET($H$3,0,0,'Données projet'!$E$16+1,1))</f>
        <v>272.90535195666996</v>
      </c>
      <c r="FK163" s="59">
        <f t="shared" si="156"/>
        <v>222.25422164416898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1.168712159131984</v>
      </c>
      <c r="FR163" s="21">
        <f>EXP(-LN(2)/25)*FR162+(1-EXP(-LN(2)/25))/(LN(2)/25)*Calculateur!FM163*Calculateur!FO163*VLOOKUP('Données projet'!$B$16,Paramètres!$A$1:$I$89,3,0)*0.475*44/12</f>
        <v>1.7684659598414301</v>
      </c>
      <c r="FS163" s="21">
        <f>EXP(-LN(2)/2)*FS162+(1-EXP(-LN(2)/2))/(LN(2)/2)*FM163*FP163*VLOOKUP('Données projet'!$B$16,Paramètres!$A$1:$I$89,3,0)*0.475*44/12</f>
        <v>3.9407001684465833E-11</v>
      </c>
      <c r="FT163" s="22">
        <f t="shared" si="184"/>
        <v>2.9371781190128212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293.33333333334531</v>
      </c>
      <c r="S164" s="59">
        <f ca="1">AVERAGE(OFFSET($R$3,0,0,'Données projet'!$E$9+1,1))-AVERAGE(OFFSET($H$3,0,0,'Données projet'!$E$9+1,1))</f>
        <v>384.05928630855732</v>
      </c>
      <c r="T164" s="59">
        <f t="shared" si="142"/>
        <v>279.93992813630513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304.99999999999983</v>
      </c>
      <c r="AJ164" s="13">
        <f>AI164*VLOOKUP('Données projet'!$B$10,Paramètres!$A$1:$I$89,3,0)*VLOOKUP('Données projet'!$B$10,Paramètres!$A$1:$I$89,5,0)</f>
        <v>275.96399999999983</v>
      </c>
      <c r="AK164" s="13">
        <f t="shared" si="164"/>
        <v>66.113366665488854</v>
      </c>
      <c r="AL164" s="20">
        <f t="shared" si="165"/>
        <v>595.78474694239264</v>
      </c>
      <c r="AM164" s="59">
        <f t="shared" si="113"/>
        <v>889.11808027572602</v>
      </c>
      <c r="AN164" s="59">
        <f ca="1">AVERAGE(OFFSET($AM$3,0,0,'Données projet'!$E$10+1,1))-AVERAGE(OFFSET($H$3,0,0,'Données projet'!$E$10+1,1))</f>
        <v>366.69125512029831</v>
      </c>
      <c r="AO164" s="59">
        <f t="shared" si="144"/>
        <v>513.80016421153414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0.12072598692417166</v>
      </c>
      <c r="AV164" s="21">
        <f>EXP(-LN(2)/25)*AV163+(1-EXP(-LN(2)/25))/(LN(2)/25)*Calculateur!AQ164*Calculateur!AS164*VLOOKUP('Données projet'!$B$10,Paramètres!$A$1:$I$89,3,0)*0.475*44/12</f>
        <v>0.1953601352564108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0.31608612218058246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212.28480000000002</v>
      </c>
      <c r="BF164" s="13">
        <f t="shared" si="167"/>
        <v>52.434557099704193</v>
      </c>
      <c r="BG164" s="20">
        <f t="shared" si="168"/>
        <v>461.05288028198476</v>
      </c>
      <c r="BH164" s="59">
        <f t="shared" si="116"/>
        <v>754.38621361531807</v>
      </c>
      <c r="BI164" s="59">
        <f ca="1">AVERAGE(OFFSET($BH$3,0,0,'Données projet'!$E$11+1,1))-AVERAGE(OFFSET($H$3,0,0,'Données projet'!$E$11+1,1))</f>
        <v>354.24684313982857</v>
      </c>
      <c r="BJ164" s="59">
        <f t="shared" si="146"/>
        <v>322.65043486962185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8.1424147236557651</v>
      </c>
      <c r="BQ164" s="21">
        <f>EXP(-LN(2)/25)*BQ163+(1-EXP(-LN(2)/25))/(LN(2)/25)*Calculateur!BL164*Calculateur!BN164*VLOOKUP('Données projet'!$B$11,Paramètres!$A$1:$I$89,3,0)*0.475*44/12</f>
        <v>2.744081620564323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10.886496344220088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5.4978954722173515E-13</v>
      </c>
      <c r="CA164" s="13">
        <f t="shared" si="170"/>
        <v>6.7731340873355904E-12</v>
      </c>
      <c r="CB164" s="20">
        <f t="shared" si="171"/>
        <v>1.2754091996854009E-11</v>
      </c>
      <c r="CC164" s="59">
        <f t="shared" si="119"/>
        <v>293.33333333334605</v>
      </c>
      <c r="CD164" s="59">
        <f ca="1">AVERAGE(OFFSET($CC$3,0,0,'Données projet'!$E$12+1,1))-AVERAGE(OFFSET($H$3,0,0,'Données projet'!$E$12+1,1))</f>
        <v>407.73540492005355</v>
      </c>
      <c r="CE164" s="59">
        <f t="shared" si="148"/>
        <v>296.29416764204774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100.90160658701316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100.90160658701316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266.99999999999983</v>
      </c>
      <c r="CU164" s="17">
        <f>CT164*VLOOKUP('Données projet'!$B$13,Paramètres!$A$1:$I$89,3,0)*VLOOKUP('Données projet'!$B$13,Paramètres!$A$1:$I$89,5,0)</f>
        <v>212.42519999999985</v>
      </c>
      <c r="CV164" s="13">
        <f t="shared" si="173"/>
        <v>52.465198231787184</v>
      </c>
      <c r="CW164" s="20">
        <f t="shared" si="174"/>
        <v>461.35077692036231</v>
      </c>
      <c r="CX164" s="59">
        <f t="shared" si="122"/>
        <v>754.68411025369562</v>
      </c>
      <c r="CY164" s="59">
        <f ca="1">AVERAGE(OFFSET($CX$3,0,0,'Données projet'!$E$13+1,1))-AVERAGE(OFFSET($H$3,0,0,'Données projet'!$E$13+1,1))</f>
        <v>299.10536994156814</v>
      </c>
      <c r="CZ164" s="59">
        <f t="shared" si="150"/>
        <v>292.57799203101769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5.7888485756857682</v>
      </c>
      <c r="DG164" s="21">
        <f>EXP(-LN(2)/25)*DG163+(1-EXP(-LN(2)/25))/(LN(2)/25)*Calculateur!DB164*Calculateur!DD164*VLOOKUP('Données projet'!$B$13,Paramètres!$A$1:$I$89,3,0)*0.475*44/12</f>
        <v>0.88155926862106215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6.6704078443068306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266.99999999999983</v>
      </c>
      <c r="DP164" s="17">
        <f>DO164*VLOOKUP('Données projet'!$B$14,Paramètres!$A$1:$I$89,3,0)*VLOOKUP('Données projet'!$B$14,Paramètres!$A$1:$I$89,5,0)</f>
        <v>212.42519999999985</v>
      </c>
      <c r="DQ164" s="13">
        <f t="shared" si="176"/>
        <v>52.465198231787184</v>
      </c>
      <c r="DR164" s="20">
        <f t="shared" si="177"/>
        <v>461.35077692036231</v>
      </c>
      <c r="DS164" s="59">
        <f t="shared" si="125"/>
        <v>754.68411025369562</v>
      </c>
      <c r="DT164" s="59">
        <f ca="1">AVERAGE(OFFSET($DS$3,0,0,'Données projet'!$E$14+1,1))-AVERAGE(OFFSET($H$3,0,0,'Données projet'!$E$14+1,1))</f>
        <v>299.10536994156814</v>
      </c>
      <c r="DU164" s="59">
        <f t="shared" si="152"/>
        <v>292.57799203101769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5.7888485756857682</v>
      </c>
      <c r="EB164" s="21">
        <f>EXP(-LN(2)/25)*EB163+(1-EXP(-LN(2)/25))/(LN(2)/25)*Calculateur!DW164*Calculateur!DY164*VLOOKUP('Données projet'!$B$14,Paramètres!$A$1:$I$89,3,0)*0.475*44/12</f>
        <v>0.88155926862106215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6.6704078443068306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204.00000000000017</v>
      </c>
      <c r="EK164" s="17">
        <f>EJ164*VLOOKUP('Données projet'!$B$15,Paramètres!$A$1:$I$89,3,0)*VLOOKUP('Données projet'!$B$15,Paramètres!$A$1:$I$89,5,0)</f>
        <v>133.66080000000011</v>
      </c>
      <c r="EL164" s="13">
        <f t="shared" si="179"/>
        <v>34.840890682716783</v>
      </c>
      <c r="EM164" s="20">
        <f t="shared" si="180"/>
        <v>293.4737779390652</v>
      </c>
      <c r="EN164" s="59">
        <f t="shared" si="128"/>
        <v>586.80711127239852</v>
      </c>
      <c r="EO164" s="59">
        <f ca="1">AVERAGE(OFFSET($EN$3,0,0,'Données projet'!$E$15+1,1))-AVERAGE(OFFSET($H$3,0,0,'Données projet'!$E$15+1,1))</f>
        <v>230.58262378842818</v>
      </c>
      <c r="EP164" s="59">
        <f t="shared" si="154"/>
        <v>235.68746142880792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0.46804010503152027</v>
      </c>
      <c r="EW164" s="21">
        <f>EXP(-LN(2)/25)*EW163+(1-EXP(-LN(2)/25))/(LN(2)/25)*Calculateur!ER164*Calculateur!ET164*VLOOKUP('Données projet'!$B$15,Paramètres!$A$1:$I$89,3,0)*0.475*44/12</f>
        <v>1.5066849919074305</v>
      </c>
      <c r="EX164" s="21">
        <f>EXP(-LN(2)/2)*EX163+(1-EXP(-LN(2)/2))/(LN(2)/2)*ER164*EU164*VLOOKUP('Données projet'!$B$15,Paramètres!$A$1:$I$89,3,0)*0.475*44/12</f>
        <v>6.1266837688748553E-11</v>
      </c>
      <c r="EY164" s="22">
        <f t="shared" si="181"/>
        <v>1.9747250970002177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234.00000000000003</v>
      </c>
      <c r="FF164" s="17">
        <f>FE164*VLOOKUP('Données projet'!$B$16,Paramètres!$A$1:$I$89,3,0)*VLOOKUP('Données projet'!$B$16,Paramètres!$A$1:$I$89,5,0)</f>
        <v>189.82080000000005</v>
      </c>
      <c r="FG164" s="13">
        <f t="shared" si="182"/>
        <v>47.500332100049796</v>
      </c>
      <c r="FH164" s="20">
        <f t="shared" si="183"/>
        <v>413.33430507425345</v>
      </c>
      <c r="FI164" s="59">
        <f t="shared" si="131"/>
        <v>706.66763840758676</v>
      </c>
      <c r="FJ164" s="59">
        <f ca="1">AVERAGE(OFFSET($FI$3,0,0,'Données projet'!$E$16+1,1))-AVERAGE(OFFSET($H$3,0,0,'Données projet'!$E$16+1,1))</f>
        <v>272.90535195666996</v>
      </c>
      <c r="FK164" s="59">
        <f t="shared" si="156"/>
        <v>222.25422164416898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1.1457944265354354</v>
      </c>
      <c r="FR164" s="21">
        <f>EXP(-LN(2)/25)*FR163+(1-EXP(-LN(2)/25))/(LN(2)/25)*Calculateur!FM164*Calculateur!FO164*VLOOKUP('Données projet'!$B$16,Paramètres!$A$1:$I$89,3,0)*0.475*44/12</f>
        <v>1.7201071651699833</v>
      </c>
      <c r="FS164" s="21">
        <f>EXP(-LN(2)/2)*FS163+(1-EXP(-LN(2)/2))/(LN(2)/2)*FM164*FP164*VLOOKUP('Données projet'!$B$16,Paramètres!$A$1:$I$89,3,0)*0.475*44/12</f>
        <v>2.7864958117315492E-11</v>
      </c>
      <c r="FT164" s="22">
        <f t="shared" si="184"/>
        <v>2.8659015917332837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293.33333333334531</v>
      </c>
      <c r="S165" s="59">
        <f ca="1">AVERAGE(OFFSET($R$3,0,0,'Données projet'!$E$9+1,1))-AVERAGE(OFFSET($H$3,0,0,'Données projet'!$E$9+1,1))</f>
        <v>384.05928630855732</v>
      </c>
      <c r="T165" s="59">
        <f t="shared" si="142"/>
        <v>279.93992813630513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304.99999999999983</v>
      </c>
      <c r="AJ165" s="13">
        <f>AI165*VLOOKUP('Données projet'!$B$10,Paramètres!$A$1:$I$89,3,0)*VLOOKUP('Données projet'!$B$10,Paramètres!$A$1:$I$89,5,0)</f>
        <v>275.96399999999983</v>
      </c>
      <c r="AK165" s="13">
        <f t="shared" si="164"/>
        <v>66.113366665488854</v>
      </c>
      <c r="AL165" s="20">
        <f t="shared" si="165"/>
        <v>595.78474694239264</v>
      </c>
      <c r="AM165" s="59">
        <f t="shared" si="113"/>
        <v>889.11808027572602</v>
      </c>
      <c r="AN165" s="59">
        <f ca="1">AVERAGE(OFFSET($AM$3,0,0,'Données projet'!$E$10+1,1))-AVERAGE(OFFSET($H$3,0,0,'Données projet'!$E$10+1,1))</f>
        <v>366.69125512029831</v>
      </c>
      <c r="AO165" s="59">
        <f t="shared" si="144"/>
        <v>513.80016421153414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0.11835862395616976</v>
      </c>
      <c r="AV165" s="21">
        <f>EXP(-LN(2)/25)*AV164+(1-EXP(-LN(2)/25))/(LN(2)/25)*Calculateur!AQ165*Calculateur!AS165*VLOOKUP('Données projet'!$B$10,Paramètres!$A$1:$I$89,3,0)*0.475*44/12</f>
        <v>0.19001800208428124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0.30837662604045102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212.28480000000002</v>
      </c>
      <c r="BF165" s="13">
        <f t="shared" si="167"/>
        <v>52.434557099704193</v>
      </c>
      <c r="BG165" s="20">
        <f t="shared" si="168"/>
        <v>461.05288028198476</v>
      </c>
      <c r="BH165" s="59">
        <f t="shared" si="116"/>
        <v>754.38621361531807</v>
      </c>
      <c r="BI165" s="59">
        <f ca="1">AVERAGE(OFFSET($BH$3,0,0,'Données projet'!$E$11+1,1))-AVERAGE(OFFSET($H$3,0,0,'Données projet'!$E$11+1,1))</f>
        <v>354.24684313982857</v>
      </c>
      <c r="BJ165" s="59">
        <f t="shared" si="146"/>
        <v>322.65043486962185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7.9827469373074678</v>
      </c>
      <c r="BQ165" s="21">
        <f>EXP(-LN(2)/25)*BQ164+(1-EXP(-LN(2)/25))/(LN(2)/25)*Calculateur!BL165*Calculateur!BN165*VLOOKUP('Données projet'!$B$11,Paramètres!$A$1:$I$89,3,0)*0.475*44/12</f>
        <v>2.6690445643450107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10.651791501652479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5.4978954722173515E-13</v>
      </c>
      <c r="CA165" s="13">
        <f t="shared" si="170"/>
        <v>6.7731340873355904E-12</v>
      </c>
      <c r="CB165" s="20">
        <f t="shared" si="171"/>
        <v>1.2754091996854009E-11</v>
      </c>
      <c r="CC165" s="59">
        <f t="shared" si="119"/>
        <v>293.33333333334605</v>
      </c>
      <c r="CD165" s="59">
        <f ca="1">AVERAGE(OFFSET($CC$3,0,0,'Données projet'!$E$12+1,1))-AVERAGE(OFFSET($H$3,0,0,'Données projet'!$E$12+1,1))</f>
        <v>407.73540492005355</v>
      </c>
      <c r="CE165" s="59">
        <f t="shared" si="148"/>
        <v>296.29416764204774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98.922987625744895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98.922987625744895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266.99999999999983</v>
      </c>
      <c r="CU165" s="17">
        <f>CT165*VLOOKUP('Données projet'!$B$13,Paramètres!$A$1:$I$89,3,0)*VLOOKUP('Données projet'!$B$13,Paramètres!$A$1:$I$89,5,0)</f>
        <v>212.42519999999985</v>
      </c>
      <c r="CV165" s="13">
        <f t="shared" si="173"/>
        <v>52.465198231787184</v>
      </c>
      <c r="CW165" s="20">
        <f t="shared" si="174"/>
        <v>461.35077692036231</v>
      </c>
      <c r="CX165" s="59">
        <f t="shared" si="122"/>
        <v>754.68411025369562</v>
      </c>
      <c r="CY165" s="59">
        <f ca="1">AVERAGE(OFFSET($CX$3,0,0,'Données projet'!$E$13+1,1))-AVERAGE(OFFSET($H$3,0,0,'Données projet'!$E$13+1,1))</f>
        <v>299.10536994156814</v>
      </c>
      <c r="CZ165" s="59">
        <f t="shared" si="150"/>
        <v>292.57799203101769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5.6753327859655593</v>
      </c>
      <c r="DG165" s="21">
        <f>EXP(-LN(2)/25)*DG164+(1-EXP(-LN(2)/25))/(LN(2)/25)*Calculateur!DB165*Calculateur!DD165*VLOOKUP('Données projet'!$B$13,Paramètres!$A$1:$I$89,3,0)*0.475*44/12</f>
        <v>0.85745298406143211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6.5327857700269911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266.99999999999983</v>
      </c>
      <c r="DP165" s="17">
        <f>DO165*VLOOKUP('Données projet'!$B$14,Paramètres!$A$1:$I$89,3,0)*VLOOKUP('Données projet'!$B$14,Paramètres!$A$1:$I$89,5,0)</f>
        <v>212.42519999999985</v>
      </c>
      <c r="DQ165" s="13">
        <f t="shared" si="176"/>
        <v>52.465198231787184</v>
      </c>
      <c r="DR165" s="20">
        <f t="shared" si="177"/>
        <v>461.35077692036231</v>
      </c>
      <c r="DS165" s="59">
        <f t="shared" si="125"/>
        <v>754.68411025369562</v>
      </c>
      <c r="DT165" s="59">
        <f ca="1">AVERAGE(OFFSET($DS$3,0,0,'Données projet'!$E$14+1,1))-AVERAGE(OFFSET($H$3,0,0,'Données projet'!$E$14+1,1))</f>
        <v>299.10536994156814</v>
      </c>
      <c r="DU165" s="59">
        <f t="shared" si="152"/>
        <v>292.57799203101769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5.6753327859655593</v>
      </c>
      <c r="EB165" s="21">
        <f>EXP(-LN(2)/25)*EB164+(1-EXP(-LN(2)/25))/(LN(2)/25)*Calculateur!DW165*Calculateur!DY165*VLOOKUP('Données projet'!$B$14,Paramètres!$A$1:$I$89,3,0)*0.475*44/12</f>
        <v>0.85745298406143211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6.5327857700269911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204.00000000000017</v>
      </c>
      <c r="EK165" s="17">
        <f>EJ165*VLOOKUP('Données projet'!$B$15,Paramètres!$A$1:$I$89,3,0)*VLOOKUP('Données projet'!$B$15,Paramètres!$A$1:$I$89,5,0)</f>
        <v>133.66080000000011</v>
      </c>
      <c r="EL165" s="13">
        <f t="shared" si="179"/>
        <v>34.840890682716783</v>
      </c>
      <c r="EM165" s="20">
        <f t="shared" si="180"/>
        <v>293.4737779390652</v>
      </c>
      <c r="EN165" s="59">
        <f t="shared" si="128"/>
        <v>586.80711127239852</v>
      </c>
      <c r="EO165" s="59">
        <f ca="1">AVERAGE(OFFSET($EN$3,0,0,'Données projet'!$E$15+1,1))-AVERAGE(OFFSET($H$3,0,0,'Données projet'!$E$15+1,1))</f>
        <v>230.58262378842818</v>
      </c>
      <c r="EP165" s="59">
        <f t="shared" si="154"/>
        <v>235.68746142880792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0.45886212404812776</v>
      </c>
      <c r="EW165" s="21">
        <f>EXP(-LN(2)/25)*EW164+(1-EXP(-LN(2)/25))/(LN(2)/25)*Calculateur!ER165*Calculateur!ET165*VLOOKUP('Données projet'!$B$15,Paramètres!$A$1:$I$89,3,0)*0.475*44/12</f>
        <v>1.4654846115706017</v>
      </c>
      <c r="EX165" s="21">
        <f>EXP(-LN(2)/2)*EX164+(1-EXP(-LN(2)/2))/(LN(2)/2)*ER165*EU165*VLOOKUP('Données projet'!$B$15,Paramètres!$A$1:$I$89,3,0)*0.475*44/12</f>
        <v>4.3322196391569647E-11</v>
      </c>
      <c r="EY165" s="22">
        <f t="shared" si="181"/>
        <v>1.9243467356620516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234.00000000000003</v>
      </c>
      <c r="FF165" s="17">
        <f>FE165*VLOOKUP('Données projet'!$B$16,Paramètres!$A$1:$I$89,3,0)*VLOOKUP('Données projet'!$B$16,Paramètres!$A$1:$I$89,5,0)</f>
        <v>189.82080000000005</v>
      </c>
      <c r="FG165" s="13">
        <f t="shared" si="182"/>
        <v>47.500332100049796</v>
      </c>
      <c r="FH165" s="20">
        <f t="shared" si="183"/>
        <v>413.33430507425345</v>
      </c>
      <c r="FI165" s="59">
        <f t="shared" si="131"/>
        <v>706.66763840758676</v>
      </c>
      <c r="FJ165" s="59">
        <f ca="1">AVERAGE(OFFSET($FI$3,0,0,'Données projet'!$E$16+1,1))-AVERAGE(OFFSET($H$3,0,0,'Données projet'!$E$16+1,1))</f>
        <v>272.90535195666996</v>
      </c>
      <c r="FK165" s="59">
        <f t="shared" si="156"/>
        <v>222.25422164416898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1.1233260966966685</v>
      </c>
      <c r="FR165" s="21">
        <f>EXP(-LN(2)/25)*FR164+(1-EXP(-LN(2)/25))/(LN(2)/25)*Calculateur!FM165*Calculateur!FO165*VLOOKUP('Données projet'!$B$16,Paramètres!$A$1:$I$89,3,0)*0.475*44/12</f>
        <v>1.6730707442819057</v>
      </c>
      <c r="FS165" s="21">
        <f>EXP(-LN(2)/2)*FS164+(1-EXP(-LN(2)/2))/(LN(2)/2)*FM165*FP165*VLOOKUP('Données projet'!$B$16,Paramètres!$A$1:$I$89,3,0)*0.475*44/12</f>
        <v>1.9703500842232917E-11</v>
      </c>
      <c r="FT165" s="22">
        <f t="shared" si="184"/>
        <v>2.7963968409982778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293.33333333334531</v>
      </c>
      <c r="S166" s="59">
        <f ca="1">AVERAGE(OFFSET($R$3,0,0,'Données projet'!$E$9+1,1))-AVERAGE(OFFSET($H$3,0,0,'Données projet'!$E$9+1,1))</f>
        <v>384.05928630855732</v>
      </c>
      <c r="T166" s="59">
        <f t="shared" si="142"/>
        <v>279.93992813630513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304.99999999999983</v>
      </c>
      <c r="AJ166" s="13">
        <f>AI166*VLOOKUP('Données projet'!$B$10,Paramètres!$A$1:$I$89,3,0)*VLOOKUP('Données projet'!$B$10,Paramètres!$A$1:$I$89,5,0)</f>
        <v>275.96399999999983</v>
      </c>
      <c r="AK166" s="13">
        <f t="shared" si="164"/>
        <v>66.113366665488854</v>
      </c>
      <c r="AL166" s="20">
        <f t="shared" si="165"/>
        <v>595.78474694239264</v>
      </c>
      <c r="AM166" s="59">
        <f t="shared" si="113"/>
        <v>889.11808027572602</v>
      </c>
      <c r="AN166" s="59">
        <f ca="1">AVERAGE(OFFSET($AM$3,0,0,'Données projet'!$E$10+1,1))-AVERAGE(OFFSET($H$3,0,0,'Données projet'!$E$10+1,1))</f>
        <v>366.69125512029831</v>
      </c>
      <c r="AO166" s="59">
        <f t="shared" si="144"/>
        <v>513.80016421153414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0.11603768353202155</v>
      </c>
      <c r="AV166" s="21">
        <f>EXP(-LN(2)/25)*AV165+(1-EXP(-LN(2)/25))/(LN(2)/25)*Calculateur!AQ166*Calculateur!AS166*VLOOKUP('Données projet'!$B$10,Paramètres!$A$1:$I$89,3,0)*0.475*44/12</f>
        <v>0.18482194982467412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0.30085963335669569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212.28480000000002</v>
      </c>
      <c r="BF166" s="13">
        <f t="shared" si="167"/>
        <v>52.434557099704193</v>
      </c>
      <c r="BG166" s="20">
        <f t="shared" si="168"/>
        <v>461.05288028198476</v>
      </c>
      <c r="BH166" s="59">
        <f t="shared" si="116"/>
        <v>754.38621361531807</v>
      </c>
      <c r="BI166" s="59">
        <f ca="1">AVERAGE(OFFSET($BH$3,0,0,'Données projet'!$E$11+1,1))-AVERAGE(OFFSET($H$3,0,0,'Données projet'!$E$11+1,1))</f>
        <v>354.24684313982857</v>
      </c>
      <c r="BJ166" s="59">
        <f t="shared" si="146"/>
        <v>322.65043486962185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7.8262101388617271</v>
      </c>
      <c r="BQ166" s="21">
        <f>EXP(-LN(2)/25)*BQ165+(1-EXP(-LN(2)/25))/(LN(2)/25)*Calculateur!BL166*Calculateur!BN166*VLOOKUP('Données projet'!$B$11,Paramètres!$A$1:$I$89,3,0)*0.475*44/12</f>
        <v>2.5960594003740427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10.422269539235771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5.4978954722173515E-13</v>
      </c>
      <c r="CA166" s="13">
        <f t="shared" si="170"/>
        <v>6.7731340873355904E-12</v>
      </c>
      <c r="CB166" s="20">
        <f t="shared" si="171"/>
        <v>1.2754091996854009E-11</v>
      </c>
      <c r="CC166" s="59">
        <f t="shared" si="119"/>
        <v>293.33333333334605</v>
      </c>
      <c r="CD166" s="59">
        <f ca="1">AVERAGE(OFFSET($CC$3,0,0,'Données projet'!$E$12+1,1))-AVERAGE(OFFSET($H$3,0,0,'Données projet'!$E$12+1,1))</f>
        <v>407.73540492005355</v>
      </c>
      <c r="CE166" s="59">
        <f t="shared" si="148"/>
        <v>296.29416764204774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96.983168175468705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96.983168175468705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266.99999999999983</v>
      </c>
      <c r="CU166" s="17">
        <f>CT166*VLOOKUP('Données projet'!$B$13,Paramètres!$A$1:$I$89,3,0)*VLOOKUP('Données projet'!$B$13,Paramètres!$A$1:$I$89,5,0)</f>
        <v>212.42519999999985</v>
      </c>
      <c r="CV166" s="13">
        <f t="shared" si="173"/>
        <v>52.465198231787184</v>
      </c>
      <c r="CW166" s="20">
        <f t="shared" si="174"/>
        <v>461.35077692036231</v>
      </c>
      <c r="CX166" s="59">
        <f t="shared" si="122"/>
        <v>754.68411025369562</v>
      </c>
      <c r="CY166" s="59">
        <f ca="1">AVERAGE(OFFSET($CX$3,0,0,'Données projet'!$E$13+1,1))-AVERAGE(OFFSET($H$3,0,0,'Données projet'!$E$13+1,1))</f>
        <v>299.10536994156814</v>
      </c>
      <c r="CZ166" s="59">
        <f t="shared" si="150"/>
        <v>292.57799203101769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5.5640429716439685</v>
      </c>
      <c r="DG166" s="21">
        <f>EXP(-LN(2)/25)*DG165+(1-EXP(-LN(2)/25))/(LN(2)/25)*Calculateur!DB166*Calculateur!DD166*VLOOKUP('Données projet'!$B$13,Paramètres!$A$1:$I$89,3,0)*0.475*44/12</f>
        <v>0.8340058871207795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6.3980488587647484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266.99999999999983</v>
      </c>
      <c r="DP166" s="17">
        <f>DO166*VLOOKUP('Données projet'!$B$14,Paramètres!$A$1:$I$89,3,0)*VLOOKUP('Données projet'!$B$14,Paramètres!$A$1:$I$89,5,0)</f>
        <v>212.42519999999985</v>
      </c>
      <c r="DQ166" s="13">
        <f t="shared" si="176"/>
        <v>52.465198231787184</v>
      </c>
      <c r="DR166" s="20">
        <f t="shared" si="177"/>
        <v>461.35077692036231</v>
      </c>
      <c r="DS166" s="59">
        <f t="shared" si="125"/>
        <v>754.68411025369562</v>
      </c>
      <c r="DT166" s="59">
        <f ca="1">AVERAGE(OFFSET($DS$3,0,0,'Données projet'!$E$14+1,1))-AVERAGE(OFFSET($H$3,0,0,'Données projet'!$E$14+1,1))</f>
        <v>299.10536994156814</v>
      </c>
      <c r="DU166" s="59">
        <f t="shared" si="152"/>
        <v>292.57799203101769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5.5640429716439685</v>
      </c>
      <c r="EB166" s="21">
        <f>EXP(-LN(2)/25)*EB165+(1-EXP(-LN(2)/25))/(LN(2)/25)*Calculateur!DW166*Calculateur!DY166*VLOOKUP('Données projet'!$B$14,Paramètres!$A$1:$I$89,3,0)*0.475*44/12</f>
        <v>0.8340058871207795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6.3980488587647484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204.00000000000017</v>
      </c>
      <c r="EK166" s="17">
        <f>EJ166*VLOOKUP('Données projet'!$B$15,Paramètres!$A$1:$I$89,3,0)*VLOOKUP('Données projet'!$B$15,Paramètres!$A$1:$I$89,5,0)</f>
        <v>133.66080000000011</v>
      </c>
      <c r="EL166" s="13">
        <f t="shared" si="179"/>
        <v>34.840890682716783</v>
      </c>
      <c r="EM166" s="20">
        <f t="shared" si="180"/>
        <v>293.4737779390652</v>
      </c>
      <c r="EN166" s="59">
        <f t="shared" si="128"/>
        <v>586.80711127239852</v>
      </c>
      <c r="EO166" s="59">
        <f ca="1">AVERAGE(OFFSET($EN$3,0,0,'Données projet'!$E$15+1,1))-AVERAGE(OFFSET($H$3,0,0,'Données projet'!$E$15+1,1))</f>
        <v>230.58262378842818</v>
      </c>
      <c r="EP166" s="59">
        <f t="shared" si="154"/>
        <v>235.68746142880792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0.44986411767380396</v>
      </c>
      <c r="EW166" s="21">
        <f>EXP(-LN(2)/25)*EW165+(1-EXP(-LN(2)/25))/(LN(2)/25)*Calculateur!ER166*Calculateur!ET166*VLOOKUP('Données projet'!$B$15,Paramètres!$A$1:$I$89,3,0)*0.475*44/12</f>
        <v>1.4254108578007174</v>
      </c>
      <c r="EX166" s="21">
        <f>EXP(-LN(2)/2)*EX165+(1-EXP(-LN(2)/2))/(LN(2)/2)*ER166*EU166*VLOOKUP('Données projet'!$B$15,Paramètres!$A$1:$I$89,3,0)*0.475*44/12</f>
        <v>3.0633418844374276E-11</v>
      </c>
      <c r="EY166" s="22">
        <f t="shared" si="181"/>
        <v>1.8752749755051548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234.00000000000003</v>
      </c>
      <c r="FF166" s="17">
        <f>FE166*VLOOKUP('Données projet'!$B$16,Paramètres!$A$1:$I$89,3,0)*VLOOKUP('Données projet'!$B$16,Paramètres!$A$1:$I$89,5,0)</f>
        <v>189.82080000000005</v>
      </c>
      <c r="FG166" s="13">
        <f t="shared" si="182"/>
        <v>47.500332100049796</v>
      </c>
      <c r="FH166" s="20">
        <f t="shared" si="183"/>
        <v>413.33430507425345</v>
      </c>
      <c r="FI166" s="59">
        <f t="shared" si="131"/>
        <v>706.66763840758676</v>
      </c>
      <c r="FJ166" s="59">
        <f ca="1">AVERAGE(OFFSET($FI$3,0,0,'Données projet'!$E$16+1,1))-AVERAGE(OFFSET($H$3,0,0,'Données projet'!$E$16+1,1))</f>
        <v>272.90535195666996</v>
      </c>
      <c r="FK166" s="59">
        <f t="shared" si="156"/>
        <v>222.25422164416898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1.1012983571017119</v>
      </c>
      <c r="FR166" s="21">
        <f>EXP(-LN(2)/25)*FR165+(1-EXP(-LN(2)/25))/(LN(2)/25)*Calculateur!FM166*Calculateur!FO166*VLOOKUP('Données projet'!$B$16,Paramètres!$A$1:$I$89,3,0)*0.475*44/12</f>
        <v>1.6273205367965504</v>
      </c>
      <c r="FS166" s="21">
        <f>EXP(-LN(2)/2)*FS165+(1-EXP(-LN(2)/2))/(LN(2)/2)*FM166*FP166*VLOOKUP('Données projet'!$B$16,Paramètres!$A$1:$I$89,3,0)*0.475*44/12</f>
        <v>1.3932479058657746E-11</v>
      </c>
      <c r="FT166" s="22">
        <f t="shared" si="184"/>
        <v>2.7286188939121945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293.33333333334531</v>
      </c>
      <c r="S167" s="59">
        <f ca="1">AVERAGE(OFFSET($R$3,0,0,'Données projet'!$E$9+1,1))-AVERAGE(OFFSET($H$3,0,0,'Données projet'!$E$9+1,1))</f>
        <v>384.05928630855732</v>
      </c>
      <c r="T167" s="59">
        <f t="shared" si="142"/>
        <v>279.93992813630513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304.99999999999983</v>
      </c>
      <c r="AJ167" s="13">
        <f>AI167*VLOOKUP('Données projet'!$B$10,Paramètres!$A$1:$I$89,3,0)*VLOOKUP('Données projet'!$B$10,Paramètres!$A$1:$I$89,5,0)</f>
        <v>275.96399999999983</v>
      </c>
      <c r="AK167" s="13">
        <f t="shared" si="164"/>
        <v>66.113366665488854</v>
      </c>
      <c r="AL167" s="20">
        <f t="shared" si="165"/>
        <v>595.78474694239264</v>
      </c>
      <c r="AM167" s="59">
        <f t="shared" si="113"/>
        <v>889.11808027572602</v>
      </c>
      <c r="AN167" s="59">
        <f ca="1">AVERAGE(OFFSET($AM$3,0,0,'Données projet'!$E$10+1,1))-AVERAGE(OFFSET($H$3,0,0,'Données projet'!$E$10+1,1))</f>
        <v>366.69125512029831</v>
      </c>
      <c r="AO167" s="59">
        <f t="shared" si="144"/>
        <v>513.80016421153414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0.11376225533395702</v>
      </c>
      <c r="AV167" s="21">
        <f>EXP(-LN(2)/25)*AV166+(1-EXP(-LN(2)/25))/(LN(2)/25)*Calculateur!AQ167*Calculateur!AS167*VLOOKUP('Données projet'!$B$10,Paramètres!$A$1:$I$89,3,0)*0.475*44/12</f>
        <v>0.17976798388735449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0.2935302392213115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212.28480000000002</v>
      </c>
      <c r="BF167" s="13">
        <f t="shared" si="167"/>
        <v>52.434557099704193</v>
      </c>
      <c r="BG167" s="20">
        <f t="shared" si="168"/>
        <v>461.05288028198476</v>
      </c>
      <c r="BH167" s="59">
        <f t="shared" si="116"/>
        <v>754.38621361531807</v>
      </c>
      <c r="BI167" s="59">
        <f ca="1">AVERAGE(OFFSET($BH$3,0,0,'Données projet'!$E$11+1,1))-AVERAGE(OFFSET($H$3,0,0,'Données projet'!$E$11+1,1))</f>
        <v>354.24684313982857</v>
      </c>
      <c r="BJ167" s="59">
        <f t="shared" si="146"/>
        <v>322.65043486962185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7.6727429315554874</v>
      </c>
      <c r="BQ167" s="21">
        <f>EXP(-LN(2)/25)*BQ166+(1-EXP(-LN(2)/25))/(LN(2)/25)*Calculateur!BL167*Calculateur!BN167*VLOOKUP('Données projet'!$B$11,Paramètres!$A$1:$I$89,3,0)*0.475*44/12</f>
        <v>2.5250700195499842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10.197812951105472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5.4978954722173515E-13</v>
      </c>
      <c r="CA167" s="13">
        <f t="shared" si="170"/>
        <v>6.7731340873355904E-12</v>
      </c>
      <c r="CB167" s="20">
        <f t="shared" si="171"/>
        <v>1.2754091996854009E-11</v>
      </c>
      <c r="CC167" s="59">
        <f t="shared" si="119"/>
        <v>293.33333333334605</v>
      </c>
      <c r="CD167" s="59">
        <f ca="1">AVERAGE(OFFSET($CC$3,0,0,'Données projet'!$E$12+1,1))-AVERAGE(OFFSET($H$3,0,0,'Données projet'!$E$12+1,1))</f>
        <v>407.73540492005355</v>
      </c>
      <c r="CE167" s="59">
        <f t="shared" si="148"/>
        <v>296.29416764204774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95.081387401439386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95.081387401439386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266.99999999999983</v>
      </c>
      <c r="CU167" s="17">
        <f>CT167*VLOOKUP('Données projet'!$B$13,Paramètres!$A$1:$I$89,3,0)*VLOOKUP('Données projet'!$B$13,Paramètres!$A$1:$I$89,5,0)</f>
        <v>212.42519999999985</v>
      </c>
      <c r="CV167" s="13">
        <f t="shared" si="173"/>
        <v>52.465198231787184</v>
      </c>
      <c r="CW167" s="20">
        <f t="shared" si="174"/>
        <v>461.35077692036231</v>
      </c>
      <c r="CX167" s="59">
        <f t="shared" si="122"/>
        <v>754.68411025369562</v>
      </c>
      <c r="CY167" s="59">
        <f ca="1">AVERAGE(OFFSET($CX$3,0,0,'Données projet'!$E$13+1,1))-AVERAGE(OFFSET($H$3,0,0,'Données projet'!$E$13+1,1))</f>
        <v>299.10536994156814</v>
      </c>
      <c r="CZ167" s="59">
        <f t="shared" si="150"/>
        <v>292.57799203101769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5.4549354827011403</v>
      </c>
      <c r="DG167" s="21">
        <f>EXP(-LN(2)/25)*DG166+(1-EXP(-LN(2)/25))/(LN(2)/25)*Calculateur!DB167*Calculateur!DD167*VLOOKUP('Données projet'!$B$13,Paramètres!$A$1:$I$89,3,0)*0.475*44/12</f>
        <v>0.81119995227899833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6.2661354349801384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266.99999999999983</v>
      </c>
      <c r="DP167" s="17">
        <f>DO167*VLOOKUP('Données projet'!$B$14,Paramètres!$A$1:$I$89,3,0)*VLOOKUP('Données projet'!$B$14,Paramètres!$A$1:$I$89,5,0)</f>
        <v>212.42519999999985</v>
      </c>
      <c r="DQ167" s="13">
        <f t="shared" si="176"/>
        <v>52.465198231787184</v>
      </c>
      <c r="DR167" s="20">
        <f t="shared" si="177"/>
        <v>461.35077692036231</v>
      </c>
      <c r="DS167" s="59">
        <f t="shared" si="125"/>
        <v>754.68411025369562</v>
      </c>
      <c r="DT167" s="59">
        <f ca="1">AVERAGE(OFFSET($DS$3,0,0,'Données projet'!$E$14+1,1))-AVERAGE(OFFSET($H$3,0,0,'Données projet'!$E$14+1,1))</f>
        <v>299.10536994156814</v>
      </c>
      <c r="DU167" s="59">
        <f t="shared" si="152"/>
        <v>292.57799203101769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5.4549354827011403</v>
      </c>
      <c r="EB167" s="21">
        <f>EXP(-LN(2)/25)*EB166+(1-EXP(-LN(2)/25))/(LN(2)/25)*Calculateur!DW167*Calculateur!DY167*VLOOKUP('Données projet'!$B$14,Paramètres!$A$1:$I$89,3,0)*0.475*44/12</f>
        <v>0.81119995227899833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6.2661354349801384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204.00000000000017</v>
      </c>
      <c r="EK167" s="17">
        <f>EJ167*VLOOKUP('Données projet'!$B$15,Paramètres!$A$1:$I$89,3,0)*VLOOKUP('Données projet'!$B$15,Paramètres!$A$1:$I$89,5,0)</f>
        <v>133.66080000000011</v>
      </c>
      <c r="EL167" s="13">
        <f t="shared" si="179"/>
        <v>34.840890682716783</v>
      </c>
      <c r="EM167" s="20">
        <f t="shared" si="180"/>
        <v>293.4737779390652</v>
      </c>
      <c r="EN167" s="59">
        <f t="shared" si="128"/>
        <v>586.80711127239852</v>
      </c>
      <c r="EO167" s="59">
        <f ca="1">AVERAGE(OFFSET($EN$3,0,0,'Données projet'!$E$15+1,1))-AVERAGE(OFFSET($H$3,0,0,'Données projet'!$E$15+1,1))</f>
        <v>230.58262378842818</v>
      </c>
      <c r="EP167" s="59">
        <f t="shared" si="154"/>
        <v>235.68746142880792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0.44104255671623871</v>
      </c>
      <c r="EW167" s="21">
        <f>EXP(-LN(2)/25)*EW166+(1-EXP(-LN(2)/25))/(LN(2)/25)*Calculateur!ER167*Calculateur!ET167*VLOOKUP('Données projet'!$B$15,Paramètres!$A$1:$I$89,3,0)*0.475*44/12</f>
        <v>1.3864329229350576</v>
      </c>
      <c r="EX167" s="21">
        <f>EXP(-LN(2)/2)*EX166+(1-EXP(-LN(2)/2))/(LN(2)/2)*ER167*EU167*VLOOKUP('Données projet'!$B$15,Paramètres!$A$1:$I$89,3,0)*0.475*44/12</f>
        <v>2.1661098195784823E-11</v>
      </c>
      <c r="EY167" s="22">
        <f t="shared" si="181"/>
        <v>1.8274754796729573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234.00000000000003</v>
      </c>
      <c r="FF167" s="17">
        <f>FE167*VLOOKUP('Données projet'!$B$16,Paramètres!$A$1:$I$89,3,0)*VLOOKUP('Données projet'!$B$16,Paramètres!$A$1:$I$89,5,0)</f>
        <v>189.82080000000005</v>
      </c>
      <c r="FG167" s="13">
        <f t="shared" si="182"/>
        <v>47.500332100049796</v>
      </c>
      <c r="FH167" s="20">
        <f t="shared" si="183"/>
        <v>413.33430507425345</v>
      </c>
      <c r="FI167" s="59">
        <f t="shared" si="131"/>
        <v>706.66763840758676</v>
      </c>
      <c r="FJ167" s="59">
        <f ca="1">AVERAGE(OFFSET($FI$3,0,0,'Données projet'!$E$16+1,1))-AVERAGE(OFFSET($H$3,0,0,'Données projet'!$E$16+1,1))</f>
        <v>272.90535195666996</v>
      </c>
      <c r="FK167" s="59">
        <f t="shared" si="156"/>
        <v>222.25422164416898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1.0797025680446177</v>
      </c>
      <c r="FR167" s="21">
        <f>EXP(-LN(2)/25)*FR166+(1-EXP(-LN(2)/25))/(LN(2)/25)*Calculateur!FM167*Calculateur!FO167*VLOOKUP('Données projet'!$B$16,Paramètres!$A$1:$I$89,3,0)*0.475*44/12</f>
        <v>1.582821371140781</v>
      </c>
      <c r="FS167" s="21">
        <f>EXP(-LN(2)/2)*FS166+(1-EXP(-LN(2)/2))/(LN(2)/2)*FM167*FP167*VLOOKUP('Données projet'!$B$16,Paramètres!$A$1:$I$89,3,0)*0.475*44/12</f>
        <v>9.8517504211164583E-12</v>
      </c>
      <c r="FT167" s="22">
        <f t="shared" si="184"/>
        <v>2.6625239391952507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293.33333333334531</v>
      </c>
      <c r="S168" s="59">
        <f ca="1">AVERAGE(OFFSET($R$3,0,0,'Données projet'!$E$9+1,1))-AVERAGE(OFFSET($H$3,0,0,'Données projet'!$E$9+1,1))</f>
        <v>384.05928630855732</v>
      </c>
      <c r="T168" s="59">
        <f t="shared" si="142"/>
        <v>279.93992813630513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304.99999999999983</v>
      </c>
      <c r="AJ168" s="13">
        <f>AI168*VLOOKUP('Données projet'!$B$10,Paramètres!$A$1:$I$89,3,0)*VLOOKUP('Données projet'!$B$10,Paramètres!$A$1:$I$89,5,0)</f>
        <v>275.96399999999983</v>
      </c>
      <c r="AK168" s="13">
        <f t="shared" si="164"/>
        <v>66.113366665488854</v>
      </c>
      <c r="AL168" s="20">
        <f t="shared" si="165"/>
        <v>595.78474694239264</v>
      </c>
      <c r="AM168" s="59">
        <f t="shared" si="113"/>
        <v>889.11808027572602</v>
      </c>
      <c r="AN168" s="59">
        <f ca="1">AVERAGE(OFFSET($AM$3,0,0,'Données projet'!$E$10+1,1))-AVERAGE(OFFSET($H$3,0,0,'Données projet'!$E$10+1,1))</f>
        <v>366.69125512029831</v>
      </c>
      <c r="AO168" s="59">
        <f t="shared" si="144"/>
        <v>513.80016421153414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0.11153144689498237</v>
      </c>
      <c r="AV168" s="21">
        <f>EXP(-LN(2)/25)*AV167+(1-EXP(-LN(2)/25))/(LN(2)/25)*Calculateur!AQ168*Calculateur!AS168*VLOOKUP('Données projet'!$B$10,Paramètres!$A$1:$I$89,3,0)*0.475*44/12</f>
        <v>0.17485221891436736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0.28638366580934971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212.28480000000002</v>
      </c>
      <c r="BF168" s="13">
        <f t="shared" si="167"/>
        <v>52.434557099704193</v>
      </c>
      <c r="BG168" s="20">
        <f t="shared" si="168"/>
        <v>461.05288028198476</v>
      </c>
      <c r="BH168" s="59">
        <f t="shared" si="116"/>
        <v>754.38621361531807</v>
      </c>
      <c r="BI168" s="59">
        <f ca="1">AVERAGE(OFFSET($BH$3,0,0,'Données projet'!$E$11+1,1))-AVERAGE(OFFSET($H$3,0,0,'Données projet'!$E$11+1,1))</f>
        <v>354.24684313982857</v>
      </c>
      <c r="BJ168" s="59">
        <f t="shared" si="146"/>
        <v>322.65043486962185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7.5222851225787695</v>
      </c>
      <c r="BQ168" s="21">
        <f>EXP(-LN(2)/25)*BQ167+(1-EXP(-LN(2)/25))/(LN(2)/25)*Calculateur!BL168*Calculateur!BN168*VLOOKUP('Données projet'!$B$11,Paramètres!$A$1:$I$89,3,0)*0.475*44/12</f>
        <v>2.4560218470777286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9.9783069696564972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5.4978954722173515E-13</v>
      </c>
      <c r="CA168" s="13">
        <f t="shared" si="170"/>
        <v>6.7731340873355904E-12</v>
      </c>
      <c r="CB168" s="20">
        <f t="shared" si="171"/>
        <v>1.2754091996854009E-11</v>
      </c>
      <c r="CC168" s="59">
        <f t="shared" si="119"/>
        <v>293.33333333334605</v>
      </c>
      <c r="CD168" s="59">
        <f ca="1">AVERAGE(OFFSET($CC$3,0,0,'Données projet'!$E$12+1,1))-AVERAGE(OFFSET($H$3,0,0,'Données projet'!$E$12+1,1))</f>
        <v>407.73540492005355</v>
      </c>
      <c r="CE168" s="59">
        <f t="shared" si="148"/>
        <v>296.29416764204774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93.216899388417048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93.216899388417048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266.99999999999983</v>
      </c>
      <c r="CU168" s="17">
        <f>CT168*VLOOKUP('Données projet'!$B$13,Paramètres!$A$1:$I$89,3,0)*VLOOKUP('Données projet'!$B$13,Paramètres!$A$1:$I$89,5,0)</f>
        <v>212.42519999999985</v>
      </c>
      <c r="CV168" s="13">
        <f t="shared" si="173"/>
        <v>52.465198231787184</v>
      </c>
      <c r="CW168" s="20">
        <f t="shared" si="174"/>
        <v>461.35077692036231</v>
      </c>
      <c r="CX168" s="59">
        <f t="shared" si="122"/>
        <v>754.68411025369562</v>
      </c>
      <c r="CY168" s="59">
        <f ca="1">AVERAGE(OFFSET($CX$3,0,0,'Données projet'!$E$13+1,1))-AVERAGE(OFFSET($H$3,0,0,'Données projet'!$E$13+1,1))</f>
        <v>299.10536994156814</v>
      </c>
      <c r="CZ168" s="59">
        <f t="shared" si="150"/>
        <v>292.57799203101769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5.3479675250674834</v>
      </c>
      <c r="DG168" s="21">
        <f>EXP(-LN(2)/25)*DG167+(1-EXP(-LN(2)/25))/(LN(2)/25)*Calculateur!DB168*Calculateur!DD168*VLOOKUP('Données projet'!$B$13,Paramètres!$A$1:$I$89,3,0)*0.475*44/12</f>
        <v>0.7890176469247776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6.1369851719922615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266.99999999999983</v>
      </c>
      <c r="DP168" s="17">
        <f>DO168*VLOOKUP('Données projet'!$B$14,Paramètres!$A$1:$I$89,3,0)*VLOOKUP('Données projet'!$B$14,Paramètres!$A$1:$I$89,5,0)</f>
        <v>212.42519999999985</v>
      </c>
      <c r="DQ168" s="13">
        <f t="shared" si="176"/>
        <v>52.465198231787184</v>
      </c>
      <c r="DR168" s="20">
        <f t="shared" si="177"/>
        <v>461.35077692036231</v>
      </c>
      <c r="DS168" s="59">
        <f t="shared" si="125"/>
        <v>754.68411025369562</v>
      </c>
      <c r="DT168" s="59">
        <f ca="1">AVERAGE(OFFSET($DS$3,0,0,'Données projet'!$E$14+1,1))-AVERAGE(OFFSET($H$3,0,0,'Données projet'!$E$14+1,1))</f>
        <v>299.10536994156814</v>
      </c>
      <c r="DU168" s="59">
        <f t="shared" si="152"/>
        <v>292.57799203101769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5.3479675250674834</v>
      </c>
      <c r="EB168" s="21">
        <f>EXP(-LN(2)/25)*EB167+(1-EXP(-LN(2)/25))/(LN(2)/25)*Calculateur!DW168*Calculateur!DY168*VLOOKUP('Données projet'!$B$14,Paramètres!$A$1:$I$89,3,0)*0.475*44/12</f>
        <v>0.7890176469247776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6.1369851719922615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204.00000000000017</v>
      </c>
      <c r="EK168" s="17">
        <f>EJ168*VLOOKUP('Données projet'!$B$15,Paramètres!$A$1:$I$89,3,0)*VLOOKUP('Données projet'!$B$15,Paramètres!$A$1:$I$89,5,0)</f>
        <v>133.66080000000011</v>
      </c>
      <c r="EL168" s="13">
        <f t="shared" si="179"/>
        <v>34.840890682716783</v>
      </c>
      <c r="EM168" s="20">
        <f t="shared" si="180"/>
        <v>293.4737779390652</v>
      </c>
      <c r="EN168" s="59">
        <f t="shared" si="128"/>
        <v>586.80711127239852</v>
      </c>
      <c r="EO168" s="59">
        <f ca="1">AVERAGE(OFFSET($EN$3,0,0,'Données projet'!$E$15+1,1))-AVERAGE(OFFSET($H$3,0,0,'Données projet'!$E$15+1,1))</f>
        <v>230.58262378842818</v>
      </c>
      <c r="EP168" s="59">
        <f t="shared" si="154"/>
        <v>235.68746142880792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0.43239398118843042</v>
      </c>
      <c r="EW168" s="21">
        <f>EXP(-LN(2)/25)*EW167+(1-EXP(-LN(2)/25))/(LN(2)/25)*Calculateur!ER168*Calculateur!ET168*VLOOKUP('Données projet'!$B$15,Paramètres!$A$1:$I$89,3,0)*0.475*44/12</f>
        <v>1.3485208417480599</v>
      </c>
      <c r="EX168" s="21">
        <f>EXP(-LN(2)/2)*EX167+(1-EXP(-LN(2)/2))/(LN(2)/2)*ER168*EU168*VLOOKUP('Données projet'!$B$15,Paramètres!$A$1:$I$89,3,0)*0.475*44/12</f>
        <v>1.5316709422187138E-11</v>
      </c>
      <c r="EY168" s="22">
        <f t="shared" si="181"/>
        <v>1.7809148229518068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234.00000000000003</v>
      </c>
      <c r="FF168" s="17">
        <f>FE168*VLOOKUP('Données projet'!$B$16,Paramètres!$A$1:$I$89,3,0)*VLOOKUP('Données projet'!$B$16,Paramètres!$A$1:$I$89,5,0)</f>
        <v>189.82080000000005</v>
      </c>
      <c r="FG168" s="13">
        <f t="shared" si="182"/>
        <v>47.500332100049796</v>
      </c>
      <c r="FH168" s="20">
        <f t="shared" si="183"/>
        <v>413.33430507425345</v>
      </c>
      <c r="FI168" s="59">
        <f t="shared" si="131"/>
        <v>706.66763840758676</v>
      </c>
      <c r="FJ168" s="59">
        <f ca="1">AVERAGE(OFFSET($FI$3,0,0,'Données projet'!$E$16+1,1))-AVERAGE(OFFSET($H$3,0,0,'Données projet'!$E$16+1,1))</f>
        <v>272.90535195666996</v>
      </c>
      <c r="FK168" s="59">
        <f t="shared" si="156"/>
        <v>222.25422164416898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1.0585302592388026</v>
      </c>
      <c r="FR168" s="21">
        <f>EXP(-LN(2)/25)*FR167+(1-EXP(-LN(2)/25))/(LN(2)/25)*Calculateur!FM168*Calculateur!FO168*VLOOKUP('Données projet'!$B$16,Paramètres!$A$1:$I$89,3,0)*0.475*44/12</f>
        <v>1.539539037509978</v>
      </c>
      <c r="FS168" s="21">
        <f>EXP(-LN(2)/2)*FS167+(1-EXP(-LN(2)/2))/(LN(2)/2)*FM168*FP168*VLOOKUP('Données projet'!$B$16,Paramètres!$A$1:$I$89,3,0)*0.475*44/12</f>
        <v>6.966239529328873E-12</v>
      </c>
      <c r="FT168" s="22">
        <f t="shared" si="184"/>
        <v>2.5980692967557473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293.33333333334531</v>
      </c>
      <c r="S169" s="59">
        <f ca="1">AVERAGE(OFFSET($R$3,0,0,'Données projet'!$E$9+1,1))-AVERAGE(OFFSET($H$3,0,0,'Données projet'!$E$9+1,1))</f>
        <v>384.05928630855732</v>
      </c>
      <c r="T169" s="59">
        <f t="shared" si="142"/>
        <v>279.93992813630513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304.99999999999983</v>
      </c>
      <c r="AJ169" s="13">
        <f>AI169*VLOOKUP('Données projet'!$B$10,Paramètres!$A$1:$I$89,3,0)*VLOOKUP('Données projet'!$B$10,Paramètres!$A$1:$I$89,5,0)</f>
        <v>275.96399999999983</v>
      </c>
      <c r="AK169" s="13">
        <f t="shared" si="164"/>
        <v>66.113366665488854</v>
      </c>
      <c r="AL169" s="20">
        <f t="shared" si="165"/>
        <v>595.78474694239264</v>
      </c>
      <c r="AM169" s="59">
        <f t="shared" si="113"/>
        <v>889.11808027572602</v>
      </c>
      <c r="AN169" s="59">
        <f ca="1">AVERAGE(OFFSET($AM$3,0,0,'Données projet'!$E$10+1,1))-AVERAGE(OFFSET($H$3,0,0,'Données projet'!$E$10+1,1))</f>
        <v>366.69125512029831</v>
      </c>
      <c r="AO169" s="59">
        <f t="shared" si="144"/>
        <v>513.80016421153414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0.10934438324883722</v>
      </c>
      <c r="AV169" s="21">
        <f>EXP(-LN(2)/25)*AV168+(1-EXP(-LN(2)/25))/(LN(2)/25)*Calculateur!AQ169*Calculateur!AS169*VLOOKUP('Données projet'!$B$10,Paramètres!$A$1:$I$89,3,0)*0.475*44/12</f>
        <v>0.17007087579307542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0.27941525904191267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212.28480000000002</v>
      </c>
      <c r="BF169" s="13">
        <f t="shared" si="167"/>
        <v>52.434557099704193</v>
      </c>
      <c r="BG169" s="20">
        <f t="shared" si="168"/>
        <v>461.05288028198476</v>
      </c>
      <c r="BH169" s="59">
        <f t="shared" si="116"/>
        <v>754.38621361531807</v>
      </c>
      <c r="BI169" s="59">
        <f ca="1">AVERAGE(OFFSET($BH$3,0,0,'Données projet'!$E$11+1,1))-AVERAGE(OFFSET($H$3,0,0,'Données projet'!$E$11+1,1))</f>
        <v>354.24684313982857</v>
      </c>
      <c r="BJ169" s="59">
        <f t="shared" si="146"/>
        <v>322.65043486962185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7.3747776994658834</v>
      </c>
      <c r="BQ169" s="21">
        <f>EXP(-LN(2)/25)*BQ168+(1-EXP(-LN(2)/25))/(LN(2)/25)*Calculateur!BL169*Calculateur!BN169*VLOOKUP('Données projet'!$B$11,Paramètres!$A$1:$I$89,3,0)*0.475*44/12</f>
        <v>2.3888618005128124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9.7636394999786962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5.4978954722173515E-13</v>
      </c>
      <c r="CA169" s="13">
        <f t="shared" si="170"/>
        <v>6.7731340873355904E-12</v>
      </c>
      <c r="CB169" s="20">
        <f t="shared" si="171"/>
        <v>1.2754091996854009E-11</v>
      </c>
      <c r="CC169" s="59">
        <f t="shared" si="119"/>
        <v>293.33333333334605</v>
      </c>
      <c r="CD169" s="59">
        <f ca="1">AVERAGE(OFFSET($CC$3,0,0,'Données projet'!$E$12+1,1))-AVERAGE(OFFSET($H$3,0,0,'Données projet'!$E$12+1,1))</f>
        <v>407.73540492005355</v>
      </c>
      <c r="CE169" s="59">
        <f t="shared" si="148"/>
        <v>296.29416764204774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91.388972848104686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91.388972848104686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266.99999999999983</v>
      </c>
      <c r="CU169" s="17">
        <f>CT169*VLOOKUP('Données projet'!$B$13,Paramètres!$A$1:$I$89,3,0)*VLOOKUP('Données projet'!$B$13,Paramètres!$A$1:$I$89,5,0)</f>
        <v>212.42519999999985</v>
      </c>
      <c r="CV169" s="13">
        <f t="shared" si="173"/>
        <v>52.465198231787184</v>
      </c>
      <c r="CW169" s="20">
        <f t="shared" si="174"/>
        <v>461.35077692036231</v>
      </c>
      <c r="CX169" s="59">
        <f t="shared" si="122"/>
        <v>754.68411025369562</v>
      </c>
      <c r="CY169" s="59">
        <f ca="1">AVERAGE(OFFSET($CX$3,0,0,'Données projet'!$E$13+1,1))-AVERAGE(OFFSET($H$3,0,0,'Données projet'!$E$13+1,1))</f>
        <v>299.10536994156814</v>
      </c>
      <c r="CZ169" s="59">
        <f t="shared" si="150"/>
        <v>292.57799203101769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5.2430971438390106</v>
      </c>
      <c r="DG169" s="21">
        <f>EXP(-LN(2)/25)*DG168+(1-EXP(-LN(2)/25))/(LN(2)/25)*Calculateur!DB169*Calculateur!DD169*VLOOKUP('Données projet'!$B$13,Paramètres!$A$1:$I$89,3,0)*0.475*44/12</f>
        <v>0.76744191787698479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6.0105390617159955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266.99999999999983</v>
      </c>
      <c r="DP169" s="17">
        <f>DO169*VLOOKUP('Données projet'!$B$14,Paramètres!$A$1:$I$89,3,0)*VLOOKUP('Données projet'!$B$14,Paramètres!$A$1:$I$89,5,0)</f>
        <v>212.42519999999985</v>
      </c>
      <c r="DQ169" s="13">
        <f t="shared" si="176"/>
        <v>52.465198231787184</v>
      </c>
      <c r="DR169" s="20">
        <f t="shared" si="177"/>
        <v>461.35077692036231</v>
      </c>
      <c r="DS169" s="59">
        <f t="shared" si="125"/>
        <v>754.68411025369562</v>
      </c>
      <c r="DT169" s="59">
        <f ca="1">AVERAGE(OFFSET($DS$3,0,0,'Données projet'!$E$14+1,1))-AVERAGE(OFFSET($H$3,0,0,'Données projet'!$E$14+1,1))</f>
        <v>299.10536994156814</v>
      </c>
      <c r="DU169" s="59">
        <f t="shared" si="152"/>
        <v>292.57799203101769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5.2430971438390106</v>
      </c>
      <c r="EB169" s="21">
        <f>EXP(-LN(2)/25)*EB168+(1-EXP(-LN(2)/25))/(LN(2)/25)*Calculateur!DW169*Calculateur!DY169*VLOOKUP('Données projet'!$B$14,Paramètres!$A$1:$I$89,3,0)*0.475*44/12</f>
        <v>0.76744191787698479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6.0105390617159955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204.00000000000017</v>
      </c>
      <c r="EK169" s="17">
        <f>EJ169*VLOOKUP('Données projet'!$B$15,Paramètres!$A$1:$I$89,3,0)*VLOOKUP('Données projet'!$B$15,Paramètres!$A$1:$I$89,5,0)</f>
        <v>133.66080000000011</v>
      </c>
      <c r="EL169" s="13">
        <f t="shared" si="179"/>
        <v>34.840890682716783</v>
      </c>
      <c r="EM169" s="20">
        <f t="shared" si="180"/>
        <v>293.4737779390652</v>
      </c>
      <c r="EN169" s="59">
        <f t="shared" si="128"/>
        <v>586.80711127239852</v>
      </c>
      <c r="EO169" s="59">
        <f ca="1">AVERAGE(OFFSET($EN$3,0,0,'Données projet'!$E$15+1,1))-AVERAGE(OFFSET($H$3,0,0,'Données projet'!$E$15+1,1))</f>
        <v>230.58262378842818</v>
      </c>
      <c r="EP169" s="59">
        <f t="shared" si="154"/>
        <v>235.68746142880792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0.42391499895161222</v>
      </c>
      <c r="EW169" s="21">
        <f>EXP(-LN(2)/25)*EW168+(1-EXP(-LN(2)/25))/(LN(2)/25)*Calculateur!ER169*Calculateur!ET169*VLOOKUP('Données projet'!$B$15,Paramètres!$A$1:$I$89,3,0)*0.475*44/12</f>
        <v>1.3116454684148302</v>
      </c>
      <c r="EX169" s="21">
        <f>EXP(-LN(2)/2)*EX168+(1-EXP(-LN(2)/2))/(LN(2)/2)*ER169*EU169*VLOOKUP('Données projet'!$B$15,Paramètres!$A$1:$I$89,3,0)*0.475*44/12</f>
        <v>1.0830549097892412E-11</v>
      </c>
      <c r="EY169" s="22">
        <f t="shared" si="181"/>
        <v>1.7355604673772729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234.00000000000003</v>
      </c>
      <c r="FF169" s="17">
        <f>FE169*VLOOKUP('Données projet'!$B$16,Paramètres!$A$1:$I$89,3,0)*VLOOKUP('Données projet'!$B$16,Paramètres!$A$1:$I$89,5,0)</f>
        <v>189.82080000000005</v>
      </c>
      <c r="FG169" s="13">
        <f t="shared" si="182"/>
        <v>47.500332100049796</v>
      </c>
      <c r="FH169" s="20">
        <f t="shared" si="183"/>
        <v>413.33430507425345</v>
      </c>
      <c r="FI169" s="59">
        <f t="shared" si="131"/>
        <v>706.66763840758676</v>
      </c>
      <c r="FJ169" s="59">
        <f ca="1">AVERAGE(OFFSET($FI$3,0,0,'Données projet'!$E$16+1,1))-AVERAGE(OFFSET($H$3,0,0,'Données projet'!$E$16+1,1))</f>
        <v>272.90535195666996</v>
      </c>
      <c r="FK169" s="59">
        <f t="shared" si="156"/>
        <v>222.25422164416898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1.0377731264948362</v>
      </c>
      <c r="FR169" s="21">
        <f>EXP(-LN(2)/25)*FR168+(1-EXP(-LN(2)/25))/(LN(2)/25)*Calculateur!FM169*Calculateur!FO169*VLOOKUP('Données projet'!$B$16,Paramètres!$A$1:$I$89,3,0)*0.475*44/12</f>
        <v>1.4974402615684284</v>
      </c>
      <c r="FS169" s="21">
        <f>EXP(-LN(2)/2)*FS168+(1-EXP(-LN(2)/2))/(LN(2)/2)*FM169*FP169*VLOOKUP('Données projet'!$B$16,Paramètres!$A$1:$I$89,3,0)*0.475*44/12</f>
        <v>4.9258752105582291E-12</v>
      </c>
      <c r="FT169" s="22">
        <f t="shared" si="184"/>
        <v>2.5352133880681906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293.33333333334531</v>
      </c>
      <c r="S170" s="59">
        <f ca="1">AVERAGE(OFFSET($R$3,0,0,'Données projet'!$E$9+1,1))-AVERAGE(OFFSET($H$3,0,0,'Données projet'!$E$9+1,1))</f>
        <v>384.05928630855732</v>
      </c>
      <c r="T170" s="59">
        <f t="shared" si="142"/>
        <v>279.93992813630513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304.99999999999983</v>
      </c>
      <c r="AJ170" s="13">
        <f>AI170*VLOOKUP('Données projet'!$B$10,Paramètres!$A$1:$I$89,3,0)*VLOOKUP('Données projet'!$B$10,Paramètres!$A$1:$I$89,5,0)</f>
        <v>275.96399999999983</v>
      </c>
      <c r="AK170" s="13">
        <f t="shared" si="164"/>
        <v>66.113366665488854</v>
      </c>
      <c r="AL170" s="20">
        <f t="shared" si="165"/>
        <v>595.78474694239264</v>
      </c>
      <c r="AM170" s="59">
        <f t="shared" si="113"/>
        <v>889.11808027572602</v>
      </c>
      <c r="AN170" s="59">
        <f ca="1">AVERAGE(OFFSET($AM$3,0,0,'Données projet'!$E$10+1,1))-AVERAGE(OFFSET($H$3,0,0,'Données projet'!$E$10+1,1))</f>
        <v>366.69125512029831</v>
      </c>
      <c r="AO170" s="59">
        <f t="shared" si="144"/>
        <v>513.80016421153414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0.10720020658681587</v>
      </c>
      <c r="AV170" s="21">
        <f>EXP(-LN(2)/25)*AV169+(1-EXP(-LN(2)/25))/(LN(2)/25)*Calculateur!AQ170*Calculateur!AS170*VLOOKUP('Données projet'!$B$10,Paramètres!$A$1:$I$89,3,0)*0.475*44/12</f>
        <v>0.16542027875087512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0.27262048533769101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212.28480000000002</v>
      </c>
      <c r="BF170" s="13">
        <f t="shared" si="167"/>
        <v>52.434557099704193</v>
      </c>
      <c r="BG170" s="20">
        <f t="shared" si="168"/>
        <v>461.05288028198476</v>
      </c>
      <c r="BH170" s="59">
        <f t="shared" si="116"/>
        <v>754.38621361531807</v>
      </c>
      <c r="BI170" s="59">
        <f ca="1">AVERAGE(OFFSET($BH$3,0,0,'Données projet'!$E$11+1,1))-AVERAGE(OFFSET($H$3,0,0,'Données projet'!$E$11+1,1))</f>
        <v>354.24684313982857</v>
      </c>
      <c r="BJ170" s="59">
        <f t="shared" si="146"/>
        <v>322.65043486962185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7.2301628069495969</v>
      </c>
      <c r="BQ170" s="21">
        <f>EXP(-LN(2)/25)*BQ169+(1-EXP(-LN(2)/25))/(LN(2)/25)*Calculateur!BL170*Calculateur!BN170*VLOOKUP('Données projet'!$B$11,Paramètres!$A$1:$I$89,3,0)*0.475*44/12</f>
        <v>2.3235382489530072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9.5537010559026037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5.4978954722173515E-13</v>
      </c>
      <c r="CA170" s="13">
        <f t="shared" si="170"/>
        <v>6.7731340873355904E-12</v>
      </c>
      <c r="CB170" s="20">
        <f t="shared" si="171"/>
        <v>1.2754091996854009E-11</v>
      </c>
      <c r="CC170" s="59">
        <f t="shared" si="119"/>
        <v>293.33333333334605</v>
      </c>
      <c r="CD170" s="59">
        <f ca="1">AVERAGE(OFFSET($CC$3,0,0,'Données projet'!$E$12+1,1))-AVERAGE(OFFSET($H$3,0,0,'Données projet'!$E$12+1,1))</f>
        <v>407.73540492005355</v>
      </c>
      <c r="CE170" s="59">
        <f t="shared" si="148"/>
        <v>296.29416764204774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89.596890832322742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89.596890832322742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266.99999999999983</v>
      </c>
      <c r="CU170" s="17">
        <f>CT170*VLOOKUP('Données projet'!$B$13,Paramètres!$A$1:$I$89,3,0)*VLOOKUP('Données projet'!$B$13,Paramètres!$A$1:$I$89,5,0)</f>
        <v>212.42519999999985</v>
      </c>
      <c r="CV170" s="13">
        <f t="shared" si="173"/>
        <v>52.465198231787184</v>
      </c>
      <c r="CW170" s="20">
        <f t="shared" si="174"/>
        <v>461.35077692036231</v>
      </c>
      <c r="CX170" s="59">
        <f t="shared" si="122"/>
        <v>754.68411025369562</v>
      </c>
      <c r="CY170" s="59">
        <f ca="1">AVERAGE(OFFSET($CX$3,0,0,'Données projet'!$E$13+1,1))-AVERAGE(OFFSET($H$3,0,0,'Données projet'!$E$13+1,1))</f>
        <v>299.10536994156814</v>
      </c>
      <c r="CZ170" s="59">
        <f t="shared" si="150"/>
        <v>292.57799203101769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5.1402832068218114</v>
      </c>
      <c r="DG170" s="21">
        <f>EXP(-LN(2)/25)*DG169+(1-EXP(-LN(2)/25))/(LN(2)/25)*Calculateur!DB170*Calculateur!DD170*VLOOKUP('Données projet'!$B$13,Paramètres!$A$1:$I$89,3,0)*0.475*44/12</f>
        <v>0.74645617827462218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5.8867393850964334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266.99999999999983</v>
      </c>
      <c r="DP170" s="17">
        <f>DO170*VLOOKUP('Données projet'!$B$14,Paramètres!$A$1:$I$89,3,0)*VLOOKUP('Données projet'!$B$14,Paramètres!$A$1:$I$89,5,0)</f>
        <v>212.42519999999985</v>
      </c>
      <c r="DQ170" s="13">
        <f t="shared" si="176"/>
        <v>52.465198231787184</v>
      </c>
      <c r="DR170" s="20">
        <f t="shared" si="177"/>
        <v>461.35077692036231</v>
      </c>
      <c r="DS170" s="59">
        <f t="shared" si="125"/>
        <v>754.68411025369562</v>
      </c>
      <c r="DT170" s="59">
        <f ca="1">AVERAGE(OFFSET($DS$3,0,0,'Données projet'!$E$14+1,1))-AVERAGE(OFFSET($H$3,0,0,'Données projet'!$E$14+1,1))</f>
        <v>299.10536994156814</v>
      </c>
      <c r="DU170" s="59">
        <f t="shared" si="152"/>
        <v>292.57799203101769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5.1402832068218114</v>
      </c>
      <c r="EB170" s="21">
        <f>EXP(-LN(2)/25)*EB169+(1-EXP(-LN(2)/25))/(LN(2)/25)*Calculateur!DW170*Calculateur!DY170*VLOOKUP('Données projet'!$B$14,Paramètres!$A$1:$I$89,3,0)*0.475*44/12</f>
        <v>0.74645617827462218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5.8867393850964334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204.00000000000017</v>
      </c>
      <c r="EK170" s="17">
        <f>EJ170*VLOOKUP('Données projet'!$B$15,Paramètres!$A$1:$I$89,3,0)*VLOOKUP('Données projet'!$B$15,Paramètres!$A$1:$I$89,5,0)</f>
        <v>133.66080000000011</v>
      </c>
      <c r="EL170" s="13">
        <f t="shared" si="179"/>
        <v>34.840890682716783</v>
      </c>
      <c r="EM170" s="20">
        <f t="shared" si="180"/>
        <v>293.4737779390652</v>
      </c>
      <c r="EN170" s="59">
        <f t="shared" si="128"/>
        <v>586.80711127239852</v>
      </c>
      <c r="EO170" s="59">
        <f ca="1">AVERAGE(OFFSET($EN$3,0,0,'Données projet'!$E$15+1,1))-AVERAGE(OFFSET($H$3,0,0,'Données projet'!$E$15+1,1))</f>
        <v>230.58262378842818</v>
      </c>
      <c r="EP170" s="59">
        <f t="shared" si="154"/>
        <v>235.68746142880792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0.41560228438478952</v>
      </c>
      <c r="EW170" s="21">
        <f>EXP(-LN(2)/25)*EW169+(1-EXP(-LN(2)/25))/(LN(2)/25)*Calculateur!ER170*Calculateur!ET170*VLOOKUP('Données projet'!$B$15,Paramètres!$A$1:$I$89,3,0)*0.475*44/12</f>
        <v>1.2757784541045893</v>
      </c>
      <c r="EX170" s="21">
        <f>EXP(-LN(2)/2)*EX169+(1-EXP(-LN(2)/2))/(LN(2)/2)*ER170*EU170*VLOOKUP('Données projet'!$B$15,Paramètres!$A$1:$I$89,3,0)*0.475*44/12</f>
        <v>7.6583547110935691E-12</v>
      </c>
      <c r="EY170" s="22">
        <f t="shared" si="181"/>
        <v>1.6913807384970372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234.00000000000003</v>
      </c>
      <c r="FF170" s="17">
        <f>FE170*VLOOKUP('Données projet'!$B$16,Paramètres!$A$1:$I$89,3,0)*VLOOKUP('Données projet'!$B$16,Paramètres!$A$1:$I$89,5,0)</f>
        <v>189.82080000000005</v>
      </c>
      <c r="FG170" s="13">
        <f t="shared" si="182"/>
        <v>47.500332100049796</v>
      </c>
      <c r="FH170" s="20">
        <f t="shared" si="183"/>
        <v>413.33430507425345</v>
      </c>
      <c r="FI170" s="59">
        <f t="shared" si="131"/>
        <v>706.66763840758676</v>
      </c>
      <c r="FJ170" s="59">
        <f ca="1">AVERAGE(OFFSET($FI$3,0,0,'Données projet'!$E$16+1,1))-AVERAGE(OFFSET($H$3,0,0,'Données projet'!$E$16+1,1))</f>
        <v>272.90535195666996</v>
      </c>
      <c r="FK170" s="59">
        <f t="shared" si="156"/>
        <v>222.25422164416898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1.0174230284633781</v>
      </c>
      <c r="FR170" s="21">
        <f>EXP(-LN(2)/25)*FR169+(1-EXP(-LN(2)/25))/(LN(2)/25)*Calculateur!FM170*Calculateur!FO170*VLOOKUP('Données projet'!$B$16,Paramètres!$A$1:$I$89,3,0)*0.475*44/12</f>
        <v>1.4564926788688788</v>
      </c>
      <c r="FS170" s="21">
        <f>EXP(-LN(2)/2)*FS169+(1-EXP(-LN(2)/2))/(LN(2)/2)*FM170*FP170*VLOOKUP('Données projet'!$B$16,Paramètres!$A$1:$I$89,3,0)*0.475*44/12</f>
        <v>3.4831197646644365E-12</v>
      </c>
      <c r="FT170" s="22">
        <f t="shared" si="184"/>
        <v>2.4739157073357396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293.33333333334531</v>
      </c>
      <c r="S171" s="59">
        <f ca="1">AVERAGE(OFFSET($R$3,0,0,'Données projet'!$E$9+1,1))-AVERAGE(OFFSET($H$3,0,0,'Données projet'!$E$9+1,1))</f>
        <v>384.05928630855732</v>
      </c>
      <c r="T171" s="59">
        <f t="shared" si="142"/>
        <v>279.93992813630513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304.99999999999983</v>
      </c>
      <c r="AJ171" s="13">
        <f>AI171*VLOOKUP('Données projet'!$B$10,Paramètres!$A$1:$I$89,3,0)*VLOOKUP('Données projet'!$B$10,Paramètres!$A$1:$I$89,5,0)</f>
        <v>275.96399999999983</v>
      </c>
      <c r="AK171" s="13">
        <f t="shared" si="164"/>
        <v>66.113366665488854</v>
      </c>
      <c r="AL171" s="20">
        <f t="shared" si="165"/>
        <v>595.78474694239264</v>
      </c>
      <c r="AM171" s="59">
        <f t="shared" si="113"/>
        <v>889.11808027572602</v>
      </c>
      <c r="AN171" s="59">
        <f ca="1">AVERAGE(OFFSET($AM$3,0,0,'Données projet'!$E$10+1,1))-AVERAGE(OFFSET($H$3,0,0,'Données projet'!$E$10+1,1))</f>
        <v>366.69125512029831</v>
      </c>
      <c r="AO171" s="59">
        <f t="shared" si="144"/>
        <v>513.80016421153414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0.10509807592131813</v>
      </c>
      <c r="AV171" s="21">
        <f>EXP(-LN(2)/25)*AV170+(1-EXP(-LN(2)/25))/(LN(2)/25)*Calculateur!AQ171*Calculateur!AS171*VLOOKUP('Données projet'!$B$10,Paramètres!$A$1:$I$89,3,0)*0.475*44/12</f>
        <v>0.16089685252935804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0.26599492845067618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212.28480000000002</v>
      </c>
      <c r="BF171" s="13">
        <f t="shared" si="167"/>
        <v>52.434557099704193</v>
      </c>
      <c r="BG171" s="20">
        <f t="shared" si="168"/>
        <v>461.05288028198476</v>
      </c>
      <c r="BH171" s="59">
        <f t="shared" si="116"/>
        <v>754.38621361531807</v>
      </c>
      <c r="BI171" s="59">
        <f ca="1">AVERAGE(OFFSET($BH$3,0,0,'Données projet'!$E$11+1,1))-AVERAGE(OFFSET($H$3,0,0,'Données projet'!$E$11+1,1))</f>
        <v>354.24684313982857</v>
      </c>
      <c r="BJ171" s="59">
        <f t="shared" si="146"/>
        <v>322.65043486962185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7.0883837242691801</v>
      </c>
      <c r="BQ171" s="21">
        <f>EXP(-LN(2)/25)*BQ170+(1-EXP(-LN(2)/25))/(LN(2)/25)*Calculateur!BL171*Calculateur!BN171*VLOOKUP('Données projet'!$B$11,Paramètres!$A$1:$I$89,3,0)*0.475*44/12</f>
        <v>2.2600009733458211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9.3483846976150016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5.4978954722173515E-13</v>
      </c>
      <c r="CA171" s="13">
        <f t="shared" si="170"/>
        <v>6.7731340873355904E-12</v>
      </c>
      <c r="CB171" s="20">
        <f t="shared" si="171"/>
        <v>1.2754091996854009E-11</v>
      </c>
      <c r="CC171" s="59">
        <f t="shared" si="119"/>
        <v>293.33333333334605</v>
      </c>
      <c r="CD171" s="59">
        <f ca="1">AVERAGE(OFFSET($CC$3,0,0,'Données projet'!$E$12+1,1))-AVERAGE(OFFSET($H$3,0,0,'Données projet'!$E$12+1,1))</f>
        <v>407.73540492005355</v>
      </c>
      <c r="CE171" s="59">
        <f t="shared" si="148"/>
        <v>296.29416764204774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87.839950451808193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87.839950451808193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266.99999999999983</v>
      </c>
      <c r="CU171" s="17">
        <f>CT171*VLOOKUP('Données projet'!$B$13,Paramètres!$A$1:$I$89,3,0)*VLOOKUP('Données projet'!$B$13,Paramètres!$A$1:$I$89,5,0)</f>
        <v>212.42519999999985</v>
      </c>
      <c r="CV171" s="13">
        <f t="shared" si="173"/>
        <v>52.465198231787184</v>
      </c>
      <c r="CW171" s="20">
        <f t="shared" si="174"/>
        <v>461.35077692036231</v>
      </c>
      <c r="CX171" s="59">
        <f t="shared" si="122"/>
        <v>754.68411025369562</v>
      </c>
      <c r="CY171" s="59">
        <f ca="1">AVERAGE(OFFSET($CX$3,0,0,'Données projet'!$E$13+1,1))-AVERAGE(OFFSET($H$3,0,0,'Données projet'!$E$13+1,1))</f>
        <v>299.10536994156814</v>
      </c>
      <c r="CZ171" s="59">
        <f t="shared" si="150"/>
        <v>292.57799203101769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5.0394853883992106</v>
      </c>
      <c r="DG171" s="21">
        <f>EXP(-LN(2)/25)*DG170+(1-EXP(-LN(2)/25))/(LN(2)/25)*Calculateur!DB171*Calculateur!DD171*VLOOKUP('Données projet'!$B$13,Paramètres!$A$1:$I$89,3,0)*0.475*44/12</f>
        <v>0.72604429482527832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5.7655296832244893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266.99999999999983</v>
      </c>
      <c r="DP171" s="17">
        <f>DO171*VLOOKUP('Données projet'!$B$14,Paramètres!$A$1:$I$89,3,0)*VLOOKUP('Données projet'!$B$14,Paramètres!$A$1:$I$89,5,0)</f>
        <v>212.42519999999985</v>
      </c>
      <c r="DQ171" s="13">
        <f t="shared" si="176"/>
        <v>52.465198231787184</v>
      </c>
      <c r="DR171" s="20">
        <f t="shared" si="177"/>
        <v>461.35077692036231</v>
      </c>
      <c r="DS171" s="59">
        <f t="shared" si="125"/>
        <v>754.68411025369562</v>
      </c>
      <c r="DT171" s="59">
        <f ca="1">AVERAGE(OFFSET($DS$3,0,0,'Données projet'!$E$14+1,1))-AVERAGE(OFFSET($H$3,0,0,'Données projet'!$E$14+1,1))</f>
        <v>299.10536994156814</v>
      </c>
      <c r="DU171" s="59">
        <f t="shared" si="152"/>
        <v>292.57799203101769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5.0394853883992106</v>
      </c>
      <c r="EB171" s="21">
        <f>EXP(-LN(2)/25)*EB170+(1-EXP(-LN(2)/25))/(LN(2)/25)*Calculateur!DW171*Calculateur!DY171*VLOOKUP('Données projet'!$B$14,Paramètres!$A$1:$I$89,3,0)*0.475*44/12</f>
        <v>0.72604429482527832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5.7655296832244893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204.00000000000017</v>
      </c>
      <c r="EK171" s="17">
        <f>EJ171*VLOOKUP('Données projet'!$B$15,Paramètres!$A$1:$I$89,3,0)*VLOOKUP('Données projet'!$B$15,Paramètres!$A$1:$I$89,5,0)</f>
        <v>133.66080000000011</v>
      </c>
      <c r="EL171" s="13">
        <f t="shared" si="179"/>
        <v>34.840890682716783</v>
      </c>
      <c r="EM171" s="20">
        <f t="shared" si="180"/>
        <v>293.4737779390652</v>
      </c>
      <c r="EN171" s="59">
        <f t="shared" si="128"/>
        <v>586.80711127239852</v>
      </c>
      <c r="EO171" s="59">
        <f ca="1">AVERAGE(OFFSET($EN$3,0,0,'Données projet'!$E$15+1,1))-AVERAGE(OFFSET($H$3,0,0,'Données projet'!$E$15+1,1))</f>
        <v>230.58262378842818</v>
      </c>
      <c r="EP171" s="59">
        <f t="shared" si="154"/>
        <v>235.68746142880792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0.40745257708036697</v>
      </c>
      <c r="EW171" s="21">
        <f>EXP(-LN(2)/25)*EW170+(1-EXP(-LN(2)/25))/(LN(2)/25)*Calculateur!ER171*Calculateur!ET171*VLOOKUP('Données projet'!$B$15,Paramètres!$A$1:$I$89,3,0)*0.475*44/12</f>
        <v>1.2408922251868262</v>
      </c>
      <c r="EX171" s="21">
        <f>EXP(-LN(2)/2)*EX170+(1-EXP(-LN(2)/2))/(LN(2)/2)*ER171*EU171*VLOOKUP('Données projet'!$B$15,Paramètres!$A$1:$I$89,3,0)*0.475*44/12</f>
        <v>5.4152745489462058E-12</v>
      </c>
      <c r="EY171" s="22">
        <f t="shared" si="181"/>
        <v>1.6483448022726084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234.00000000000003</v>
      </c>
      <c r="FF171" s="17">
        <f>FE171*VLOOKUP('Données projet'!$B$16,Paramètres!$A$1:$I$89,3,0)*VLOOKUP('Données projet'!$B$16,Paramètres!$A$1:$I$89,5,0)</f>
        <v>189.82080000000005</v>
      </c>
      <c r="FG171" s="13">
        <f t="shared" si="182"/>
        <v>47.500332100049796</v>
      </c>
      <c r="FH171" s="20">
        <f t="shared" si="183"/>
        <v>413.33430507425345</v>
      </c>
      <c r="FI171" s="59">
        <f t="shared" si="131"/>
        <v>706.66763840758676</v>
      </c>
      <c r="FJ171" s="59">
        <f ca="1">AVERAGE(OFFSET($FI$3,0,0,'Données projet'!$E$16+1,1))-AVERAGE(OFFSET($H$3,0,0,'Données projet'!$E$16+1,1))</f>
        <v>272.90535195666996</v>
      </c>
      <c r="FK171" s="59">
        <f t="shared" si="156"/>
        <v>222.25422164416898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0.99747198344198273</v>
      </c>
      <c r="FR171" s="21">
        <f>EXP(-LN(2)/25)*FR170+(1-EXP(-LN(2)/25))/(LN(2)/25)*Calculateur!FM171*Calculateur!FO171*VLOOKUP('Données projet'!$B$16,Paramètres!$A$1:$I$89,3,0)*0.475*44/12</f>
        <v>1.4166648099715882</v>
      </c>
      <c r="FS171" s="21">
        <f>EXP(-LN(2)/2)*FS170+(1-EXP(-LN(2)/2))/(LN(2)/2)*FM171*FP171*VLOOKUP('Données projet'!$B$16,Paramètres!$A$1:$I$89,3,0)*0.475*44/12</f>
        <v>2.4629376052791146E-12</v>
      </c>
      <c r="FT171" s="22">
        <f t="shared" si="184"/>
        <v>2.4141367934160338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293.33333333334531</v>
      </c>
      <c r="S172" s="59">
        <f ca="1">AVERAGE(OFFSET($R$3,0,0,'Données projet'!$E$9+1,1))-AVERAGE(OFFSET($H$3,0,0,'Données projet'!$E$9+1,1))</f>
        <v>384.05928630855732</v>
      </c>
      <c r="T172" s="59">
        <f t="shared" si="142"/>
        <v>279.93992813630513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304.99999999999983</v>
      </c>
      <c r="AJ172" s="13">
        <f>AI172*VLOOKUP('Données projet'!$B$10,Paramètres!$A$1:$I$89,3,0)*VLOOKUP('Données projet'!$B$10,Paramètres!$A$1:$I$89,5,0)</f>
        <v>275.96399999999983</v>
      </c>
      <c r="AK172" s="13">
        <f t="shared" si="164"/>
        <v>66.113366665488854</v>
      </c>
      <c r="AL172" s="20">
        <f t="shared" si="165"/>
        <v>595.78474694239264</v>
      </c>
      <c r="AM172" s="59">
        <f t="shared" si="113"/>
        <v>889.11808027572602</v>
      </c>
      <c r="AN172" s="59">
        <f ca="1">AVERAGE(OFFSET($AM$3,0,0,'Données projet'!$E$10+1,1))-AVERAGE(OFFSET($H$3,0,0,'Données projet'!$E$10+1,1))</f>
        <v>366.69125512029831</v>
      </c>
      <c r="AO172" s="59">
        <f t="shared" si="144"/>
        <v>513.80016421153414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0.10303716675599769</v>
      </c>
      <c r="AV172" s="21">
        <f>EXP(-LN(2)/25)*AV171+(1-EXP(-LN(2)/25))/(LN(2)/25)*Calculateur!AQ172*Calculateur!AS172*VLOOKUP('Données projet'!$B$10,Paramètres!$A$1:$I$89,3,0)*0.475*44/12</f>
        <v>0.156497119635745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0.2595342863917427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212.28480000000002</v>
      </c>
      <c r="BF172" s="13">
        <f t="shared" si="167"/>
        <v>52.434557099704193</v>
      </c>
      <c r="BG172" s="20">
        <f t="shared" si="168"/>
        <v>461.05288028198476</v>
      </c>
      <c r="BH172" s="59">
        <f t="shared" si="116"/>
        <v>754.38621361531807</v>
      </c>
      <c r="BI172" s="59">
        <f ca="1">AVERAGE(OFFSET($BH$3,0,0,'Données projet'!$E$11+1,1))-AVERAGE(OFFSET($H$3,0,0,'Données projet'!$E$11+1,1))</f>
        <v>354.24684313982857</v>
      </c>
      <c r="BJ172" s="59">
        <f t="shared" si="146"/>
        <v>322.65043486962185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6.9493848429234246</v>
      </c>
      <c r="BQ172" s="21">
        <f>EXP(-LN(2)/25)*BQ171+(1-EXP(-LN(2)/25))/(LN(2)/25)*Calculateur!BL172*Calculateur!BN172*VLOOKUP('Données projet'!$B$11,Paramètres!$A$1:$I$89,3,0)*0.475*44/12</f>
        <v>2.1982011278813935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9.1475859708048191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5.4978954722173515E-13</v>
      </c>
      <c r="CA172" s="13">
        <f t="shared" si="170"/>
        <v>6.7731340873355904E-12</v>
      </c>
      <c r="CB172" s="20">
        <f t="shared" si="171"/>
        <v>1.2754091996854009E-11</v>
      </c>
      <c r="CC172" s="59">
        <f t="shared" si="119"/>
        <v>293.33333333334605</v>
      </c>
      <c r="CD172" s="59">
        <f ca="1">AVERAGE(OFFSET($CC$3,0,0,'Données projet'!$E$12+1,1))-AVERAGE(OFFSET($H$3,0,0,'Données projet'!$E$12+1,1))</f>
        <v>407.73540492005355</v>
      </c>
      <c r="CE172" s="59">
        <f t="shared" si="148"/>
        <v>296.29416764204774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86.117462600527716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86.117462600527716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266.99999999999983</v>
      </c>
      <c r="CU172" s="17">
        <f>CT172*VLOOKUP('Données projet'!$B$13,Paramètres!$A$1:$I$89,3,0)*VLOOKUP('Données projet'!$B$13,Paramètres!$A$1:$I$89,5,0)</f>
        <v>212.42519999999985</v>
      </c>
      <c r="CV172" s="13">
        <f t="shared" si="173"/>
        <v>52.465198231787184</v>
      </c>
      <c r="CW172" s="20">
        <f t="shared" si="174"/>
        <v>461.35077692036231</v>
      </c>
      <c r="CX172" s="59">
        <f t="shared" si="122"/>
        <v>754.68411025369562</v>
      </c>
      <c r="CY172" s="59">
        <f ca="1">AVERAGE(OFFSET($CX$3,0,0,'Données projet'!$E$13+1,1))-AVERAGE(OFFSET($H$3,0,0,'Données projet'!$E$13+1,1))</f>
        <v>299.10536994156814</v>
      </c>
      <c r="CZ172" s="59">
        <f t="shared" si="150"/>
        <v>292.57799203101769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4.9406641537152778</v>
      </c>
      <c r="DG172" s="21">
        <f>EXP(-LN(2)/25)*DG171+(1-EXP(-LN(2)/25))/(LN(2)/25)*Calculateur!DB172*Calculateur!DD172*VLOOKUP('Données projet'!$B$13,Paramètres!$A$1:$I$89,3,0)*0.475*44/12</f>
        <v>0.70619057540227104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5.6468547291175488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266.99999999999983</v>
      </c>
      <c r="DP172" s="17">
        <f>DO172*VLOOKUP('Données projet'!$B$14,Paramètres!$A$1:$I$89,3,0)*VLOOKUP('Données projet'!$B$14,Paramètres!$A$1:$I$89,5,0)</f>
        <v>212.42519999999985</v>
      </c>
      <c r="DQ172" s="13">
        <f t="shared" si="176"/>
        <v>52.465198231787184</v>
      </c>
      <c r="DR172" s="20">
        <f t="shared" si="177"/>
        <v>461.35077692036231</v>
      </c>
      <c r="DS172" s="59">
        <f t="shared" si="125"/>
        <v>754.68411025369562</v>
      </c>
      <c r="DT172" s="59">
        <f ca="1">AVERAGE(OFFSET($DS$3,0,0,'Données projet'!$E$14+1,1))-AVERAGE(OFFSET($H$3,0,0,'Données projet'!$E$14+1,1))</f>
        <v>299.10536994156814</v>
      </c>
      <c r="DU172" s="59">
        <f t="shared" si="152"/>
        <v>292.57799203101769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4.9406641537152778</v>
      </c>
      <c r="EB172" s="21">
        <f>EXP(-LN(2)/25)*EB171+(1-EXP(-LN(2)/25))/(LN(2)/25)*Calculateur!DW172*Calculateur!DY172*VLOOKUP('Données projet'!$B$14,Paramètres!$A$1:$I$89,3,0)*0.475*44/12</f>
        <v>0.70619057540227104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5.6468547291175488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204.00000000000017</v>
      </c>
      <c r="EK172" s="17">
        <f>EJ172*VLOOKUP('Données projet'!$B$15,Paramètres!$A$1:$I$89,3,0)*VLOOKUP('Données projet'!$B$15,Paramètres!$A$1:$I$89,5,0)</f>
        <v>133.66080000000011</v>
      </c>
      <c r="EL172" s="13">
        <f t="shared" si="179"/>
        <v>34.840890682716783</v>
      </c>
      <c r="EM172" s="20">
        <f t="shared" si="180"/>
        <v>293.4737779390652</v>
      </c>
      <c r="EN172" s="59">
        <f t="shared" si="128"/>
        <v>586.80711127239852</v>
      </c>
      <c r="EO172" s="59">
        <f ca="1">AVERAGE(OFFSET($EN$3,0,0,'Données projet'!$E$15+1,1))-AVERAGE(OFFSET($H$3,0,0,'Données projet'!$E$15+1,1))</f>
        <v>230.58262378842818</v>
      </c>
      <c r="EP172" s="59">
        <f t="shared" si="154"/>
        <v>235.68746142880792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0.39946268056535356</v>
      </c>
      <c r="EW172" s="21">
        <f>EXP(-LN(2)/25)*EW171+(1-EXP(-LN(2)/25))/(LN(2)/25)*Calculateur!ER172*Calculateur!ET172*VLOOKUP('Données projet'!$B$15,Paramètres!$A$1:$I$89,3,0)*0.475*44/12</f>
        <v>1.2069599620334064</v>
      </c>
      <c r="EX172" s="21">
        <f>EXP(-LN(2)/2)*EX171+(1-EXP(-LN(2)/2))/(LN(2)/2)*ER172*EU172*VLOOKUP('Données projet'!$B$15,Paramètres!$A$1:$I$89,3,0)*0.475*44/12</f>
        <v>3.8291773555467845E-12</v>
      </c>
      <c r="EY172" s="22">
        <f t="shared" si="181"/>
        <v>1.6064226426025892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234.00000000000003</v>
      </c>
      <c r="FF172" s="17">
        <f>FE172*VLOOKUP('Données projet'!$B$16,Paramètres!$A$1:$I$89,3,0)*VLOOKUP('Données projet'!$B$16,Paramètres!$A$1:$I$89,5,0)</f>
        <v>189.82080000000005</v>
      </c>
      <c r="FG172" s="13">
        <f t="shared" si="182"/>
        <v>47.500332100049796</v>
      </c>
      <c r="FH172" s="20">
        <f t="shared" si="183"/>
        <v>413.33430507425345</v>
      </c>
      <c r="FI172" s="59">
        <f t="shared" si="131"/>
        <v>706.66763840758676</v>
      </c>
      <c r="FJ172" s="59">
        <f ca="1">AVERAGE(OFFSET($FI$3,0,0,'Données projet'!$E$16+1,1))-AVERAGE(OFFSET($H$3,0,0,'Données projet'!$E$16+1,1))</f>
        <v>272.90535195666996</v>
      </c>
      <c r="FK172" s="59">
        <f t="shared" si="156"/>
        <v>222.25422164416898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0.97791216624452104</v>
      </c>
      <c r="FR172" s="21">
        <f>EXP(-LN(2)/25)*FR171+(1-EXP(-LN(2)/25))/(LN(2)/25)*Calculateur!FM172*Calculateur!FO172*VLOOKUP('Données projet'!$B$16,Paramètres!$A$1:$I$89,3,0)*0.475*44/12</f>
        <v>1.3779260362437507</v>
      </c>
      <c r="FS172" s="21">
        <f>EXP(-LN(2)/2)*FS171+(1-EXP(-LN(2)/2))/(LN(2)/2)*FM172*FP172*VLOOKUP('Données projet'!$B$16,Paramètres!$A$1:$I$89,3,0)*0.475*44/12</f>
        <v>1.7415598823322182E-12</v>
      </c>
      <c r="FT172" s="22">
        <f t="shared" si="184"/>
        <v>2.3558382024900135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293.33333333334531</v>
      </c>
      <c r="S173" s="59">
        <f ca="1">AVERAGE(OFFSET($R$3,0,0,'Données projet'!$E$9+1,1))-AVERAGE(OFFSET($H$3,0,0,'Données projet'!$E$9+1,1))</f>
        <v>384.05928630855732</v>
      </c>
      <c r="T173" s="59">
        <f t="shared" si="142"/>
        <v>279.93992813630513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304.99999999999983</v>
      </c>
      <c r="AJ173" s="13">
        <f>AI173*VLOOKUP('Données projet'!$B$10,Paramètres!$A$1:$I$89,3,0)*VLOOKUP('Données projet'!$B$10,Paramètres!$A$1:$I$89,5,0)</f>
        <v>275.96399999999983</v>
      </c>
      <c r="AK173" s="13">
        <f t="shared" si="164"/>
        <v>66.113366665488854</v>
      </c>
      <c r="AL173" s="20">
        <f t="shared" si="165"/>
        <v>595.78474694239264</v>
      </c>
      <c r="AM173" s="59">
        <f t="shared" si="113"/>
        <v>889.11808027572602</v>
      </c>
      <c r="AN173" s="59">
        <f ca="1">AVERAGE(OFFSET($AM$3,0,0,'Données projet'!$E$10+1,1))-AVERAGE(OFFSET($H$3,0,0,'Données projet'!$E$10+1,1))</f>
        <v>366.69125512029831</v>
      </c>
      <c r="AO173" s="59">
        <f t="shared" si="144"/>
        <v>513.80016421153414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0.10101667076237873</v>
      </c>
      <c r="AV173" s="21">
        <f>EXP(-LN(2)/25)*AV172+(1-EXP(-LN(2)/25))/(LN(2)/25)*Calculateur!AQ173*Calculateur!AS173*VLOOKUP('Données projet'!$B$10,Paramètres!$A$1:$I$89,3,0)*0.475*44/12</f>
        <v>0.15221769766947971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0.25323436843185843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212.28480000000002</v>
      </c>
      <c r="BF173" s="13">
        <f t="shared" si="167"/>
        <v>52.434557099704193</v>
      </c>
      <c r="BG173" s="20">
        <f t="shared" si="168"/>
        <v>461.05288028198476</v>
      </c>
      <c r="BH173" s="59">
        <f t="shared" si="116"/>
        <v>754.38621361531807</v>
      </c>
      <c r="BI173" s="59">
        <f ca="1">AVERAGE(OFFSET($BH$3,0,0,'Données projet'!$E$11+1,1))-AVERAGE(OFFSET($H$3,0,0,'Données projet'!$E$11+1,1))</f>
        <v>354.24684313982857</v>
      </c>
      <c r="BJ173" s="59">
        <f t="shared" si="146"/>
        <v>322.65043486962185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6.8131116448599132</v>
      </c>
      <c r="BQ173" s="21">
        <f>EXP(-LN(2)/25)*BQ172+(1-EXP(-LN(2)/25))/(LN(2)/25)*Calculateur!BL173*Calculateur!BN173*VLOOKUP('Données projet'!$B$11,Paramètres!$A$1:$I$89,3,0)*0.475*44/12</f>
        <v>2.1380912024411036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8.9512028473010172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5.4978954722173515E-13</v>
      </c>
      <c r="CA173" s="13">
        <f t="shared" si="170"/>
        <v>6.7731340873355904E-12</v>
      </c>
      <c r="CB173" s="20">
        <f t="shared" si="171"/>
        <v>1.2754091996854009E-11</v>
      </c>
      <c r="CC173" s="59">
        <f t="shared" si="119"/>
        <v>293.33333333334605</v>
      </c>
      <c r="CD173" s="59">
        <f ca="1">AVERAGE(OFFSET($CC$3,0,0,'Données projet'!$E$12+1,1))-AVERAGE(OFFSET($H$3,0,0,'Données projet'!$E$12+1,1))</f>
        <v>407.73540492005355</v>
      </c>
      <c r="CE173" s="59">
        <f t="shared" si="148"/>
        <v>296.29416764204774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84.428751685397003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84.428751685397003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266.99999999999983</v>
      </c>
      <c r="CU173" s="17">
        <f>CT173*VLOOKUP('Données projet'!$B$13,Paramètres!$A$1:$I$89,3,0)*VLOOKUP('Données projet'!$B$13,Paramètres!$A$1:$I$89,5,0)</f>
        <v>212.42519999999985</v>
      </c>
      <c r="CV173" s="13">
        <f t="shared" si="173"/>
        <v>52.465198231787184</v>
      </c>
      <c r="CW173" s="20">
        <f t="shared" si="174"/>
        <v>461.35077692036231</v>
      </c>
      <c r="CX173" s="59">
        <f t="shared" si="122"/>
        <v>754.68411025369562</v>
      </c>
      <c r="CY173" s="59">
        <f ca="1">AVERAGE(OFFSET($CX$3,0,0,'Données projet'!$E$13+1,1))-AVERAGE(OFFSET($H$3,0,0,'Données projet'!$E$13+1,1))</f>
        <v>299.10536994156814</v>
      </c>
      <c r="CZ173" s="59">
        <f t="shared" si="150"/>
        <v>292.57799203101769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4.8437807431684954</v>
      </c>
      <c r="DG173" s="21">
        <f>EXP(-LN(2)/25)*DG172+(1-EXP(-LN(2)/25))/(LN(2)/25)*Calculateur!DB173*Calculateur!DD173*VLOOKUP('Données projet'!$B$13,Paramètres!$A$1:$I$89,3,0)*0.475*44/12</f>
        <v>0.68687975698094761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5.5306605001494429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266.99999999999983</v>
      </c>
      <c r="DP173" s="17">
        <f>DO173*VLOOKUP('Données projet'!$B$14,Paramètres!$A$1:$I$89,3,0)*VLOOKUP('Données projet'!$B$14,Paramètres!$A$1:$I$89,5,0)</f>
        <v>212.42519999999985</v>
      </c>
      <c r="DQ173" s="13">
        <f t="shared" si="176"/>
        <v>52.465198231787184</v>
      </c>
      <c r="DR173" s="20">
        <f t="shared" si="177"/>
        <v>461.35077692036231</v>
      </c>
      <c r="DS173" s="59">
        <f t="shared" si="125"/>
        <v>754.68411025369562</v>
      </c>
      <c r="DT173" s="59">
        <f ca="1">AVERAGE(OFFSET($DS$3,0,0,'Données projet'!$E$14+1,1))-AVERAGE(OFFSET($H$3,0,0,'Données projet'!$E$14+1,1))</f>
        <v>299.10536994156814</v>
      </c>
      <c r="DU173" s="59">
        <f t="shared" si="152"/>
        <v>292.57799203101769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4.8437807431684954</v>
      </c>
      <c r="EB173" s="21">
        <f>EXP(-LN(2)/25)*EB172+(1-EXP(-LN(2)/25))/(LN(2)/25)*Calculateur!DW173*Calculateur!DY173*VLOOKUP('Données projet'!$B$14,Paramètres!$A$1:$I$89,3,0)*0.475*44/12</f>
        <v>0.68687975698094761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5.5306605001494429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204.00000000000017</v>
      </c>
      <c r="EK173" s="17">
        <f>EJ173*VLOOKUP('Données projet'!$B$15,Paramètres!$A$1:$I$89,3,0)*VLOOKUP('Données projet'!$B$15,Paramètres!$A$1:$I$89,5,0)</f>
        <v>133.66080000000011</v>
      </c>
      <c r="EL173" s="13">
        <f t="shared" si="179"/>
        <v>34.840890682716783</v>
      </c>
      <c r="EM173" s="20">
        <f t="shared" si="180"/>
        <v>293.4737779390652</v>
      </c>
      <c r="EN173" s="59">
        <f t="shared" si="128"/>
        <v>586.80711127239852</v>
      </c>
      <c r="EO173" s="59">
        <f ca="1">AVERAGE(OFFSET($EN$3,0,0,'Données projet'!$E$15+1,1))-AVERAGE(OFFSET($H$3,0,0,'Données projet'!$E$15+1,1))</f>
        <v>230.58262378842818</v>
      </c>
      <c r="EP173" s="59">
        <f t="shared" si="154"/>
        <v>235.68746142880792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0.39162946104764385</v>
      </c>
      <c r="EW173" s="21">
        <f>EXP(-LN(2)/25)*EW172+(1-EXP(-LN(2)/25))/(LN(2)/25)*Calculateur!ER173*Calculateur!ET173*VLOOKUP('Données projet'!$B$15,Paramètres!$A$1:$I$89,3,0)*0.475*44/12</f>
        <v>1.173955578400337</v>
      </c>
      <c r="EX173" s="21">
        <f>EXP(-LN(2)/2)*EX172+(1-EXP(-LN(2)/2))/(LN(2)/2)*ER173*EU173*VLOOKUP('Données projet'!$B$15,Paramètres!$A$1:$I$89,3,0)*0.475*44/12</f>
        <v>2.7076372744731029E-12</v>
      </c>
      <c r="EY173" s="22">
        <f t="shared" si="181"/>
        <v>1.5655850394506885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234.00000000000003</v>
      </c>
      <c r="FF173" s="17">
        <f>FE173*VLOOKUP('Données projet'!$B$16,Paramètres!$A$1:$I$89,3,0)*VLOOKUP('Données projet'!$B$16,Paramètres!$A$1:$I$89,5,0)</f>
        <v>189.82080000000005</v>
      </c>
      <c r="FG173" s="13">
        <f t="shared" si="182"/>
        <v>47.500332100049796</v>
      </c>
      <c r="FH173" s="20">
        <f t="shared" si="183"/>
        <v>413.33430507425345</v>
      </c>
      <c r="FI173" s="59">
        <f t="shared" si="131"/>
        <v>706.66763840758676</v>
      </c>
      <c r="FJ173" s="59">
        <f ca="1">AVERAGE(OFFSET($FI$3,0,0,'Données projet'!$E$16+1,1))-AVERAGE(OFFSET($H$3,0,0,'Données projet'!$E$16+1,1))</f>
        <v>272.90535195666996</v>
      </c>
      <c r="FK173" s="59">
        <f t="shared" si="156"/>
        <v>222.25422164416898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0.95873590513199114</v>
      </c>
      <c r="FR173" s="21">
        <f>EXP(-LN(2)/25)*FR172+(1-EXP(-LN(2)/25))/(LN(2)/25)*Calculateur!FM173*Calculateur!FO173*VLOOKUP('Données projet'!$B$16,Paramètres!$A$1:$I$89,3,0)*0.475*44/12</f>
        <v>1.3402465763206843</v>
      </c>
      <c r="FS173" s="21">
        <f>EXP(-LN(2)/2)*FS172+(1-EXP(-LN(2)/2))/(LN(2)/2)*FM173*FP173*VLOOKUP('Données projet'!$B$16,Paramètres!$A$1:$I$89,3,0)*0.475*44/12</f>
        <v>1.2314688026395573E-12</v>
      </c>
      <c r="FT173" s="22">
        <f t="shared" si="184"/>
        <v>2.298982481453907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293.33333333334531</v>
      </c>
      <c r="S174" s="59">
        <f ca="1">AVERAGE(OFFSET($R$3,0,0,'Données projet'!$E$9+1,1))-AVERAGE(OFFSET($H$3,0,0,'Données projet'!$E$9+1,1))</f>
        <v>384.05928630855732</v>
      </c>
      <c r="T174" s="59">
        <f t="shared" si="142"/>
        <v>279.93992813630513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304.99999999999983</v>
      </c>
      <c r="AJ174" s="13">
        <f>AI174*VLOOKUP('Données projet'!$B$10,Paramètres!$A$1:$I$89,3,0)*VLOOKUP('Données projet'!$B$10,Paramètres!$A$1:$I$89,5,0)</f>
        <v>275.96399999999983</v>
      </c>
      <c r="AK174" s="13">
        <f t="shared" si="164"/>
        <v>66.113366665488854</v>
      </c>
      <c r="AL174" s="20">
        <f t="shared" si="165"/>
        <v>595.78474694239264</v>
      </c>
      <c r="AM174" s="59">
        <f t="shared" si="113"/>
        <v>889.11808027572602</v>
      </c>
      <c r="AN174" s="59">
        <f ca="1">AVERAGE(OFFSET($AM$3,0,0,'Données projet'!$E$10+1,1))-AVERAGE(OFFSET($H$3,0,0,'Données projet'!$E$10+1,1))</f>
        <v>366.69125512029831</v>
      </c>
      <c r="AO174" s="59">
        <f t="shared" si="144"/>
        <v>513.80016421153414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9.9035795462813769E-2</v>
      </c>
      <c r="AV174" s="21">
        <f>EXP(-LN(2)/25)*AV173+(1-EXP(-LN(2)/25))/(LN(2)/25)*Calculateur!AQ174*Calculateur!AS174*VLOOKUP('Données projet'!$B$10,Paramètres!$A$1:$I$89,3,0)*0.475*44/12</f>
        <v>0.14805529672192697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0.24709109218474073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212.28480000000002</v>
      </c>
      <c r="BF174" s="13">
        <f t="shared" si="167"/>
        <v>52.434557099704193</v>
      </c>
      <c r="BG174" s="20">
        <f t="shared" si="168"/>
        <v>461.05288028198476</v>
      </c>
      <c r="BH174" s="59">
        <f t="shared" si="116"/>
        <v>754.38621361531807</v>
      </c>
      <c r="BI174" s="59">
        <f ca="1">AVERAGE(OFFSET($BH$3,0,0,'Données projet'!$E$11+1,1))-AVERAGE(OFFSET($H$3,0,0,'Données projet'!$E$11+1,1))</f>
        <v>354.24684313982857</v>
      </c>
      <c r="BJ174" s="59">
        <f t="shared" si="146"/>
        <v>322.65043486962185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6.6795106810919833</v>
      </c>
      <c r="BQ174" s="21">
        <f>EXP(-LN(2)/25)*BQ173+(1-EXP(-LN(2)/25))/(LN(2)/25)*Calculateur!BL174*Calculateur!BN174*VLOOKUP('Données projet'!$B$11,Paramètres!$A$1:$I$89,3,0)*0.475*44/12</f>
        <v>2.0796249860730218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8.7591356671650047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5.4978954722173515E-13</v>
      </c>
      <c r="CA174" s="13">
        <f t="shared" si="170"/>
        <v>6.7731340873355904E-12</v>
      </c>
      <c r="CB174" s="20">
        <f t="shared" si="171"/>
        <v>1.2754091996854009E-11</v>
      </c>
      <c r="CC174" s="59">
        <f t="shared" si="119"/>
        <v>293.33333333334605</v>
      </c>
      <c r="CD174" s="59">
        <f ca="1">AVERAGE(OFFSET($CC$3,0,0,'Données projet'!$E$12+1,1))-AVERAGE(OFFSET($H$3,0,0,'Données projet'!$E$12+1,1))</f>
        <v>407.73540492005355</v>
      </c>
      <c r="CE174" s="59">
        <f t="shared" si="148"/>
        <v>296.29416764204774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82.773155361300041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82.773155361300041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266.99999999999983</v>
      </c>
      <c r="CU174" s="17">
        <f>CT174*VLOOKUP('Données projet'!$B$13,Paramètres!$A$1:$I$89,3,0)*VLOOKUP('Données projet'!$B$13,Paramètres!$A$1:$I$89,5,0)</f>
        <v>212.42519999999985</v>
      </c>
      <c r="CV174" s="13">
        <f t="shared" si="173"/>
        <v>52.465198231787184</v>
      </c>
      <c r="CW174" s="20">
        <f t="shared" si="174"/>
        <v>461.35077692036231</v>
      </c>
      <c r="CX174" s="59">
        <f t="shared" si="122"/>
        <v>754.68411025369562</v>
      </c>
      <c r="CY174" s="59">
        <f ca="1">AVERAGE(OFFSET($CX$3,0,0,'Données projet'!$E$13+1,1))-AVERAGE(OFFSET($H$3,0,0,'Données projet'!$E$13+1,1))</f>
        <v>299.10536994156814</v>
      </c>
      <c r="CZ174" s="59">
        <f t="shared" si="150"/>
        <v>292.57799203101769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4.7487971572094905</v>
      </c>
      <c r="DG174" s="21">
        <f>EXP(-LN(2)/25)*DG173+(1-EXP(-LN(2)/25))/(LN(2)/25)*Calculateur!DB174*Calculateur!DD174*VLOOKUP('Données projet'!$B$13,Paramètres!$A$1:$I$89,3,0)*0.475*44/12</f>
        <v>0.6680969939048671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5.4168941511143576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266.99999999999983</v>
      </c>
      <c r="DP174" s="17">
        <f>DO174*VLOOKUP('Données projet'!$B$14,Paramètres!$A$1:$I$89,3,0)*VLOOKUP('Données projet'!$B$14,Paramètres!$A$1:$I$89,5,0)</f>
        <v>212.42519999999985</v>
      </c>
      <c r="DQ174" s="13">
        <f t="shared" si="176"/>
        <v>52.465198231787184</v>
      </c>
      <c r="DR174" s="20">
        <f t="shared" si="177"/>
        <v>461.35077692036231</v>
      </c>
      <c r="DS174" s="59">
        <f t="shared" si="125"/>
        <v>754.68411025369562</v>
      </c>
      <c r="DT174" s="59">
        <f ca="1">AVERAGE(OFFSET($DS$3,0,0,'Données projet'!$E$14+1,1))-AVERAGE(OFFSET($H$3,0,0,'Données projet'!$E$14+1,1))</f>
        <v>299.10536994156814</v>
      </c>
      <c r="DU174" s="59">
        <f t="shared" si="152"/>
        <v>292.57799203101769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4.7487971572094905</v>
      </c>
      <c r="EB174" s="21">
        <f>EXP(-LN(2)/25)*EB173+(1-EXP(-LN(2)/25))/(LN(2)/25)*Calculateur!DW174*Calculateur!DY174*VLOOKUP('Données projet'!$B$14,Paramètres!$A$1:$I$89,3,0)*0.475*44/12</f>
        <v>0.6680969939048671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5.4168941511143576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204.00000000000017</v>
      </c>
      <c r="EK174" s="17">
        <f>EJ174*VLOOKUP('Données projet'!$B$15,Paramètres!$A$1:$I$89,3,0)*VLOOKUP('Données projet'!$B$15,Paramètres!$A$1:$I$89,5,0)</f>
        <v>133.66080000000011</v>
      </c>
      <c r="EL174" s="13">
        <f t="shared" si="179"/>
        <v>34.840890682716783</v>
      </c>
      <c r="EM174" s="20">
        <f t="shared" si="180"/>
        <v>293.4737779390652</v>
      </c>
      <c r="EN174" s="59">
        <f t="shared" si="128"/>
        <v>586.80711127239852</v>
      </c>
      <c r="EO174" s="59">
        <f ca="1">AVERAGE(OFFSET($EN$3,0,0,'Données projet'!$E$15+1,1))-AVERAGE(OFFSET($H$3,0,0,'Données projet'!$E$15+1,1))</f>
        <v>230.58262378842818</v>
      </c>
      <c r="EP174" s="59">
        <f t="shared" si="154"/>
        <v>235.68746142880792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0.38394984618688432</v>
      </c>
      <c r="EW174" s="21">
        <f>EXP(-LN(2)/25)*EW173+(1-EXP(-LN(2)/25))/(LN(2)/25)*Calculateur!ER174*Calculateur!ET174*VLOOKUP('Données projet'!$B$15,Paramètres!$A$1:$I$89,3,0)*0.475*44/12</f>
        <v>1.141853701373339</v>
      </c>
      <c r="EX174" s="21">
        <f>EXP(-LN(2)/2)*EX173+(1-EXP(-LN(2)/2))/(LN(2)/2)*ER174*EU174*VLOOKUP('Données projet'!$B$15,Paramètres!$A$1:$I$89,3,0)*0.475*44/12</f>
        <v>1.9145886777733923E-12</v>
      </c>
      <c r="EY174" s="22">
        <f t="shared" si="181"/>
        <v>1.5258035475621379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234.00000000000003</v>
      </c>
      <c r="FF174" s="17">
        <f>FE174*VLOOKUP('Données projet'!$B$16,Paramètres!$A$1:$I$89,3,0)*VLOOKUP('Données projet'!$B$16,Paramètres!$A$1:$I$89,5,0)</f>
        <v>189.82080000000005</v>
      </c>
      <c r="FG174" s="13">
        <f t="shared" si="182"/>
        <v>47.500332100049796</v>
      </c>
      <c r="FH174" s="20">
        <f t="shared" si="183"/>
        <v>413.33430507425345</v>
      </c>
      <c r="FI174" s="59">
        <f t="shared" si="131"/>
        <v>706.66763840758676</v>
      </c>
      <c r="FJ174" s="59">
        <f ca="1">AVERAGE(OFFSET($FI$3,0,0,'Données projet'!$E$16+1,1))-AVERAGE(OFFSET($H$3,0,0,'Données projet'!$E$16+1,1))</f>
        <v>272.90535195666996</v>
      </c>
      <c r="FK174" s="59">
        <f t="shared" si="156"/>
        <v>222.25422164416898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0.93993567880351359</v>
      </c>
      <c r="FR174" s="21">
        <f>EXP(-LN(2)/25)*FR173+(1-EXP(-LN(2)/25))/(LN(2)/25)*Calculateur!FM174*Calculateur!FO174*VLOOKUP('Données projet'!$B$16,Paramètres!$A$1:$I$89,3,0)*0.475*44/12</f>
        <v>1.303597463210691</v>
      </c>
      <c r="FS174" s="21">
        <f>EXP(-LN(2)/2)*FS173+(1-EXP(-LN(2)/2))/(LN(2)/2)*FM174*FP174*VLOOKUP('Données projet'!$B$16,Paramètres!$A$1:$I$89,3,0)*0.475*44/12</f>
        <v>8.7077994116610912E-13</v>
      </c>
      <c r="FT174" s="22">
        <f t="shared" si="184"/>
        <v>2.2435331420150755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293.33333333334531</v>
      </c>
      <c r="S175" s="59">
        <f ca="1">AVERAGE(OFFSET($R$3,0,0,'Données projet'!$E$9+1,1))-AVERAGE(OFFSET($H$3,0,0,'Données projet'!$E$9+1,1))</f>
        <v>384.05928630855732</v>
      </c>
      <c r="T175" s="59">
        <f t="shared" si="142"/>
        <v>279.93992813630513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304.99999999999983</v>
      </c>
      <c r="AJ175" s="13">
        <f>AI175*VLOOKUP('Données projet'!$B$10,Paramètres!$A$1:$I$89,3,0)*VLOOKUP('Données projet'!$B$10,Paramètres!$A$1:$I$89,5,0)</f>
        <v>275.96399999999983</v>
      </c>
      <c r="AK175" s="13">
        <f t="shared" si="164"/>
        <v>66.113366665488854</v>
      </c>
      <c r="AL175" s="20">
        <f t="shared" si="165"/>
        <v>595.78474694239264</v>
      </c>
      <c r="AM175" s="59">
        <f t="shared" si="113"/>
        <v>889.11808027572602</v>
      </c>
      <c r="AN175" s="59">
        <f ca="1">AVERAGE(OFFSET($AM$3,0,0,'Données projet'!$E$10+1,1))-AVERAGE(OFFSET($H$3,0,0,'Données projet'!$E$10+1,1))</f>
        <v>366.69125512029831</v>
      </c>
      <c r="AO175" s="59">
        <f t="shared" si="144"/>
        <v>513.80016421153414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9.7093763919658641E-2</v>
      </c>
      <c r="AV175" s="21">
        <f>EXP(-LN(2)/25)*AV174+(1-EXP(-LN(2)/25))/(LN(2)/25)*Calculateur!AQ175*Calculateur!AS175*VLOOKUP('Données projet'!$B$10,Paramètres!$A$1:$I$89,3,0)*0.475*44/12</f>
        <v>0.1440067168471762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0.24110048076683482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212.28480000000002</v>
      </c>
      <c r="BF175" s="13">
        <f t="shared" si="167"/>
        <v>52.434557099704193</v>
      </c>
      <c r="BG175" s="20">
        <f t="shared" si="168"/>
        <v>461.05288028198476</v>
      </c>
      <c r="BH175" s="59">
        <f t="shared" si="116"/>
        <v>754.38621361531807</v>
      </c>
      <c r="BI175" s="59">
        <f ca="1">AVERAGE(OFFSET($BH$3,0,0,'Données projet'!$E$11+1,1))-AVERAGE(OFFSET($H$3,0,0,'Données projet'!$E$11+1,1))</f>
        <v>354.24684313982857</v>
      </c>
      <c r="BJ175" s="59">
        <f t="shared" si="146"/>
        <v>322.65043486962185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6.548529550735001</v>
      </c>
      <c r="BQ175" s="21">
        <f>EXP(-LN(2)/25)*BQ174+(1-EXP(-LN(2)/25))/(LN(2)/25)*Calculateur!BL175*Calculateur!BN175*VLOOKUP('Données projet'!$B$11,Paramètres!$A$1:$I$89,3,0)*0.475*44/12</f>
        <v>2.0227575314661301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8.5712870822011311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5.4978954722173515E-13</v>
      </c>
      <c r="CA175" s="13">
        <f t="shared" si="170"/>
        <v>6.7731340873355904E-12</v>
      </c>
      <c r="CB175" s="20">
        <f t="shared" si="171"/>
        <v>1.2754091996854009E-11</v>
      </c>
      <c r="CC175" s="59">
        <f t="shared" si="119"/>
        <v>293.33333333334605</v>
      </c>
      <c r="CD175" s="59">
        <f ca="1">AVERAGE(OFFSET($CC$3,0,0,'Données projet'!$E$12+1,1))-AVERAGE(OFFSET($H$3,0,0,'Données projet'!$E$12+1,1))</f>
        <v>407.73540492005355</v>
      </c>
      <c r="CE175" s="59">
        <f t="shared" si="148"/>
        <v>296.29416764204774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81.150024271304574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81.150024271304574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266.99999999999983</v>
      </c>
      <c r="CU175" s="17">
        <f>CT175*VLOOKUP('Données projet'!$B$13,Paramètres!$A$1:$I$89,3,0)*VLOOKUP('Données projet'!$B$13,Paramètres!$A$1:$I$89,5,0)</f>
        <v>212.42519999999985</v>
      </c>
      <c r="CV175" s="13">
        <f t="shared" si="173"/>
        <v>52.465198231787184</v>
      </c>
      <c r="CW175" s="20">
        <f t="shared" si="174"/>
        <v>461.35077692036231</v>
      </c>
      <c r="CX175" s="59">
        <f t="shared" si="122"/>
        <v>754.68411025369562</v>
      </c>
      <c r="CY175" s="59">
        <f ca="1">AVERAGE(OFFSET($CX$3,0,0,'Données projet'!$E$13+1,1))-AVERAGE(OFFSET($H$3,0,0,'Données projet'!$E$13+1,1))</f>
        <v>299.10536994156814</v>
      </c>
      <c r="CZ175" s="59">
        <f t="shared" si="150"/>
        <v>292.57799203101769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4.6556761414368744</v>
      </c>
      <c r="DG175" s="21">
        <f>EXP(-LN(2)/25)*DG174+(1-EXP(-LN(2)/25))/(LN(2)/25)*Calculateur!DB175*Calculateur!DD175*VLOOKUP('Données projet'!$B$13,Paramètres!$A$1:$I$89,3,0)*0.475*44/12</f>
        <v>0.64982784647284453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5.3055039879097192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266.99999999999983</v>
      </c>
      <c r="DP175" s="17">
        <f>DO175*VLOOKUP('Données projet'!$B$14,Paramètres!$A$1:$I$89,3,0)*VLOOKUP('Données projet'!$B$14,Paramètres!$A$1:$I$89,5,0)</f>
        <v>212.42519999999985</v>
      </c>
      <c r="DQ175" s="13">
        <f t="shared" si="176"/>
        <v>52.465198231787184</v>
      </c>
      <c r="DR175" s="20">
        <f t="shared" si="177"/>
        <v>461.35077692036231</v>
      </c>
      <c r="DS175" s="59">
        <f t="shared" si="125"/>
        <v>754.68411025369562</v>
      </c>
      <c r="DT175" s="59">
        <f ca="1">AVERAGE(OFFSET($DS$3,0,0,'Données projet'!$E$14+1,1))-AVERAGE(OFFSET($H$3,0,0,'Données projet'!$E$14+1,1))</f>
        <v>299.10536994156814</v>
      </c>
      <c r="DU175" s="59">
        <f t="shared" si="152"/>
        <v>292.57799203101769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4.6556761414368744</v>
      </c>
      <c r="EB175" s="21">
        <f>EXP(-LN(2)/25)*EB174+(1-EXP(-LN(2)/25))/(LN(2)/25)*Calculateur!DW175*Calculateur!DY175*VLOOKUP('Données projet'!$B$14,Paramètres!$A$1:$I$89,3,0)*0.475*44/12</f>
        <v>0.64982784647284453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5.3055039879097192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204.00000000000017</v>
      </c>
      <c r="EK175" s="17">
        <f>EJ175*VLOOKUP('Données projet'!$B$15,Paramètres!$A$1:$I$89,3,0)*VLOOKUP('Données projet'!$B$15,Paramètres!$A$1:$I$89,5,0)</f>
        <v>133.66080000000011</v>
      </c>
      <c r="EL175" s="13">
        <f t="shared" si="179"/>
        <v>34.840890682716783</v>
      </c>
      <c r="EM175" s="20">
        <f t="shared" si="180"/>
        <v>293.4737779390652</v>
      </c>
      <c r="EN175" s="59">
        <f t="shared" si="128"/>
        <v>586.80711127239852</v>
      </c>
      <c r="EO175" s="59">
        <f ca="1">AVERAGE(OFFSET($EN$3,0,0,'Données projet'!$E$15+1,1))-AVERAGE(OFFSET($H$3,0,0,'Données projet'!$E$15+1,1))</f>
        <v>230.58262378842818</v>
      </c>
      <c r="EP175" s="59">
        <f t="shared" si="154"/>
        <v>235.68746142880792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0.3764208238894417</v>
      </c>
      <c r="EW175" s="21">
        <f>EXP(-LN(2)/25)*EW174+(1-EXP(-LN(2)/25))/(LN(2)/25)*Calculateur!ER175*Calculateur!ET175*VLOOKUP('Données projet'!$B$15,Paramètres!$A$1:$I$89,3,0)*0.475*44/12</f>
        <v>1.1106296518618086</v>
      </c>
      <c r="EX175" s="21">
        <f>EXP(-LN(2)/2)*EX174+(1-EXP(-LN(2)/2))/(LN(2)/2)*ER175*EU175*VLOOKUP('Données projet'!$B$15,Paramètres!$A$1:$I$89,3,0)*0.475*44/12</f>
        <v>1.3538186372365515E-12</v>
      </c>
      <c r="EY175" s="22">
        <f t="shared" si="181"/>
        <v>1.4870504757526042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234.00000000000003</v>
      </c>
      <c r="FF175" s="17">
        <f>FE175*VLOOKUP('Données projet'!$B$16,Paramètres!$A$1:$I$89,3,0)*VLOOKUP('Données projet'!$B$16,Paramètres!$A$1:$I$89,5,0)</f>
        <v>189.82080000000005</v>
      </c>
      <c r="FG175" s="13">
        <f t="shared" si="182"/>
        <v>47.500332100049796</v>
      </c>
      <c r="FH175" s="20">
        <f t="shared" si="183"/>
        <v>413.33430507425345</v>
      </c>
      <c r="FI175" s="59">
        <f t="shared" si="131"/>
        <v>706.66763840758676</v>
      </c>
      <c r="FJ175" s="59">
        <f ca="1">AVERAGE(OFFSET($FI$3,0,0,'Données projet'!$E$16+1,1))-AVERAGE(OFFSET($H$3,0,0,'Données projet'!$E$16+1,1))</f>
        <v>272.90535195666996</v>
      </c>
      <c r="FK175" s="59">
        <f t="shared" si="156"/>
        <v>222.25422164416898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0.92150411344633165</v>
      </c>
      <c r="FR175" s="21">
        <f>EXP(-LN(2)/25)*FR174+(1-EXP(-LN(2)/25))/(LN(2)/25)*Calculateur!FM175*Calculateur!FO175*VLOOKUP('Données projet'!$B$16,Paramètres!$A$1:$I$89,3,0)*0.475*44/12</f>
        <v>1.2679505220259835</v>
      </c>
      <c r="FS175" s="21">
        <f>EXP(-LN(2)/2)*FS174+(1-EXP(-LN(2)/2))/(LN(2)/2)*FM175*FP175*VLOOKUP('Données projet'!$B$16,Paramètres!$A$1:$I$89,3,0)*0.475*44/12</f>
        <v>6.1573440131977864E-13</v>
      </c>
      <c r="FT175" s="22">
        <f t="shared" si="184"/>
        <v>2.1894546354729312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293.33333333334531</v>
      </c>
      <c r="S176" s="59">
        <f ca="1">AVERAGE(OFFSET($R$3,0,0,'Données projet'!$E$9+1,1))-AVERAGE(OFFSET($H$3,0,0,'Données projet'!$E$9+1,1))</f>
        <v>384.05928630855732</v>
      </c>
      <c r="T176" s="59">
        <f t="shared" si="142"/>
        <v>279.93992813630513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304.99999999999983</v>
      </c>
      <c r="AJ176" s="13">
        <f>AI176*VLOOKUP('Données projet'!$B$10,Paramètres!$A$1:$I$89,3,0)*VLOOKUP('Données projet'!$B$10,Paramètres!$A$1:$I$89,5,0)</f>
        <v>275.96399999999983</v>
      </c>
      <c r="AK176" s="13">
        <f t="shared" si="164"/>
        <v>66.113366665488854</v>
      </c>
      <c r="AL176" s="20">
        <f t="shared" si="165"/>
        <v>595.78474694239264</v>
      </c>
      <c r="AM176" s="59">
        <f t="shared" si="113"/>
        <v>889.11808027572602</v>
      </c>
      <c r="AN176" s="59">
        <f ca="1">AVERAGE(OFFSET($AM$3,0,0,'Données projet'!$E$10+1,1))-AVERAGE(OFFSET($H$3,0,0,'Données projet'!$E$10+1,1))</f>
        <v>366.69125512029831</v>
      </c>
      <c r="AO176" s="59">
        <f t="shared" si="144"/>
        <v>513.80016421153414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9.5189814430542502E-2</v>
      </c>
      <c r="AV176" s="21">
        <f>EXP(-LN(2)/25)*AV175+(1-EXP(-LN(2)/25))/(LN(2)/25)*Calculateur!AQ176*Calculateur!AS176*VLOOKUP('Données projet'!$B$10,Paramètres!$A$1:$I$89,3,0)*0.475*44/12</f>
        <v>0.14006884560200605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0.23525866003254856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212.28480000000002</v>
      </c>
      <c r="BF176" s="13">
        <f t="shared" si="167"/>
        <v>52.434557099704193</v>
      </c>
      <c r="BG176" s="20">
        <f t="shared" si="168"/>
        <v>461.05288028198476</v>
      </c>
      <c r="BH176" s="59">
        <f t="shared" si="116"/>
        <v>754.38621361531807</v>
      </c>
      <c r="BI176" s="59">
        <f ca="1">AVERAGE(OFFSET($BH$3,0,0,'Données projet'!$E$11+1,1))-AVERAGE(OFFSET($H$3,0,0,'Données projet'!$E$11+1,1))</f>
        <v>354.24684313982857</v>
      </c>
      <c r="BJ176" s="59">
        <f t="shared" si="146"/>
        <v>322.65043486962185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6.4201168804537181</v>
      </c>
      <c r="BQ176" s="21">
        <f>EXP(-LN(2)/25)*BQ175+(1-EXP(-LN(2)/25))/(LN(2)/25)*Calculateur!BL176*Calculateur!BN176*VLOOKUP('Données projet'!$B$11,Paramètres!$A$1:$I$89,3,0)*0.475*44/12</f>
        <v>1.9674451203959933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8.3875620008497123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5.4978954722173515E-13</v>
      </c>
      <c r="CA176" s="13">
        <f t="shared" si="170"/>
        <v>6.7731340873355904E-12</v>
      </c>
      <c r="CB176" s="20">
        <f t="shared" si="171"/>
        <v>1.2754091996854009E-11</v>
      </c>
      <c r="CC176" s="59">
        <f t="shared" si="119"/>
        <v>293.33333333334605</v>
      </c>
      <c r="CD176" s="59">
        <f ca="1">AVERAGE(OFFSET($CC$3,0,0,'Données projet'!$E$12+1,1))-AVERAGE(OFFSET($H$3,0,0,'Données projet'!$E$12+1,1))</f>
        <v>407.73540492005355</v>
      </c>
      <c r="CE176" s="59">
        <f t="shared" si="148"/>
        <v>296.29416764204774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79.558721791971706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79.558721791971706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266.99999999999983</v>
      </c>
      <c r="CU176" s="17">
        <f>CT176*VLOOKUP('Données projet'!$B$13,Paramètres!$A$1:$I$89,3,0)*VLOOKUP('Données projet'!$B$13,Paramètres!$A$1:$I$89,5,0)</f>
        <v>212.42519999999985</v>
      </c>
      <c r="CV176" s="13">
        <f t="shared" si="173"/>
        <v>52.465198231787184</v>
      </c>
      <c r="CW176" s="20">
        <f t="shared" si="174"/>
        <v>461.35077692036231</v>
      </c>
      <c r="CX176" s="59">
        <f t="shared" si="122"/>
        <v>754.68411025369562</v>
      </c>
      <c r="CY176" s="59">
        <f ca="1">AVERAGE(OFFSET($CX$3,0,0,'Données projet'!$E$13+1,1))-AVERAGE(OFFSET($H$3,0,0,'Données projet'!$E$13+1,1))</f>
        <v>299.10536994156814</v>
      </c>
      <c r="CZ176" s="59">
        <f t="shared" si="150"/>
        <v>292.57799203101769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4.5643811719853487</v>
      </c>
      <c r="DG176" s="21">
        <f>EXP(-LN(2)/25)*DG175+(1-EXP(-LN(2)/25))/(LN(2)/25)*Calculateur!DB176*Calculateur!DD176*VLOOKUP('Données projet'!$B$13,Paramètres!$A$1:$I$89,3,0)*0.475*44/12</f>
        <v>0.63205826983808333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5.1964394418234319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266.99999999999983</v>
      </c>
      <c r="DP176" s="17">
        <f>DO176*VLOOKUP('Données projet'!$B$14,Paramètres!$A$1:$I$89,3,0)*VLOOKUP('Données projet'!$B$14,Paramètres!$A$1:$I$89,5,0)</f>
        <v>212.42519999999985</v>
      </c>
      <c r="DQ176" s="13">
        <f t="shared" si="176"/>
        <v>52.465198231787184</v>
      </c>
      <c r="DR176" s="20">
        <f t="shared" si="177"/>
        <v>461.35077692036231</v>
      </c>
      <c r="DS176" s="59">
        <f t="shared" si="125"/>
        <v>754.68411025369562</v>
      </c>
      <c r="DT176" s="59">
        <f ca="1">AVERAGE(OFFSET($DS$3,0,0,'Données projet'!$E$14+1,1))-AVERAGE(OFFSET($H$3,0,0,'Données projet'!$E$14+1,1))</f>
        <v>299.10536994156814</v>
      </c>
      <c r="DU176" s="59">
        <f t="shared" si="152"/>
        <v>292.57799203101769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4.5643811719853487</v>
      </c>
      <c r="EB176" s="21">
        <f>EXP(-LN(2)/25)*EB175+(1-EXP(-LN(2)/25))/(LN(2)/25)*Calculateur!DW176*Calculateur!DY176*VLOOKUP('Données projet'!$B$14,Paramètres!$A$1:$I$89,3,0)*0.475*44/12</f>
        <v>0.63205826983808333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5.1964394418234319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204.00000000000017</v>
      </c>
      <c r="EK176" s="17">
        <f>EJ176*VLOOKUP('Données projet'!$B$15,Paramètres!$A$1:$I$89,3,0)*VLOOKUP('Données projet'!$B$15,Paramètres!$A$1:$I$89,5,0)</f>
        <v>133.66080000000011</v>
      </c>
      <c r="EL176" s="13">
        <f t="shared" si="179"/>
        <v>34.840890682716783</v>
      </c>
      <c r="EM176" s="20">
        <f t="shared" si="180"/>
        <v>293.4737779390652</v>
      </c>
      <c r="EN176" s="59">
        <f t="shared" si="128"/>
        <v>586.80711127239852</v>
      </c>
      <c r="EO176" s="59">
        <f ca="1">AVERAGE(OFFSET($EN$3,0,0,'Données projet'!$E$15+1,1))-AVERAGE(OFFSET($H$3,0,0,'Données projet'!$E$15+1,1))</f>
        <v>230.58262378842818</v>
      </c>
      <c r="EP176" s="59">
        <f t="shared" si="154"/>
        <v>235.68746142880792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0.36903944112700182</v>
      </c>
      <c r="EW176" s="21">
        <f>EXP(-LN(2)/25)*EW175+(1-EXP(-LN(2)/25))/(LN(2)/25)*Calculateur!ER176*Calculateur!ET176*VLOOKUP('Données projet'!$B$15,Paramètres!$A$1:$I$89,3,0)*0.475*44/12</f>
        <v>1.0802594256261724</v>
      </c>
      <c r="EX176" s="21">
        <f>EXP(-LN(2)/2)*EX175+(1-EXP(-LN(2)/2))/(LN(2)/2)*ER176*EU176*VLOOKUP('Données projet'!$B$15,Paramètres!$A$1:$I$89,3,0)*0.475*44/12</f>
        <v>9.5729433888669613E-13</v>
      </c>
      <c r="EY176" s="22">
        <f t="shared" si="181"/>
        <v>1.4492988667541316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234.00000000000003</v>
      </c>
      <c r="FF176" s="17">
        <f>FE176*VLOOKUP('Données projet'!$B$16,Paramètres!$A$1:$I$89,3,0)*VLOOKUP('Données projet'!$B$16,Paramètres!$A$1:$I$89,5,0)</f>
        <v>189.82080000000005</v>
      </c>
      <c r="FG176" s="13">
        <f t="shared" si="182"/>
        <v>47.500332100049796</v>
      </c>
      <c r="FH176" s="20">
        <f t="shared" si="183"/>
        <v>413.33430507425345</v>
      </c>
      <c r="FI176" s="59">
        <f t="shared" si="131"/>
        <v>706.66763840758676</v>
      </c>
      <c r="FJ176" s="59">
        <f ca="1">AVERAGE(OFFSET($FI$3,0,0,'Données projet'!$E$16+1,1))-AVERAGE(OFFSET($H$3,0,0,'Données projet'!$E$16+1,1))</f>
        <v>272.90535195666996</v>
      </c>
      <c r="FK176" s="59">
        <f t="shared" si="156"/>
        <v>222.25422164416898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0.90343397984365925</v>
      </c>
      <c r="FR176" s="21">
        <f>EXP(-LN(2)/25)*FR175+(1-EXP(-LN(2)/25))/(LN(2)/25)*Calculateur!FM176*Calculateur!FO176*VLOOKUP('Données projet'!$B$16,Paramètres!$A$1:$I$89,3,0)*0.475*44/12</f>
        <v>1.2332783483225629</v>
      </c>
      <c r="FS176" s="21">
        <f>EXP(-LN(2)/2)*FS175+(1-EXP(-LN(2)/2))/(LN(2)/2)*FM176*FP176*VLOOKUP('Données projet'!$B$16,Paramètres!$A$1:$I$89,3,0)*0.475*44/12</f>
        <v>4.3538997058305456E-13</v>
      </c>
      <c r="FT176" s="22">
        <f t="shared" si="184"/>
        <v>2.1367123281666576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293.33333333334531</v>
      </c>
      <c r="S177" s="59">
        <f ca="1">AVERAGE(OFFSET($R$3,0,0,'Données projet'!$E$9+1,1))-AVERAGE(OFFSET($H$3,0,0,'Données projet'!$E$9+1,1))</f>
        <v>384.05928630855732</v>
      </c>
      <c r="T177" s="59">
        <f t="shared" si="142"/>
        <v>279.93992813630513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304.99999999999983</v>
      </c>
      <c r="AJ177" s="13">
        <f>AI177*VLOOKUP('Données projet'!$B$10,Paramètres!$A$1:$I$89,3,0)*VLOOKUP('Données projet'!$B$10,Paramètres!$A$1:$I$89,5,0)</f>
        <v>275.96399999999983</v>
      </c>
      <c r="AK177" s="13">
        <f t="shared" si="164"/>
        <v>66.113366665488854</v>
      </c>
      <c r="AL177" s="20">
        <f t="shared" si="165"/>
        <v>595.78474694239264</v>
      </c>
      <c r="AM177" s="59">
        <f t="shared" si="113"/>
        <v>889.11808027572602</v>
      </c>
      <c r="AN177" s="59">
        <f ca="1">AVERAGE(OFFSET($AM$3,0,0,'Données projet'!$E$10+1,1))-AVERAGE(OFFSET($H$3,0,0,'Données projet'!$E$10+1,1))</f>
        <v>366.69125512029831</v>
      </c>
      <c r="AO177" s="59">
        <f t="shared" si="144"/>
        <v>513.80016421153414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9.3323200229613407E-2</v>
      </c>
      <c r="AV177" s="21">
        <f>EXP(-LN(2)/25)*AV176+(1-EXP(-LN(2)/25))/(LN(2)/25)*Calculateur!AQ177*Calculateur!AS177*VLOOKUP('Données projet'!$B$10,Paramètres!$A$1:$I$89,3,0)*0.475*44/12</f>
        <v>0.13623865565311874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0.22956185588273215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212.28480000000002</v>
      </c>
      <c r="BF177" s="13">
        <f t="shared" si="167"/>
        <v>52.434557099704193</v>
      </c>
      <c r="BG177" s="20">
        <f t="shared" si="168"/>
        <v>461.05288028198476</v>
      </c>
      <c r="BH177" s="59">
        <f t="shared" si="116"/>
        <v>754.38621361531807</v>
      </c>
      <c r="BI177" s="59">
        <f ca="1">AVERAGE(OFFSET($BH$3,0,0,'Données projet'!$E$11+1,1))-AVERAGE(OFFSET($H$3,0,0,'Données projet'!$E$11+1,1))</f>
        <v>354.24684313982857</v>
      </c>
      <c r="BJ177" s="59">
        <f t="shared" si="146"/>
        <v>322.65043486962185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6.2942223043126564</v>
      </c>
      <c r="BQ177" s="21">
        <f>EXP(-LN(2)/25)*BQ176+(1-EXP(-LN(2)/25))/(LN(2)/25)*Calculateur!BL177*Calculateur!BN177*VLOOKUP('Données projet'!$B$11,Paramètres!$A$1:$I$89,3,0)*0.475*44/12</f>
        <v>1.9136452301153226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8.2078675344279795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5.4978954722173515E-13</v>
      </c>
      <c r="CA177" s="13">
        <f t="shared" si="170"/>
        <v>6.7731340873355904E-12</v>
      </c>
      <c r="CB177" s="20">
        <f t="shared" si="171"/>
        <v>1.2754091996854009E-11</v>
      </c>
      <c r="CC177" s="59">
        <f t="shared" si="119"/>
        <v>293.33333333334605</v>
      </c>
      <c r="CD177" s="59">
        <f ca="1">AVERAGE(OFFSET($CC$3,0,0,'Données projet'!$E$12+1,1))-AVERAGE(OFFSET($H$3,0,0,'Données projet'!$E$12+1,1))</f>
        <v>407.73540492005355</v>
      </c>
      <c r="CE177" s="59">
        <f t="shared" si="148"/>
        <v>296.29416764204774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77.99862378365988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77.99862378365988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266.99999999999983</v>
      </c>
      <c r="CU177" s="17">
        <f>CT177*VLOOKUP('Données projet'!$B$13,Paramètres!$A$1:$I$89,3,0)*VLOOKUP('Données projet'!$B$13,Paramètres!$A$1:$I$89,5,0)</f>
        <v>212.42519999999985</v>
      </c>
      <c r="CV177" s="13">
        <f t="shared" si="173"/>
        <v>52.465198231787184</v>
      </c>
      <c r="CW177" s="20">
        <f t="shared" si="174"/>
        <v>461.35077692036231</v>
      </c>
      <c r="CX177" s="59">
        <f t="shared" si="122"/>
        <v>754.68411025369562</v>
      </c>
      <c r="CY177" s="59">
        <f ca="1">AVERAGE(OFFSET($CX$3,0,0,'Données projet'!$E$13+1,1))-AVERAGE(OFFSET($H$3,0,0,'Données projet'!$E$13+1,1))</f>
        <v>299.10536994156814</v>
      </c>
      <c r="CZ177" s="59">
        <f t="shared" si="150"/>
        <v>292.57799203101769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4.4748764412003341</v>
      </c>
      <c r="DG177" s="21">
        <f>EXP(-LN(2)/25)*DG176+(1-EXP(-LN(2)/25))/(LN(2)/25)*Calculateur!DB177*Calculateur!DD177*VLOOKUP('Données projet'!$B$13,Paramètres!$A$1:$I$89,3,0)*0.475*44/12</f>
        <v>0.61477460321086108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5.0896510444111955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266.99999999999983</v>
      </c>
      <c r="DP177" s="17">
        <f>DO177*VLOOKUP('Données projet'!$B$14,Paramètres!$A$1:$I$89,3,0)*VLOOKUP('Données projet'!$B$14,Paramètres!$A$1:$I$89,5,0)</f>
        <v>212.42519999999985</v>
      </c>
      <c r="DQ177" s="13">
        <f t="shared" si="176"/>
        <v>52.465198231787184</v>
      </c>
      <c r="DR177" s="20">
        <f t="shared" si="177"/>
        <v>461.35077692036231</v>
      </c>
      <c r="DS177" s="59">
        <f t="shared" si="125"/>
        <v>754.68411025369562</v>
      </c>
      <c r="DT177" s="59">
        <f ca="1">AVERAGE(OFFSET($DS$3,0,0,'Données projet'!$E$14+1,1))-AVERAGE(OFFSET($H$3,0,0,'Données projet'!$E$14+1,1))</f>
        <v>299.10536994156814</v>
      </c>
      <c r="DU177" s="59">
        <f t="shared" si="152"/>
        <v>292.57799203101769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4.4748764412003341</v>
      </c>
      <c r="EB177" s="21">
        <f>EXP(-LN(2)/25)*EB176+(1-EXP(-LN(2)/25))/(LN(2)/25)*Calculateur!DW177*Calculateur!DY177*VLOOKUP('Données projet'!$B$14,Paramètres!$A$1:$I$89,3,0)*0.475*44/12</f>
        <v>0.61477460321086108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5.0896510444111955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204.00000000000017</v>
      </c>
      <c r="EK177" s="17">
        <f>EJ177*VLOOKUP('Données projet'!$B$15,Paramètres!$A$1:$I$89,3,0)*VLOOKUP('Données projet'!$B$15,Paramètres!$A$1:$I$89,5,0)</f>
        <v>133.66080000000011</v>
      </c>
      <c r="EL177" s="13">
        <f t="shared" si="179"/>
        <v>34.840890682716783</v>
      </c>
      <c r="EM177" s="20">
        <f t="shared" si="180"/>
        <v>293.4737779390652</v>
      </c>
      <c r="EN177" s="59">
        <f t="shared" si="128"/>
        <v>586.80711127239852</v>
      </c>
      <c r="EO177" s="59">
        <f ca="1">AVERAGE(OFFSET($EN$3,0,0,'Données projet'!$E$15+1,1))-AVERAGE(OFFSET($H$3,0,0,'Données projet'!$E$15+1,1))</f>
        <v>230.58262378842818</v>
      </c>
      <c r="EP177" s="59">
        <f t="shared" si="154"/>
        <v>235.68746142880792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0.36180280277833443</v>
      </c>
      <c r="EW177" s="21">
        <f>EXP(-LN(2)/25)*EW176+(1-EXP(-LN(2)/25))/(LN(2)/25)*Calculateur!ER177*Calculateur!ET177*VLOOKUP('Données projet'!$B$15,Paramètres!$A$1:$I$89,3,0)*0.475*44/12</f>
        <v>1.0507196748240504</v>
      </c>
      <c r="EX177" s="21">
        <f>EXP(-LN(2)/2)*EX176+(1-EXP(-LN(2)/2))/(LN(2)/2)*ER177*EU177*VLOOKUP('Données projet'!$B$15,Paramètres!$A$1:$I$89,3,0)*0.475*44/12</f>
        <v>6.7690931861827573E-13</v>
      </c>
      <c r="EY177" s="22">
        <f t="shared" si="181"/>
        <v>1.4125224776030618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234.00000000000003</v>
      </c>
      <c r="FF177" s="17">
        <f>FE177*VLOOKUP('Données projet'!$B$16,Paramètres!$A$1:$I$89,3,0)*VLOOKUP('Données projet'!$B$16,Paramètres!$A$1:$I$89,5,0)</f>
        <v>189.82080000000005</v>
      </c>
      <c r="FG177" s="13">
        <f t="shared" si="182"/>
        <v>47.500332100049796</v>
      </c>
      <c r="FH177" s="20">
        <f t="shared" si="183"/>
        <v>413.33430507425345</v>
      </c>
      <c r="FI177" s="59">
        <f t="shared" si="131"/>
        <v>706.66763840758676</v>
      </c>
      <c r="FJ177" s="59">
        <f ca="1">AVERAGE(OFFSET($FI$3,0,0,'Données projet'!$E$16+1,1))-AVERAGE(OFFSET($H$3,0,0,'Données projet'!$E$16+1,1))</f>
        <v>272.90535195666996</v>
      </c>
      <c r="FK177" s="59">
        <f t="shared" si="156"/>
        <v>222.25422164416898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0.88571819053924206</v>
      </c>
      <c r="FR177" s="21">
        <f>EXP(-LN(2)/25)*FR176+(1-EXP(-LN(2)/25))/(LN(2)/25)*Calculateur!FM177*Calculateur!FO177*VLOOKUP('Données projet'!$B$16,Paramètres!$A$1:$I$89,3,0)*0.475*44/12</f>
        <v>1.1995542870323928</v>
      </c>
      <c r="FS177" s="21">
        <f>EXP(-LN(2)/2)*FS176+(1-EXP(-LN(2)/2))/(LN(2)/2)*FM177*FP177*VLOOKUP('Données projet'!$B$16,Paramètres!$A$1:$I$89,3,0)*0.475*44/12</f>
        <v>3.0786720065988932E-13</v>
      </c>
      <c r="FT177" s="22">
        <f t="shared" si="184"/>
        <v>2.0852724775719427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293.33333333334531</v>
      </c>
      <c r="S178" s="59">
        <f ca="1">AVERAGE(OFFSET($R$3,0,0,'Données projet'!$E$9+1,1))-AVERAGE(OFFSET($H$3,0,0,'Données projet'!$E$9+1,1))</f>
        <v>384.05928630855732</v>
      </c>
      <c r="T178" s="59">
        <f t="shared" si="142"/>
        <v>279.93992813630513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304.99999999999983</v>
      </c>
      <c r="AJ178" s="13">
        <f>AI178*VLOOKUP('Données projet'!$B$10,Paramètres!$A$1:$I$89,3,0)*VLOOKUP('Données projet'!$B$10,Paramètres!$A$1:$I$89,5,0)</f>
        <v>275.96399999999983</v>
      </c>
      <c r="AK178" s="13">
        <f t="shared" si="164"/>
        <v>66.113366665488854</v>
      </c>
      <c r="AL178" s="20">
        <f t="shared" si="165"/>
        <v>595.78474694239264</v>
      </c>
      <c r="AM178" s="59">
        <f t="shared" si="113"/>
        <v>889.11808027572602</v>
      </c>
      <c r="AN178" s="59">
        <f ca="1">AVERAGE(OFFSET($AM$3,0,0,'Données projet'!$E$10+1,1))-AVERAGE(OFFSET($H$3,0,0,'Données projet'!$E$10+1,1))</f>
        <v>366.69125512029831</v>
      </c>
      <c r="AO178" s="59">
        <f t="shared" si="144"/>
        <v>513.80016421153414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9.1493189194642291E-2</v>
      </c>
      <c r="AV178" s="21">
        <f>EXP(-LN(2)/25)*AV177+(1-EXP(-LN(2)/25))/(LN(2)/25)*Calculateur!AQ178*Calculateur!AS178*VLOOKUP('Données projet'!$B$10,Paramètres!$A$1:$I$89,3,0)*0.475*44/12</f>
        <v>0.13251320244980469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0.22400639164444697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212.28480000000002</v>
      </c>
      <c r="BF178" s="13">
        <f t="shared" si="167"/>
        <v>52.434557099704193</v>
      </c>
      <c r="BG178" s="20">
        <f t="shared" si="168"/>
        <v>461.05288028198476</v>
      </c>
      <c r="BH178" s="59">
        <f t="shared" si="116"/>
        <v>754.38621361531807</v>
      </c>
      <c r="BI178" s="59">
        <f ca="1">AVERAGE(OFFSET($BH$3,0,0,'Données projet'!$E$11+1,1))-AVERAGE(OFFSET($H$3,0,0,'Données projet'!$E$11+1,1))</f>
        <v>354.24684313982857</v>
      </c>
      <c r="BJ178" s="59">
        <f t="shared" si="146"/>
        <v>322.65043486962185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6.1707964440216116</v>
      </c>
      <c r="BQ178" s="21">
        <f>EXP(-LN(2)/25)*BQ177+(1-EXP(-LN(2)/25))/(LN(2)/25)*Calculateur!BL178*Calculateur!BN178*VLOOKUP('Données projet'!$B$11,Paramètres!$A$1:$I$89,3,0)*0.475*44/12</f>
        <v>1.8613165006635901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8.0321129446852026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5.4978954722173515E-13</v>
      </c>
      <c r="CA178" s="13">
        <f t="shared" si="170"/>
        <v>6.7731340873355904E-12</v>
      </c>
      <c r="CB178" s="20">
        <f t="shared" si="171"/>
        <v>1.2754091996854009E-11</v>
      </c>
      <c r="CC178" s="59">
        <f t="shared" si="119"/>
        <v>293.33333333334605</v>
      </c>
      <c r="CD178" s="59">
        <f ca="1">AVERAGE(OFFSET($CC$3,0,0,'Données projet'!$E$12+1,1))-AVERAGE(OFFSET($H$3,0,0,'Données projet'!$E$12+1,1))</f>
        <v>407.73540492005355</v>
      </c>
      <c r="CE178" s="59">
        <f t="shared" si="148"/>
        <v>296.29416764204774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76.469118345725235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76.469118345725235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266.99999999999983</v>
      </c>
      <c r="CU178" s="17">
        <f>CT178*VLOOKUP('Données projet'!$B$13,Paramètres!$A$1:$I$89,3,0)*VLOOKUP('Données projet'!$B$13,Paramètres!$A$1:$I$89,5,0)</f>
        <v>212.42519999999985</v>
      </c>
      <c r="CV178" s="13">
        <f t="shared" si="173"/>
        <v>52.465198231787184</v>
      </c>
      <c r="CW178" s="20">
        <f t="shared" si="174"/>
        <v>461.35077692036231</v>
      </c>
      <c r="CX178" s="59">
        <f t="shared" si="122"/>
        <v>754.68411025369562</v>
      </c>
      <c r="CY178" s="59">
        <f ca="1">AVERAGE(OFFSET($CX$3,0,0,'Données projet'!$E$13+1,1))-AVERAGE(OFFSET($H$3,0,0,'Données projet'!$E$13+1,1))</f>
        <v>299.10536994156814</v>
      </c>
      <c r="CZ178" s="59">
        <f t="shared" si="150"/>
        <v>292.57799203101769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4.387126843593518</v>
      </c>
      <c r="DG178" s="21">
        <f>EXP(-LN(2)/25)*DG177+(1-EXP(-LN(2)/25))/(LN(2)/25)*Calculateur!DB178*Calculateur!DD178*VLOOKUP('Données projet'!$B$13,Paramètres!$A$1:$I$89,3,0)*0.475*44/12</f>
        <v>0.59796355935646883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4.9850904029499867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266.99999999999983</v>
      </c>
      <c r="DP178" s="17">
        <f>DO178*VLOOKUP('Données projet'!$B$14,Paramètres!$A$1:$I$89,3,0)*VLOOKUP('Données projet'!$B$14,Paramètres!$A$1:$I$89,5,0)</f>
        <v>212.42519999999985</v>
      </c>
      <c r="DQ178" s="13">
        <f t="shared" si="176"/>
        <v>52.465198231787184</v>
      </c>
      <c r="DR178" s="20">
        <f t="shared" si="177"/>
        <v>461.35077692036231</v>
      </c>
      <c r="DS178" s="59">
        <f t="shared" si="125"/>
        <v>754.68411025369562</v>
      </c>
      <c r="DT178" s="59">
        <f ca="1">AVERAGE(OFFSET($DS$3,0,0,'Données projet'!$E$14+1,1))-AVERAGE(OFFSET($H$3,0,0,'Données projet'!$E$14+1,1))</f>
        <v>299.10536994156814</v>
      </c>
      <c r="DU178" s="59">
        <f t="shared" si="152"/>
        <v>292.57799203101769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4.387126843593518</v>
      </c>
      <c r="EB178" s="21">
        <f>EXP(-LN(2)/25)*EB177+(1-EXP(-LN(2)/25))/(LN(2)/25)*Calculateur!DW178*Calculateur!DY178*VLOOKUP('Données projet'!$B$14,Paramètres!$A$1:$I$89,3,0)*0.475*44/12</f>
        <v>0.59796355935646883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4.9850904029499867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204.00000000000017</v>
      </c>
      <c r="EK178" s="17">
        <f>EJ178*VLOOKUP('Données projet'!$B$15,Paramètres!$A$1:$I$89,3,0)*VLOOKUP('Données projet'!$B$15,Paramètres!$A$1:$I$89,5,0)</f>
        <v>133.66080000000011</v>
      </c>
      <c r="EL178" s="13">
        <f t="shared" si="179"/>
        <v>34.840890682716783</v>
      </c>
      <c r="EM178" s="20">
        <f t="shared" si="180"/>
        <v>293.4737779390652</v>
      </c>
      <c r="EN178" s="59">
        <f t="shared" si="128"/>
        <v>586.80711127239852</v>
      </c>
      <c r="EO178" s="59">
        <f ca="1">AVERAGE(OFFSET($EN$3,0,0,'Données projet'!$E$15+1,1))-AVERAGE(OFFSET($H$3,0,0,'Données projet'!$E$15+1,1))</f>
        <v>230.58262378842818</v>
      </c>
      <c r="EP178" s="59">
        <f t="shared" si="154"/>
        <v>235.68746142880792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0.35470807049377084</v>
      </c>
      <c r="EW178" s="21">
        <f>EXP(-LN(2)/25)*EW177+(1-EXP(-LN(2)/25))/(LN(2)/25)*Calculateur!ER178*Calculateur!ET178*VLOOKUP('Données projet'!$B$15,Paramètres!$A$1:$I$89,3,0)*0.475*44/12</f>
        <v>1.0219876900610405</v>
      </c>
      <c r="EX178" s="21">
        <f>EXP(-LN(2)/2)*EX177+(1-EXP(-LN(2)/2))/(LN(2)/2)*ER178*EU178*VLOOKUP('Données projet'!$B$15,Paramètres!$A$1:$I$89,3,0)*0.475*44/12</f>
        <v>4.7864716944334807E-13</v>
      </c>
      <c r="EY178" s="22">
        <f t="shared" si="181"/>
        <v>1.3766957605552901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234.00000000000003</v>
      </c>
      <c r="FF178" s="17">
        <f>FE178*VLOOKUP('Données projet'!$B$16,Paramètres!$A$1:$I$89,3,0)*VLOOKUP('Données projet'!$B$16,Paramètres!$A$1:$I$89,5,0)</f>
        <v>189.82080000000005</v>
      </c>
      <c r="FG178" s="13">
        <f t="shared" si="182"/>
        <v>47.500332100049796</v>
      </c>
      <c r="FH178" s="20">
        <f t="shared" si="183"/>
        <v>413.33430507425345</v>
      </c>
      <c r="FI178" s="59">
        <f t="shared" si="131"/>
        <v>706.66763840758676</v>
      </c>
      <c r="FJ178" s="59">
        <f ca="1">AVERAGE(OFFSET($FI$3,0,0,'Données projet'!$E$16+1,1))-AVERAGE(OFFSET($H$3,0,0,'Données projet'!$E$16+1,1))</f>
        <v>272.90535195666996</v>
      </c>
      <c r="FK178" s="59">
        <f t="shared" si="156"/>
        <v>222.25422164416898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0.86834979705752002</v>
      </c>
      <c r="FR178" s="21">
        <f>EXP(-LN(2)/25)*FR177+(1-EXP(-LN(2)/25))/(LN(2)/25)*Calculateur!FM178*Calculateur!FO178*VLOOKUP('Données projet'!$B$16,Paramètres!$A$1:$I$89,3,0)*0.475*44/12</f>
        <v>1.1667524119716737</v>
      </c>
      <c r="FS178" s="21">
        <f>EXP(-LN(2)/2)*FS177+(1-EXP(-LN(2)/2))/(LN(2)/2)*FM178*FP178*VLOOKUP('Données projet'!$B$16,Paramètres!$A$1:$I$89,3,0)*0.475*44/12</f>
        <v>2.1769498529152728E-13</v>
      </c>
      <c r="FT178" s="22">
        <f t="shared" si="184"/>
        <v>2.0351022090294113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293.33333333334531</v>
      </c>
      <c r="S179" s="59">
        <f ca="1">AVERAGE(OFFSET($R$3,0,0,'Données projet'!$E$9+1,1))-AVERAGE(OFFSET($H$3,0,0,'Données projet'!$E$9+1,1))</f>
        <v>384.05928630855732</v>
      </c>
      <c r="T179" s="59">
        <f t="shared" si="142"/>
        <v>279.93992813630513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304.99999999999983</v>
      </c>
      <c r="AJ179" s="13">
        <f>AI179*VLOOKUP('Données projet'!$B$10,Paramètres!$A$1:$I$89,3,0)*VLOOKUP('Données projet'!$B$10,Paramètres!$A$1:$I$89,5,0)</f>
        <v>275.96399999999983</v>
      </c>
      <c r="AK179" s="13">
        <f t="shared" si="164"/>
        <v>66.113366665488854</v>
      </c>
      <c r="AL179" s="20">
        <f t="shared" si="165"/>
        <v>595.78474694239264</v>
      </c>
      <c r="AM179" s="59">
        <f t="shared" si="113"/>
        <v>889.11808027572602</v>
      </c>
      <c r="AN179" s="59">
        <f ca="1">AVERAGE(OFFSET($AM$3,0,0,'Données projet'!$E$10+1,1))-AVERAGE(OFFSET($H$3,0,0,'Données projet'!$E$10+1,1))</f>
        <v>366.69125512029831</v>
      </c>
      <c r="AO179" s="59">
        <f t="shared" si="144"/>
        <v>513.80016421153414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8.9699063559870451E-2</v>
      </c>
      <c r="AV179" s="21">
        <f>EXP(-LN(2)/25)*AV178+(1-EXP(-LN(2)/25))/(LN(2)/25)*Calculateur!AQ179*Calculateur!AS179*VLOOKUP('Données projet'!$B$10,Paramètres!$A$1:$I$89,3,0)*0.475*44/12</f>
        <v>0.12888962196024834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0.21858868552011879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212.28480000000002</v>
      </c>
      <c r="BF179" s="13">
        <f t="shared" si="167"/>
        <v>52.434557099704193</v>
      </c>
      <c r="BG179" s="20">
        <f t="shared" si="168"/>
        <v>461.05288028198476</v>
      </c>
      <c r="BH179" s="59">
        <f t="shared" si="116"/>
        <v>754.38621361531807</v>
      </c>
      <c r="BI179" s="59">
        <f ca="1">AVERAGE(OFFSET($BH$3,0,0,'Données projet'!$E$11+1,1))-AVERAGE(OFFSET($H$3,0,0,'Données projet'!$E$11+1,1))</f>
        <v>354.24684313982857</v>
      </c>
      <c r="BJ179" s="59">
        <f t="shared" si="146"/>
        <v>322.65043486962185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6.0497908895685333</v>
      </c>
      <c r="BQ179" s="21">
        <f>EXP(-LN(2)/25)*BQ178+(1-EXP(-LN(2)/25))/(LN(2)/25)*Calculateur!BL179*Calculateur!BN179*VLOOKUP('Données projet'!$B$11,Paramètres!$A$1:$I$89,3,0)*0.475*44/12</f>
        <v>1.8104187030705636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7.8602095926390971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5.4978954722173515E-13</v>
      </c>
      <c r="CA179" s="13">
        <f t="shared" si="170"/>
        <v>6.7731340873355904E-12</v>
      </c>
      <c r="CB179" s="20">
        <f t="shared" si="171"/>
        <v>1.2754091996854009E-11</v>
      </c>
      <c r="CC179" s="59">
        <f t="shared" si="119"/>
        <v>293.33333333334605</v>
      </c>
      <c r="CD179" s="59">
        <f ca="1">AVERAGE(OFFSET($CC$3,0,0,'Données projet'!$E$12+1,1))-AVERAGE(OFFSET($H$3,0,0,'Données projet'!$E$12+1,1))</f>
        <v>407.73540492005355</v>
      </c>
      <c r="CE179" s="59">
        <f t="shared" si="148"/>
        <v>296.29416764204774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74.969605576522284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74.969605576522284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266.99999999999983</v>
      </c>
      <c r="CU179" s="17">
        <f>CT179*VLOOKUP('Données projet'!$B$13,Paramètres!$A$1:$I$89,3,0)*VLOOKUP('Données projet'!$B$13,Paramètres!$A$1:$I$89,5,0)</f>
        <v>212.42519999999985</v>
      </c>
      <c r="CV179" s="13">
        <f t="shared" si="173"/>
        <v>52.465198231787184</v>
      </c>
      <c r="CW179" s="20">
        <f t="shared" si="174"/>
        <v>461.35077692036231</v>
      </c>
      <c r="CX179" s="59">
        <f t="shared" si="122"/>
        <v>754.68411025369562</v>
      </c>
      <c r="CY179" s="59">
        <f ca="1">AVERAGE(OFFSET($CX$3,0,0,'Données projet'!$E$13+1,1))-AVERAGE(OFFSET($H$3,0,0,'Données projet'!$E$13+1,1))</f>
        <v>299.10536994156814</v>
      </c>
      <c r="CZ179" s="59">
        <f t="shared" si="150"/>
        <v>292.57799203101769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4.3010979620738023</v>
      </c>
      <c r="DG179" s="21">
        <f>EXP(-LN(2)/25)*DG178+(1-EXP(-LN(2)/25))/(LN(2)/25)*Calculateur!DB179*Calculateur!DD179*VLOOKUP('Données projet'!$B$13,Paramètres!$A$1:$I$89,3,0)*0.475*44/12</f>
        <v>0.58161221438032928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4.8827101764541316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266.99999999999983</v>
      </c>
      <c r="DP179" s="17">
        <f>DO179*VLOOKUP('Données projet'!$B$14,Paramètres!$A$1:$I$89,3,0)*VLOOKUP('Données projet'!$B$14,Paramètres!$A$1:$I$89,5,0)</f>
        <v>212.42519999999985</v>
      </c>
      <c r="DQ179" s="13">
        <f t="shared" si="176"/>
        <v>52.465198231787184</v>
      </c>
      <c r="DR179" s="20">
        <f t="shared" si="177"/>
        <v>461.35077692036231</v>
      </c>
      <c r="DS179" s="59">
        <f t="shared" si="125"/>
        <v>754.68411025369562</v>
      </c>
      <c r="DT179" s="59">
        <f ca="1">AVERAGE(OFFSET($DS$3,0,0,'Données projet'!$E$14+1,1))-AVERAGE(OFFSET($H$3,0,0,'Données projet'!$E$14+1,1))</f>
        <v>299.10536994156814</v>
      </c>
      <c r="DU179" s="59">
        <f t="shared" si="152"/>
        <v>292.57799203101769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4.3010979620738023</v>
      </c>
      <c r="EB179" s="21">
        <f>EXP(-LN(2)/25)*EB178+(1-EXP(-LN(2)/25))/(LN(2)/25)*Calculateur!DW179*Calculateur!DY179*VLOOKUP('Données projet'!$B$14,Paramètres!$A$1:$I$89,3,0)*0.475*44/12</f>
        <v>0.58161221438032928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4.8827101764541316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204.00000000000017</v>
      </c>
      <c r="EK179" s="17">
        <f>EJ179*VLOOKUP('Données projet'!$B$15,Paramètres!$A$1:$I$89,3,0)*VLOOKUP('Données projet'!$B$15,Paramètres!$A$1:$I$89,5,0)</f>
        <v>133.66080000000011</v>
      </c>
      <c r="EL179" s="13">
        <f t="shared" si="179"/>
        <v>34.840890682716783</v>
      </c>
      <c r="EM179" s="20">
        <f t="shared" si="180"/>
        <v>293.4737779390652</v>
      </c>
      <c r="EN179" s="59">
        <f t="shared" si="128"/>
        <v>586.80711127239852</v>
      </c>
      <c r="EO179" s="59">
        <f ca="1">AVERAGE(OFFSET($EN$3,0,0,'Données projet'!$E$15+1,1))-AVERAGE(OFFSET($H$3,0,0,'Données projet'!$E$15+1,1))</f>
        <v>230.58262378842818</v>
      </c>
      <c r="EP179" s="59">
        <f t="shared" si="154"/>
        <v>235.68746142880792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0.34775246158194817</v>
      </c>
      <c r="EW179" s="21">
        <f>EXP(-LN(2)/25)*EW178+(1-EXP(-LN(2)/25))/(LN(2)/25)*Calculateur!ER179*Calculateur!ET179*VLOOKUP('Données projet'!$B$15,Paramètres!$A$1:$I$89,3,0)*0.475*44/12</f>
        <v>0.99404138293232447</v>
      </c>
      <c r="EX179" s="21">
        <f>EXP(-LN(2)/2)*EX178+(1-EXP(-LN(2)/2))/(LN(2)/2)*ER179*EU179*VLOOKUP('Données projet'!$B$15,Paramètres!$A$1:$I$89,3,0)*0.475*44/12</f>
        <v>3.3845465930913786E-13</v>
      </c>
      <c r="EY179" s="22">
        <f t="shared" si="181"/>
        <v>1.3417938445146111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234.00000000000003</v>
      </c>
      <c r="FF179" s="17">
        <f>FE179*VLOOKUP('Données projet'!$B$16,Paramètres!$A$1:$I$89,3,0)*VLOOKUP('Données projet'!$B$16,Paramètres!$A$1:$I$89,5,0)</f>
        <v>189.82080000000005</v>
      </c>
      <c r="FG179" s="13">
        <f t="shared" si="182"/>
        <v>47.500332100049796</v>
      </c>
      <c r="FH179" s="20">
        <f t="shared" si="183"/>
        <v>413.33430507425345</v>
      </c>
      <c r="FI179" s="59">
        <f t="shared" si="131"/>
        <v>706.66763840758676</v>
      </c>
      <c r="FJ179" s="59">
        <f ca="1">AVERAGE(OFFSET($FI$3,0,0,'Données projet'!$E$16+1,1))-AVERAGE(OFFSET($H$3,0,0,'Données projet'!$E$16+1,1))</f>
        <v>272.90535195666996</v>
      </c>
      <c r="FK179" s="59">
        <f t="shared" si="156"/>
        <v>222.25422164416898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0.85132198717830054</v>
      </c>
      <c r="FR179" s="21">
        <f>EXP(-LN(2)/25)*FR178+(1-EXP(-LN(2)/25))/(LN(2)/25)*Calculateur!FM179*Calculateur!FO179*VLOOKUP('Données projet'!$B$16,Paramètres!$A$1:$I$89,3,0)*0.475*44/12</f>
        <v>1.1348475059094656</v>
      </c>
      <c r="FS179" s="21">
        <f>EXP(-LN(2)/2)*FS178+(1-EXP(-LN(2)/2))/(LN(2)/2)*FM179*FP179*VLOOKUP('Données projet'!$B$16,Paramètres!$A$1:$I$89,3,0)*0.475*44/12</f>
        <v>1.5393360032994466E-13</v>
      </c>
      <c r="FT179" s="22">
        <f t="shared" si="184"/>
        <v>1.9861694930879199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293.33333333334531</v>
      </c>
      <c r="S180" s="59">
        <f ca="1">AVERAGE(OFFSET($R$3,0,0,'Données projet'!$E$9+1,1))-AVERAGE(OFFSET($H$3,0,0,'Données projet'!$E$9+1,1))</f>
        <v>384.05928630855732</v>
      </c>
      <c r="T180" s="59">
        <f t="shared" si="142"/>
        <v>279.93992813630513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304.99999999999983</v>
      </c>
      <c r="AJ180" s="13">
        <f>AI180*VLOOKUP('Données projet'!$B$10,Paramètres!$A$1:$I$89,3,0)*VLOOKUP('Données projet'!$B$10,Paramètres!$A$1:$I$89,5,0)</f>
        <v>275.96399999999983</v>
      </c>
      <c r="AK180" s="13">
        <f t="shared" si="164"/>
        <v>66.113366665488854</v>
      </c>
      <c r="AL180" s="20">
        <f t="shared" si="165"/>
        <v>595.78474694239264</v>
      </c>
      <c r="AM180" s="59">
        <f t="shared" si="113"/>
        <v>889.11808027572602</v>
      </c>
      <c r="AN180" s="59">
        <f ca="1">AVERAGE(OFFSET($AM$3,0,0,'Données projet'!$E$10+1,1))-AVERAGE(OFFSET($H$3,0,0,'Données projet'!$E$10+1,1))</f>
        <v>366.69125512029831</v>
      </c>
      <c r="AO180" s="59">
        <f t="shared" si="144"/>
        <v>513.80016421153414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8.7940119634487904E-2</v>
      </c>
      <c r="AV180" s="21">
        <f>EXP(-LN(2)/25)*AV179+(1-EXP(-LN(2)/25))/(LN(2)/25)*Calculateur!AQ180*Calculateur!AS180*VLOOKUP('Données projet'!$B$10,Paramètres!$A$1:$I$89,3,0)*0.475*44/12</f>
        <v>0.12536512846973472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0.21330524810422263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212.28480000000002</v>
      </c>
      <c r="BF180" s="13">
        <f t="shared" si="167"/>
        <v>52.434557099704193</v>
      </c>
      <c r="BG180" s="20">
        <f t="shared" si="168"/>
        <v>461.05288028198476</v>
      </c>
      <c r="BH180" s="59">
        <f t="shared" si="116"/>
        <v>754.38621361531807</v>
      </c>
      <c r="BI180" s="59">
        <f ca="1">AVERAGE(OFFSET($BH$3,0,0,'Données projet'!$E$11+1,1))-AVERAGE(OFFSET($H$3,0,0,'Données projet'!$E$11+1,1))</f>
        <v>354.24684313982857</v>
      </c>
      <c r="BJ180" s="59">
        <f t="shared" si="146"/>
        <v>322.65043486962185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5.9311581802321793</v>
      </c>
      <c r="BQ180" s="21">
        <f>EXP(-LN(2)/25)*BQ179+(1-EXP(-LN(2)/25))/(LN(2)/25)*Calculateur!BL180*Calculateur!BN180*VLOOKUP('Données projet'!$B$11,Paramètres!$A$1:$I$89,3,0)*0.475*44/12</f>
        <v>1.7609127084293172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7.6920708886614966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5.4978954722173515E-13</v>
      </c>
      <c r="CA180" s="13">
        <f t="shared" si="170"/>
        <v>6.7731340873355904E-12</v>
      </c>
      <c r="CB180" s="20">
        <f t="shared" si="171"/>
        <v>1.2754091996854009E-11</v>
      </c>
      <c r="CC180" s="59">
        <f t="shared" si="119"/>
        <v>293.33333333334605</v>
      </c>
      <c r="CD180" s="59">
        <f ca="1">AVERAGE(OFFSET($CC$3,0,0,'Données projet'!$E$12+1,1))-AVERAGE(OFFSET($H$3,0,0,'Données projet'!$E$12+1,1))</f>
        <v>407.73540492005355</v>
      </c>
      <c r="CE180" s="59">
        <f t="shared" si="148"/>
        <v>296.29416764204774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73.499497338110928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73.499497338110928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266.99999999999983</v>
      </c>
      <c r="CU180" s="17">
        <f>CT180*VLOOKUP('Données projet'!$B$13,Paramètres!$A$1:$I$89,3,0)*VLOOKUP('Données projet'!$B$13,Paramètres!$A$1:$I$89,5,0)</f>
        <v>212.42519999999985</v>
      </c>
      <c r="CV180" s="13">
        <f t="shared" si="173"/>
        <v>52.465198231787184</v>
      </c>
      <c r="CW180" s="20">
        <f t="shared" si="174"/>
        <v>461.35077692036231</v>
      </c>
      <c r="CX180" s="59">
        <f t="shared" si="122"/>
        <v>754.68411025369562</v>
      </c>
      <c r="CY180" s="59">
        <f ca="1">AVERAGE(OFFSET($CX$3,0,0,'Données projet'!$E$13+1,1))-AVERAGE(OFFSET($H$3,0,0,'Données projet'!$E$13+1,1))</f>
        <v>299.10536994156814</v>
      </c>
      <c r="CZ180" s="59">
        <f t="shared" si="150"/>
        <v>292.57799203101769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4.2167560544482514</v>
      </c>
      <c r="DG180" s="21">
        <f>EXP(-LN(2)/25)*DG179+(1-EXP(-LN(2)/25))/(LN(2)/25)*Calculateur!DB180*Calculateur!DD180*VLOOKUP('Données projet'!$B$13,Paramètres!$A$1:$I$89,3,0)*0.475*44/12</f>
        <v>0.56570799779244207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4.7824640522406936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266.99999999999983</v>
      </c>
      <c r="DP180" s="17">
        <f>DO180*VLOOKUP('Données projet'!$B$14,Paramètres!$A$1:$I$89,3,0)*VLOOKUP('Données projet'!$B$14,Paramètres!$A$1:$I$89,5,0)</f>
        <v>212.42519999999985</v>
      </c>
      <c r="DQ180" s="13">
        <f t="shared" si="176"/>
        <v>52.465198231787184</v>
      </c>
      <c r="DR180" s="20">
        <f t="shared" si="177"/>
        <v>461.35077692036231</v>
      </c>
      <c r="DS180" s="59">
        <f t="shared" si="125"/>
        <v>754.68411025369562</v>
      </c>
      <c r="DT180" s="59">
        <f ca="1">AVERAGE(OFFSET($DS$3,0,0,'Données projet'!$E$14+1,1))-AVERAGE(OFFSET($H$3,0,0,'Données projet'!$E$14+1,1))</f>
        <v>299.10536994156814</v>
      </c>
      <c r="DU180" s="59">
        <f t="shared" si="152"/>
        <v>292.57799203101769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4.2167560544482514</v>
      </c>
      <c r="EB180" s="21">
        <f>EXP(-LN(2)/25)*EB179+(1-EXP(-LN(2)/25))/(LN(2)/25)*Calculateur!DW180*Calculateur!DY180*VLOOKUP('Données projet'!$B$14,Paramètres!$A$1:$I$89,3,0)*0.475*44/12</f>
        <v>0.56570799779244207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4.7824640522406936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204.00000000000017</v>
      </c>
      <c r="EK180" s="17">
        <f>EJ180*VLOOKUP('Données projet'!$B$15,Paramètres!$A$1:$I$89,3,0)*VLOOKUP('Données projet'!$B$15,Paramètres!$A$1:$I$89,5,0)</f>
        <v>133.66080000000011</v>
      </c>
      <c r="EL180" s="13">
        <f t="shared" si="179"/>
        <v>34.840890682716783</v>
      </c>
      <c r="EM180" s="20">
        <f t="shared" si="180"/>
        <v>293.4737779390652</v>
      </c>
      <c r="EN180" s="59">
        <f t="shared" si="128"/>
        <v>586.80711127239852</v>
      </c>
      <c r="EO180" s="59">
        <f ca="1">AVERAGE(OFFSET($EN$3,0,0,'Données projet'!$E$15+1,1))-AVERAGE(OFFSET($H$3,0,0,'Données projet'!$E$15+1,1))</f>
        <v>230.58262378842818</v>
      </c>
      <c r="EP180" s="59">
        <f t="shared" si="154"/>
        <v>235.68746142880792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0.34093324791838381</v>
      </c>
      <c r="EW180" s="21">
        <f>EXP(-LN(2)/25)*EW179+(1-EXP(-LN(2)/25))/(LN(2)/25)*Calculateur!ER180*Calculateur!ET180*VLOOKUP('Données projet'!$B$15,Paramètres!$A$1:$I$89,3,0)*0.475*44/12</f>
        <v>0.96685926904167563</v>
      </c>
      <c r="EX180" s="21">
        <f>EXP(-LN(2)/2)*EX179+(1-EXP(-LN(2)/2))/(LN(2)/2)*ER180*EU180*VLOOKUP('Données projet'!$B$15,Paramètres!$A$1:$I$89,3,0)*0.475*44/12</f>
        <v>2.3932358472167403E-13</v>
      </c>
      <c r="EY180" s="22">
        <f t="shared" si="181"/>
        <v>1.3077925169602989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234.00000000000003</v>
      </c>
      <c r="FF180" s="17">
        <f>FE180*VLOOKUP('Données projet'!$B$16,Paramètres!$A$1:$I$89,3,0)*VLOOKUP('Données projet'!$B$16,Paramètres!$A$1:$I$89,5,0)</f>
        <v>189.82080000000005</v>
      </c>
      <c r="FG180" s="13">
        <f t="shared" si="182"/>
        <v>47.500332100049796</v>
      </c>
      <c r="FH180" s="20">
        <f t="shared" si="183"/>
        <v>413.33430507425345</v>
      </c>
      <c r="FI180" s="59">
        <f t="shared" si="131"/>
        <v>706.66763840758676</v>
      </c>
      <c r="FJ180" s="59">
        <f ca="1">AVERAGE(OFFSET($FI$3,0,0,'Données projet'!$E$16+1,1))-AVERAGE(OFFSET($H$3,0,0,'Données projet'!$E$16+1,1))</f>
        <v>272.90535195666996</v>
      </c>
      <c r="FK180" s="59">
        <f t="shared" si="156"/>
        <v>222.25422164416898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0.83462808226487406</v>
      </c>
      <c r="FR180" s="21">
        <f>EXP(-LN(2)/25)*FR179+(1-EXP(-LN(2)/25))/(LN(2)/25)*Calculateur!FM180*Calculateur!FO180*VLOOKUP('Données projet'!$B$16,Paramètres!$A$1:$I$89,3,0)*0.475*44/12</f>
        <v>1.1038150411813346</v>
      </c>
      <c r="FS180" s="21">
        <f>EXP(-LN(2)/2)*FS179+(1-EXP(-LN(2)/2))/(LN(2)/2)*FM180*FP180*VLOOKUP('Données projet'!$B$16,Paramètres!$A$1:$I$89,3,0)*0.475*44/12</f>
        <v>1.0884749264576364E-13</v>
      </c>
      <c r="FT180" s="22">
        <f t="shared" si="184"/>
        <v>1.9384431234463175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293.33333333334531</v>
      </c>
      <c r="S181" s="59">
        <f ca="1">AVERAGE(OFFSET($R$3,0,0,'Données projet'!$E$9+1,1))-AVERAGE(OFFSET($H$3,0,0,'Données projet'!$E$9+1,1))</f>
        <v>384.05928630855732</v>
      </c>
      <c r="T181" s="59">
        <f t="shared" si="142"/>
        <v>279.93992813630513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304.99999999999983</v>
      </c>
      <c r="AJ181" s="13">
        <f>AI181*VLOOKUP('Données projet'!$B$10,Paramètres!$A$1:$I$89,3,0)*VLOOKUP('Données projet'!$B$10,Paramètres!$A$1:$I$89,5,0)</f>
        <v>275.96399999999983</v>
      </c>
      <c r="AK181" s="13">
        <f t="shared" si="164"/>
        <v>66.113366665488854</v>
      </c>
      <c r="AL181" s="20">
        <f t="shared" si="165"/>
        <v>595.78474694239264</v>
      </c>
      <c r="AM181" s="59">
        <f t="shared" si="113"/>
        <v>889.11808027572602</v>
      </c>
      <c r="AN181" s="59">
        <f ca="1">AVERAGE(OFFSET($AM$3,0,0,'Données projet'!$E$10+1,1))-AVERAGE(OFFSET($H$3,0,0,'Données projet'!$E$10+1,1))</f>
        <v>366.69125512029831</v>
      </c>
      <c r="AO181" s="59">
        <f t="shared" si="144"/>
        <v>513.80016421153414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8.6215667526632248E-2</v>
      </c>
      <c r="AV181" s="21">
        <f>EXP(-LN(2)/25)*AV180+(1-EXP(-LN(2)/25))/(LN(2)/25)*Calculateur!AQ181*Calculateur!AS181*VLOOKUP('Données projet'!$B$10,Paramètres!$A$1:$I$89,3,0)*0.475*44/12</f>
        <v>0.12193701243906424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0.20815267996569647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212.28480000000002</v>
      </c>
      <c r="BF181" s="13">
        <f t="shared" si="167"/>
        <v>52.434557099704193</v>
      </c>
      <c r="BG181" s="20">
        <f t="shared" si="168"/>
        <v>461.05288028198476</v>
      </c>
      <c r="BH181" s="59">
        <f t="shared" si="116"/>
        <v>754.38621361531807</v>
      </c>
      <c r="BI181" s="59">
        <f ca="1">AVERAGE(OFFSET($BH$3,0,0,'Données projet'!$E$11+1,1))-AVERAGE(OFFSET($H$3,0,0,'Données projet'!$E$11+1,1))</f>
        <v>354.24684313982857</v>
      </c>
      <c r="BJ181" s="59">
        <f t="shared" si="146"/>
        <v>322.65043486962185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5.8148517859671029</v>
      </c>
      <c r="BQ181" s="21">
        <f>EXP(-LN(2)/25)*BQ180+(1-EXP(-LN(2)/25))/(LN(2)/25)*Calculateur!BL181*Calculateur!BN181*VLOOKUP('Données projet'!$B$11,Paramètres!$A$1:$I$89,3,0)*0.475*44/12</f>
        <v>1.7127604578149429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7.5276122437820456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5.4978954722173515E-13</v>
      </c>
      <c r="CA181" s="13">
        <f t="shared" si="170"/>
        <v>6.7731340873355904E-12</v>
      </c>
      <c r="CB181" s="20">
        <f t="shared" si="171"/>
        <v>1.2754091996854009E-11</v>
      </c>
      <c r="CC181" s="59">
        <f t="shared" si="119"/>
        <v>293.33333333334605</v>
      </c>
      <c r="CD181" s="59">
        <f ca="1">AVERAGE(OFFSET($CC$3,0,0,'Données projet'!$E$12+1,1))-AVERAGE(OFFSET($H$3,0,0,'Données projet'!$E$12+1,1))</f>
        <v>407.73540492005355</v>
      </c>
      <c r="CE181" s="59">
        <f t="shared" si="148"/>
        <v>296.29416764204774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72.058217025577321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72.058217025577321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266.99999999999983</v>
      </c>
      <c r="CU181" s="17">
        <f>CT181*VLOOKUP('Données projet'!$B$13,Paramètres!$A$1:$I$89,3,0)*VLOOKUP('Données projet'!$B$13,Paramètres!$A$1:$I$89,5,0)</f>
        <v>212.42519999999985</v>
      </c>
      <c r="CV181" s="13">
        <f t="shared" si="173"/>
        <v>52.465198231787184</v>
      </c>
      <c r="CW181" s="20">
        <f t="shared" si="174"/>
        <v>461.35077692036231</v>
      </c>
      <c r="CX181" s="59">
        <f t="shared" si="122"/>
        <v>754.68411025369562</v>
      </c>
      <c r="CY181" s="59">
        <f ca="1">AVERAGE(OFFSET($CX$3,0,0,'Données projet'!$E$13+1,1))-AVERAGE(OFFSET($H$3,0,0,'Données projet'!$E$13+1,1))</f>
        <v>299.10536994156814</v>
      </c>
      <c r="CZ181" s="59">
        <f t="shared" si="150"/>
        <v>292.57799203101769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4.1340680401877536</v>
      </c>
      <c r="DG181" s="21">
        <f>EXP(-LN(2)/25)*DG180+(1-EXP(-LN(2)/25))/(LN(2)/25)*Calculateur!DB181*Calculateur!DD181*VLOOKUP('Données projet'!$B$13,Paramètres!$A$1:$I$89,3,0)*0.475*44/12</f>
        <v>0.55023868284351707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4.6843067230312707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266.99999999999983</v>
      </c>
      <c r="DP181" s="17">
        <f>DO181*VLOOKUP('Données projet'!$B$14,Paramètres!$A$1:$I$89,3,0)*VLOOKUP('Données projet'!$B$14,Paramètres!$A$1:$I$89,5,0)</f>
        <v>212.42519999999985</v>
      </c>
      <c r="DQ181" s="13">
        <f t="shared" si="176"/>
        <v>52.465198231787184</v>
      </c>
      <c r="DR181" s="20">
        <f t="shared" si="177"/>
        <v>461.35077692036231</v>
      </c>
      <c r="DS181" s="59">
        <f t="shared" si="125"/>
        <v>754.68411025369562</v>
      </c>
      <c r="DT181" s="59">
        <f ca="1">AVERAGE(OFFSET($DS$3,0,0,'Données projet'!$E$14+1,1))-AVERAGE(OFFSET($H$3,0,0,'Données projet'!$E$14+1,1))</f>
        <v>299.10536994156814</v>
      </c>
      <c r="DU181" s="59">
        <f t="shared" si="152"/>
        <v>292.57799203101769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4.1340680401877536</v>
      </c>
      <c r="EB181" s="21">
        <f>EXP(-LN(2)/25)*EB180+(1-EXP(-LN(2)/25))/(LN(2)/25)*Calculateur!DW181*Calculateur!DY181*VLOOKUP('Données projet'!$B$14,Paramètres!$A$1:$I$89,3,0)*0.475*44/12</f>
        <v>0.55023868284351707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4.6843067230312707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204.00000000000017</v>
      </c>
      <c r="EK181" s="17">
        <f>EJ181*VLOOKUP('Données projet'!$B$15,Paramètres!$A$1:$I$89,3,0)*VLOOKUP('Données projet'!$B$15,Paramètres!$A$1:$I$89,5,0)</f>
        <v>133.66080000000011</v>
      </c>
      <c r="EL181" s="13">
        <f t="shared" si="179"/>
        <v>34.840890682716783</v>
      </c>
      <c r="EM181" s="20">
        <f t="shared" si="180"/>
        <v>293.4737779390652</v>
      </c>
      <c r="EN181" s="59">
        <f t="shared" si="128"/>
        <v>586.80711127239852</v>
      </c>
      <c r="EO181" s="59">
        <f ca="1">AVERAGE(OFFSET($EN$3,0,0,'Données projet'!$E$15+1,1))-AVERAGE(OFFSET($H$3,0,0,'Données projet'!$E$15+1,1))</f>
        <v>230.58262378842818</v>
      </c>
      <c r="EP181" s="59">
        <f t="shared" si="154"/>
        <v>235.68746142880792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0.33424775487545227</v>
      </c>
      <c r="EW181" s="21">
        <f>EXP(-LN(2)/25)*EW180+(1-EXP(-LN(2)/25))/(LN(2)/25)*Calculateur!ER181*Calculateur!ET181*VLOOKUP('Données projet'!$B$15,Paramètres!$A$1:$I$89,3,0)*0.475*44/12</f>
        <v>0.94042045148481179</v>
      </c>
      <c r="EX181" s="21">
        <f>EXP(-LN(2)/2)*EX180+(1-EXP(-LN(2)/2))/(LN(2)/2)*ER181*EU181*VLOOKUP('Données projet'!$B$15,Paramètres!$A$1:$I$89,3,0)*0.475*44/12</f>
        <v>1.6922732965456893E-13</v>
      </c>
      <c r="EY181" s="22">
        <f t="shared" si="181"/>
        <v>1.2746682063604333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234.00000000000003</v>
      </c>
      <c r="FF181" s="17">
        <f>FE181*VLOOKUP('Données projet'!$B$16,Paramètres!$A$1:$I$89,3,0)*VLOOKUP('Données projet'!$B$16,Paramètres!$A$1:$I$89,5,0)</f>
        <v>189.82080000000005</v>
      </c>
      <c r="FG181" s="13">
        <f t="shared" si="182"/>
        <v>47.500332100049796</v>
      </c>
      <c r="FH181" s="20">
        <f t="shared" si="183"/>
        <v>413.33430507425345</v>
      </c>
      <c r="FI181" s="59">
        <f t="shared" si="131"/>
        <v>706.66763840758676</v>
      </c>
      <c r="FJ181" s="59">
        <f ca="1">AVERAGE(OFFSET($FI$3,0,0,'Données projet'!$E$16+1,1))-AVERAGE(OFFSET($H$3,0,0,'Données projet'!$E$16+1,1))</f>
        <v>272.90535195666996</v>
      </c>
      <c r="FK181" s="59">
        <f t="shared" si="156"/>
        <v>222.25422164416898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0.81826153464452334</v>
      </c>
      <c r="FR181" s="21">
        <f>EXP(-LN(2)/25)*FR180+(1-EXP(-LN(2)/25))/(LN(2)/25)*Calculateur!FM181*Calculateur!FO181*VLOOKUP('Données projet'!$B$16,Paramètres!$A$1:$I$89,3,0)*0.475*44/12</f>
        <v>1.0736311608331208</v>
      </c>
      <c r="FS181" s="21">
        <f>EXP(-LN(2)/2)*FS180+(1-EXP(-LN(2)/2))/(LN(2)/2)*FM181*FP181*VLOOKUP('Données projet'!$B$16,Paramètres!$A$1:$I$89,3,0)*0.475*44/12</f>
        <v>7.696680016497233E-14</v>
      </c>
      <c r="FT181" s="22">
        <f t="shared" si="184"/>
        <v>1.8918926954777213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293.33333333334531</v>
      </c>
      <c r="S182" s="59">
        <f ca="1">AVERAGE(OFFSET($R$3,0,0,'Données projet'!$E$9+1,1))-AVERAGE(OFFSET($H$3,0,0,'Données projet'!$E$9+1,1))</f>
        <v>384.05928630855732</v>
      </c>
      <c r="T182" s="59">
        <f t="shared" si="142"/>
        <v>279.93992813630513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304.99999999999983</v>
      </c>
      <c r="AJ182" s="13">
        <f>AI182*VLOOKUP('Données projet'!$B$10,Paramètres!$A$1:$I$89,3,0)*VLOOKUP('Données projet'!$B$10,Paramètres!$A$1:$I$89,5,0)</f>
        <v>275.96399999999983</v>
      </c>
      <c r="AK182" s="13">
        <f t="shared" si="164"/>
        <v>66.113366665488854</v>
      </c>
      <c r="AL182" s="20">
        <f t="shared" si="165"/>
        <v>595.78474694239264</v>
      </c>
      <c r="AM182" s="59">
        <f t="shared" si="113"/>
        <v>889.11808027572602</v>
      </c>
      <c r="AN182" s="59">
        <f ca="1">AVERAGE(OFFSET($AM$3,0,0,'Données projet'!$E$10+1,1))-AVERAGE(OFFSET($H$3,0,0,'Données projet'!$E$10+1,1))</f>
        <v>366.69125512029831</v>
      </c>
      <c r="AO182" s="59">
        <f t="shared" si="144"/>
        <v>513.80016421153414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8.4525030872799709E-2</v>
      </c>
      <c r="AV182" s="21">
        <f>EXP(-LN(2)/25)*AV181+(1-EXP(-LN(2)/25))/(LN(2)/25)*Calculateur!AQ182*Calculateur!AS182*VLOOKUP('Données projet'!$B$10,Paramètres!$A$1:$I$89,3,0)*0.475*44/12</f>
        <v>0.11860263842152924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0.20312766929432896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212.28480000000002</v>
      </c>
      <c r="BF182" s="13">
        <f t="shared" si="167"/>
        <v>52.434557099704193</v>
      </c>
      <c r="BG182" s="20">
        <f t="shared" si="168"/>
        <v>461.05288028198476</v>
      </c>
      <c r="BH182" s="59">
        <f t="shared" si="116"/>
        <v>754.38621361531807</v>
      </c>
      <c r="BI182" s="59">
        <f ca="1">AVERAGE(OFFSET($BH$3,0,0,'Données projet'!$E$11+1,1))-AVERAGE(OFFSET($H$3,0,0,'Données projet'!$E$11+1,1))</f>
        <v>354.24684313982857</v>
      </c>
      <c r="BJ182" s="59">
        <f t="shared" si="146"/>
        <v>322.65043486962185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5.7008260891536686</v>
      </c>
      <c r="BQ182" s="21">
        <f>EXP(-LN(2)/25)*BQ181+(1-EXP(-LN(2)/25))/(LN(2)/25)*Calculateur!BL182*Calculateur!BN182*VLOOKUP('Données projet'!$B$11,Paramètres!$A$1:$I$89,3,0)*0.475*44/12</f>
        <v>1.6659249330258354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7.3667510221795043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5.4978954722173515E-13</v>
      </c>
      <c r="CA182" s="13">
        <f t="shared" si="170"/>
        <v>6.7731340873355904E-12</v>
      </c>
      <c r="CB182" s="20">
        <f t="shared" si="171"/>
        <v>1.2754091996854009E-11</v>
      </c>
      <c r="CC182" s="59">
        <f t="shared" si="119"/>
        <v>293.33333333334605</v>
      </c>
      <c r="CD182" s="59">
        <f ca="1">AVERAGE(OFFSET($CC$3,0,0,'Données projet'!$E$12+1,1))-AVERAGE(OFFSET($H$3,0,0,'Données projet'!$E$12+1,1))</f>
        <v>407.73540492005355</v>
      </c>
      <c r="CE182" s="59">
        <f t="shared" si="148"/>
        <v>296.29416764204774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70.645199340878321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70.645199340878321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266.99999999999983</v>
      </c>
      <c r="CU182" s="17">
        <f>CT182*VLOOKUP('Données projet'!$B$13,Paramètres!$A$1:$I$89,3,0)*VLOOKUP('Données projet'!$B$13,Paramètres!$A$1:$I$89,5,0)</f>
        <v>212.42519999999985</v>
      </c>
      <c r="CV182" s="13">
        <f t="shared" si="173"/>
        <v>52.465198231787184</v>
      </c>
      <c r="CW182" s="20">
        <f t="shared" si="174"/>
        <v>461.35077692036231</v>
      </c>
      <c r="CX182" s="59">
        <f t="shared" si="122"/>
        <v>754.68411025369562</v>
      </c>
      <c r="CY182" s="59">
        <f ca="1">AVERAGE(OFFSET($CX$3,0,0,'Données projet'!$E$13+1,1))-AVERAGE(OFFSET($H$3,0,0,'Données projet'!$E$13+1,1))</f>
        <v>299.10536994156814</v>
      </c>
      <c r="CZ182" s="59">
        <f t="shared" si="150"/>
        <v>292.57799203101769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4.053001487452196</v>
      </c>
      <c r="DG182" s="21">
        <f>EXP(-LN(2)/25)*DG181+(1-EXP(-LN(2)/25))/(LN(2)/25)*Calculateur!DB182*Calculateur!DD182*VLOOKUP('Données projet'!$B$13,Paramètres!$A$1:$I$89,3,0)*0.475*44/12</f>
        <v>0.53519237712536638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4.588193864577562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266.99999999999983</v>
      </c>
      <c r="DP182" s="17">
        <f>DO182*VLOOKUP('Données projet'!$B$14,Paramètres!$A$1:$I$89,3,0)*VLOOKUP('Données projet'!$B$14,Paramètres!$A$1:$I$89,5,0)</f>
        <v>212.42519999999985</v>
      </c>
      <c r="DQ182" s="13">
        <f t="shared" si="176"/>
        <v>52.465198231787184</v>
      </c>
      <c r="DR182" s="20">
        <f t="shared" si="177"/>
        <v>461.35077692036231</v>
      </c>
      <c r="DS182" s="59">
        <f t="shared" si="125"/>
        <v>754.68411025369562</v>
      </c>
      <c r="DT182" s="59">
        <f ca="1">AVERAGE(OFFSET($DS$3,0,0,'Données projet'!$E$14+1,1))-AVERAGE(OFFSET($H$3,0,0,'Données projet'!$E$14+1,1))</f>
        <v>299.10536994156814</v>
      </c>
      <c r="DU182" s="59">
        <f t="shared" si="152"/>
        <v>292.57799203101769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4.053001487452196</v>
      </c>
      <c r="EB182" s="21">
        <f>EXP(-LN(2)/25)*EB181+(1-EXP(-LN(2)/25))/(LN(2)/25)*Calculateur!DW182*Calculateur!DY182*VLOOKUP('Données projet'!$B$14,Paramètres!$A$1:$I$89,3,0)*0.475*44/12</f>
        <v>0.53519237712536638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4.588193864577562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204.00000000000017</v>
      </c>
      <c r="EK182" s="17">
        <f>EJ182*VLOOKUP('Données projet'!$B$15,Paramètres!$A$1:$I$89,3,0)*VLOOKUP('Données projet'!$B$15,Paramètres!$A$1:$I$89,5,0)</f>
        <v>133.66080000000011</v>
      </c>
      <c r="EL182" s="13">
        <f t="shared" si="179"/>
        <v>34.840890682716783</v>
      </c>
      <c r="EM182" s="20">
        <f t="shared" si="180"/>
        <v>293.4737779390652</v>
      </c>
      <c r="EN182" s="59">
        <f t="shared" si="128"/>
        <v>586.80711127239852</v>
      </c>
      <c r="EO182" s="59">
        <f ca="1">AVERAGE(OFFSET($EN$3,0,0,'Données projet'!$E$15+1,1))-AVERAGE(OFFSET($H$3,0,0,'Données projet'!$E$15+1,1))</f>
        <v>230.58262378842818</v>
      </c>
      <c r="EP182" s="59">
        <f t="shared" si="154"/>
        <v>235.68746142880792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0.32769336027334456</v>
      </c>
      <c r="EW182" s="21">
        <f>EXP(-LN(2)/25)*EW181+(1-EXP(-LN(2)/25))/(LN(2)/25)*Calculateur!ER182*Calculateur!ET182*VLOOKUP('Données projet'!$B$15,Paramètres!$A$1:$I$89,3,0)*0.475*44/12</f>
        <v>0.91470460478439741</v>
      </c>
      <c r="EX182" s="21">
        <f>EXP(-LN(2)/2)*EX181+(1-EXP(-LN(2)/2))/(LN(2)/2)*ER182*EU182*VLOOKUP('Données projet'!$B$15,Paramètres!$A$1:$I$89,3,0)*0.475*44/12</f>
        <v>1.1966179236083702E-13</v>
      </c>
      <c r="EY182" s="22">
        <f t="shared" si="181"/>
        <v>1.2423979650578616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234.00000000000003</v>
      </c>
      <c r="FF182" s="17">
        <f>FE182*VLOOKUP('Données projet'!$B$16,Paramètres!$A$1:$I$89,3,0)*VLOOKUP('Données projet'!$B$16,Paramètres!$A$1:$I$89,5,0)</f>
        <v>189.82080000000005</v>
      </c>
      <c r="FG182" s="13">
        <f t="shared" si="182"/>
        <v>47.500332100049796</v>
      </c>
      <c r="FH182" s="20">
        <f t="shared" si="183"/>
        <v>413.33430507425345</v>
      </c>
      <c r="FI182" s="59">
        <f t="shared" si="131"/>
        <v>706.66763840758676</v>
      </c>
      <c r="FJ182" s="59">
        <f ca="1">AVERAGE(OFFSET($FI$3,0,0,'Données projet'!$E$16+1,1))-AVERAGE(OFFSET($H$3,0,0,'Données projet'!$E$16+1,1))</f>
        <v>272.90535195666996</v>
      </c>
      <c r="FK182" s="59">
        <f t="shared" si="156"/>
        <v>222.25422164416898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0.80221592504039929</v>
      </c>
      <c r="FR182" s="21">
        <f>EXP(-LN(2)/25)*FR181+(1-EXP(-LN(2)/25))/(LN(2)/25)*Calculateur!FM182*Calculateur!FO182*VLOOKUP('Données projet'!$B$16,Paramètres!$A$1:$I$89,3,0)*0.475*44/12</f>
        <v>1.0442726602803303</v>
      </c>
      <c r="FS182" s="21">
        <f>EXP(-LN(2)/2)*FS181+(1-EXP(-LN(2)/2))/(LN(2)/2)*FM182*FP182*VLOOKUP('Données projet'!$B$16,Paramètres!$A$1:$I$89,3,0)*0.475*44/12</f>
        <v>5.442374632288182E-14</v>
      </c>
      <c r="FT182" s="22">
        <f t="shared" si="184"/>
        <v>1.846488585320784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293.33333333334531</v>
      </c>
      <c r="S183" s="59">
        <f ca="1">AVERAGE(OFFSET($R$3,0,0,'Données projet'!$E$9+1,1))-AVERAGE(OFFSET($H$3,0,0,'Données projet'!$E$9+1,1))</f>
        <v>384.05928630855732</v>
      </c>
      <c r="T183" s="59">
        <f t="shared" si="142"/>
        <v>279.93992813630513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304.99999999999983</v>
      </c>
      <c r="AJ183" s="13">
        <f>AI183*VLOOKUP('Données projet'!$B$10,Paramètres!$A$1:$I$89,3,0)*VLOOKUP('Données projet'!$B$10,Paramètres!$A$1:$I$89,5,0)</f>
        <v>275.96399999999983</v>
      </c>
      <c r="AK183" s="13">
        <f t="shared" si="164"/>
        <v>66.113366665488854</v>
      </c>
      <c r="AL183" s="20">
        <f t="shared" si="165"/>
        <v>595.78474694239264</v>
      </c>
      <c r="AM183" s="59">
        <f t="shared" si="113"/>
        <v>889.11808027572602</v>
      </c>
      <c r="AN183" s="59">
        <f ca="1">AVERAGE(OFFSET($AM$3,0,0,'Données projet'!$E$10+1,1))-AVERAGE(OFFSET($H$3,0,0,'Données projet'!$E$10+1,1))</f>
        <v>366.69125512029831</v>
      </c>
      <c r="AO183" s="59">
        <f t="shared" si="144"/>
        <v>513.80016421153414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8.286754657256229E-2</v>
      </c>
      <c r="AV183" s="21">
        <f>EXP(-LN(2)/25)*AV182+(1-EXP(-LN(2)/25))/(LN(2)/25)*Calculateur!AQ183*Calculateur!AS183*VLOOKUP('Données projet'!$B$10,Paramètres!$A$1:$I$89,3,0)*0.475*44/12</f>
        <v>0.11535944303685083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0.19822698960941312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212.28480000000002</v>
      </c>
      <c r="BF183" s="13">
        <f t="shared" si="167"/>
        <v>52.434557099704193</v>
      </c>
      <c r="BG183" s="20">
        <f t="shared" si="168"/>
        <v>461.05288028198476</v>
      </c>
      <c r="BH183" s="59">
        <f t="shared" si="116"/>
        <v>754.38621361531807</v>
      </c>
      <c r="BI183" s="59">
        <f ca="1">AVERAGE(OFFSET($BH$3,0,0,'Données projet'!$E$11+1,1))-AVERAGE(OFFSET($H$3,0,0,'Données projet'!$E$11+1,1))</f>
        <v>354.24684313982857</v>
      </c>
      <c r="BJ183" s="59">
        <f t="shared" si="146"/>
        <v>322.65043486962185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5.5890363667059386</v>
      </c>
      <c r="BQ183" s="21">
        <f>EXP(-LN(2)/25)*BQ182+(1-EXP(-LN(2)/25))/(LN(2)/25)*Calculateur!BL183*Calculateur!BN183*VLOOKUP('Données projet'!$B$11,Paramètres!$A$1:$I$89,3,0)*0.475*44/12</f>
        <v>1.6203701281250593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7.2094064948309979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5.4978954722173515E-13</v>
      </c>
      <c r="CA183" s="13">
        <f t="shared" si="170"/>
        <v>6.7731340873355904E-12</v>
      </c>
      <c r="CB183" s="20">
        <f t="shared" si="171"/>
        <v>1.2754091996854009E-11</v>
      </c>
      <c r="CC183" s="59">
        <f t="shared" si="119"/>
        <v>293.33333333334605</v>
      </c>
      <c r="CD183" s="59">
        <f ca="1">AVERAGE(OFFSET($CC$3,0,0,'Données projet'!$E$12+1,1))-AVERAGE(OFFSET($H$3,0,0,'Données projet'!$E$12+1,1))</f>
        <v>407.73540492005355</v>
      </c>
      <c r="CE183" s="59">
        <f t="shared" si="148"/>
        <v>296.29416764204774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69.25989007112058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69.25989007112058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266.99999999999983</v>
      </c>
      <c r="CU183" s="17">
        <f>CT183*VLOOKUP('Données projet'!$B$13,Paramètres!$A$1:$I$89,3,0)*VLOOKUP('Données projet'!$B$13,Paramètres!$A$1:$I$89,5,0)</f>
        <v>212.42519999999985</v>
      </c>
      <c r="CV183" s="13">
        <f t="shared" si="173"/>
        <v>52.465198231787184</v>
      </c>
      <c r="CW183" s="20">
        <f t="shared" si="174"/>
        <v>461.35077692036231</v>
      </c>
      <c r="CX183" s="59">
        <f t="shared" si="122"/>
        <v>754.68411025369562</v>
      </c>
      <c r="CY183" s="59">
        <f ca="1">AVERAGE(OFFSET($CX$3,0,0,'Données projet'!$E$13+1,1))-AVERAGE(OFFSET($H$3,0,0,'Données projet'!$E$13+1,1))</f>
        <v>299.10536994156814</v>
      </c>
      <c r="CZ183" s="59">
        <f t="shared" si="150"/>
        <v>292.57799203101769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3.9735246003700677</v>
      </c>
      <c r="DG183" s="21">
        <f>EXP(-LN(2)/25)*DG182+(1-EXP(-LN(2)/25))/(LN(2)/25)*Calculateur!DB183*Calculateur!DD183*VLOOKUP('Données projet'!$B$13,Paramètres!$A$1:$I$89,3,0)*0.475*44/12</f>
        <v>0.52055751342832934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4.4940821137983971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266.99999999999983</v>
      </c>
      <c r="DP183" s="17">
        <f>DO183*VLOOKUP('Données projet'!$B$14,Paramètres!$A$1:$I$89,3,0)*VLOOKUP('Données projet'!$B$14,Paramètres!$A$1:$I$89,5,0)</f>
        <v>212.42519999999985</v>
      </c>
      <c r="DQ183" s="13">
        <f t="shared" si="176"/>
        <v>52.465198231787184</v>
      </c>
      <c r="DR183" s="20">
        <f t="shared" si="177"/>
        <v>461.35077692036231</v>
      </c>
      <c r="DS183" s="59">
        <f t="shared" si="125"/>
        <v>754.68411025369562</v>
      </c>
      <c r="DT183" s="59">
        <f ca="1">AVERAGE(OFFSET($DS$3,0,0,'Données projet'!$E$14+1,1))-AVERAGE(OFFSET($H$3,0,0,'Données projet'!$E$14+1,1))</f>
        <v>299.10536994156814</v>
      </c>
      <c r="DU183" s="59">
        <f t="shared" si="152"/>
        <v>292.57799203101769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3.9735246003700677</v>
      </c>
      <c r="EB183" s="21">
        <f>EXP(-LN(2)/25)*EB182+(1-EXP(-LN(2)/25))/(LN(2)/25)*Calculateur!DW183*Calculateur!DY183*VLOOKUP('Données projet'!$B$14,Paramètres!$A$1:$I$89,3,0)*0.475*44/12</f>
        <v>0.52055751342832934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4.4940821137983971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204.00000000000017</v>
      </c>
      <c r="EK183" s="17">
        <f>EJ183*VLOOKUP('Données projet'!$B$15,Paramètres!$A$1:$I$89,3,0)*VLOOKUP('Données projet'!$B$15,Paramètres!$A$1:$I$89,5,0)</f>
        <v>133.66080000000011</v>
      </c>
      <c r="EL183" s="13">
        <f t="shared" si="179"/>
        <v>34.840890682716783</v>
      </c>
      <c r="EM183" s="20">
        <f t="shared" si="180"/>
        <v>293.4737779390652</v>
      </c>
      <c r="EN183" s="59">
        <f t="shared" si="128"/>
        <v>586.80711127239852</v>
      </c>
      <c r="EO183" s="59">
        <f ca="1">AVERAGE(OFFSET($EN$3,0,0,'Données projet'!$E$15+1,1))-AVERAGE(OFFSET($H$3,0,0,'Données projet'!$E$15+1,1))</f>
        <v>230.58262378842818</v>
      </c>
      <c r="EP183" s="59">
        <f t="shared" si="154"/>
        <v>235.68746142880792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0.32126749335159821</v>
      </c>
      <c r="EW183" s="21">
        <f>EXP(-LN(2)/25)*EW182+(1-EXP(-LN(2)/25))/(LN(2)/25)*Calculateur!ER183*Calculateur!ET183*VLOOKUP('Données projet'!$B$15,Paramètres!$A$1:$I$89,3,0)*0.475*44/12</f>
        <v>0.88969195926434352</v>
      </c>
      <c r="EX183" s="21">
        <f>EXP(-LN(2)/2)*EX182+(1-EXP(-LN(2)/2))/(LN(2)/2)*ER183*EU183*VLOOKUP('Données projet'!$B$15,Paramètres!$A$1:$I$89,3,0)*0.475*44/12</f>
        <v>8.4613664827284466E-14</v>
      </c>
      <c r="EY183" s="22">
        <f t="shared" si="181"/>
        <v>1.2109594526160263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234.00000000000003</v>
      </c>
      <c r="FF183" s="17">
        <f>FE183*VLOOKUP('Données projet'!$B$16,Paramètres!$A$1:$I$89,3,0)*VLOOKUP('Données projet'!$B$16,Paramètres!$A$1:$I$89,5,0)</f>
        <v>189.82080000000005</v>
      </c>
      <c r="FG183" s="13">
        <f t="shared" si="182"/>
        <v>47.500332100049796</v>
      </c>
      <c r="FH183" s="20">
        <f t="shared" si="183"/>
        <v>413.33430507425345</v>
      </c>
      <c r="FI183" s="59">
        <f t="shared" si="131"/>
        <v>706.66763840758676</v>
      </c>
      <c r="FJ183" s="59">
        <f ca="1">AVERAGE(OFFSET($FI$3,0,0,'Données projet'!$E$16+1,1))-AVERAGE(OFFSET($H$3,0,0,'Données projet'!$E$16+1,1))</f>
        <v>272.90535195666996</v>
      </c>
      <c r="FK183" s="59">
        <f t="shared" si="156"/>
        <v>222.25422164416898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0.78648496005375668</v>
      </c>
      <c r="FR183" s="21">
        <f>EXP(-LN(2)/25)*FR182+(1-EXP(-LN(2)/25))/(LN(2)/25)*Calculateur!FM183*Calculateur!FO183*VLOOKUP('Données projet'!$B$16,Paramètres!$A$1:$I$89,3,0)*0.475*44/12</f>
        <v>1.0157169694690522</v>
      </c>
      <c r="FS183" s="21">
        <f>EXP(-LN(2)/2)*FS182+(1-EXP(-LN(2)/2))/(LN(2)/2)*FM183*FP183*VLOOKUP('Données projet'!$B$16,Paramètres!$A$1:$I$89,3,0)*0.475*44/12</f>
        <v>3.8483400082486165E-14</v>
      </c>
      <c r="FT183" s="22">
        <f t="shared" si="184"/>
        <v>1.8022019295228473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293.33333333334531</v>
      </c>
      <c r="S184" s="59">
        <f ca="1">AVERAGE(OFFSET($R$3,0,0,'Données projet'!$E$9+1,1))-AVERAGE(OFFSET($H$3,0,0,'Données projet'!$E$9+1,1))</f>
        <v>384.05928630855732</v>
      </c>
      <c r="T184" s="59">
        <f t="shared" si="142"/>
        <v>279.93992813630513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304.99999999999983</v>
      </c>
      <c r="AJ184" s="13">
        <f>AI184*VLOOKUP('Données projet'!$B$10,Paramètres!$A$1:$I$89,3,0)*VLOOKUP('Données projet'!$B$10,Paramètres!$A$1:$I$89,5,0)</f>
        <v>275.96399999999983</v>
      </c>
      <c r="AK184" s="13">
        <f t="shared" si="164"/>
        <v>66.113366665488854</v>
      </c>
      <c r="AL184" s="20">
        <f t="shared" si="165"/>
        <v>595.78474694239264</v>
      </c>
      <c r="AM184" s="59">
        <f t="shared" si="113"/>
        <v>889.11808027572602</v>
      </c>
      <c r="AN184" s="59">
        <f ca="1">AVERAGE(OFFSET($AM$3,0,0,'Données projet'!$E$10+1,1))-AVERAGE(OFFSET($H$3,0,0,'Données projet'!$E$10+1,1))</f>
        <v>366.69125512029831</v>
      </c>
      <c r="AO184" s="59">
        <f t="shared" si="144"/>
        <v>513.80016421153414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8.1242564528486924E-2</v>
      </c>
      <c r="AV184" s="21">
        <f>EXP(-LN(2)/25)*AV183+(1-EXP(-LN(2)/25))/(LN(2)/25)*Calculateur!AQ184*Calculateur!AS184*VLOOKUP('Données projet'!$B$10,Paramètres!$A$1:$I$89,3,0)*0.475*44/12</f>
        <v>0.1122049330005187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0.19344749752900564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212.28480000000002</v>
      </c>
      <c r="BF184" s="13">
        <f t="shared" si="167"/>
        <v>52.434557099704193</v>
      </c>
      <c r="BG184" s="20">
        <f t="shared" si="168"/>
        <v>461.05288028198476</v>
      </c>
      <c r="BH184" s="59">
        <f t="shared" si="116"/>
        <v>754.38621361531807</v>
      </c>
      <c r="BI184" s="59">
        <f ca="1">AVERAGE(OFFSET($BH$3,0,0,'Données projet'!$E$11+1,1))-AVERAGE(OFFSET($H$3,0,0,'Données projet'!$E$11+1,1))</f>
        <v>354.24684313982857</v>
      </c>
      <c r="BJ184" s="59">
        <f t="shared" si="146"/>
        <v>322.65043486962185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5.4794387725304103</v>
      </c>
      <c r="BQ184" s="21">
        <f>EXP(-LN(2)/25)*BQ183+(1-EXP(-LN(2)/25))/(LN(2)/25)*Calculateur!BL184*Calculateur!BN184*VLOOKUP('Données projet'!$B$11,Paramètres!$A$1:$I$89,3,0)*0.475*44/12</f>
        <v>1.576061021759918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7.0554997942903288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5.4978954722173515E-13</v>
      </c>
      <c r="CA184" s="13">
        <f t="shared" si="170"/>
        <v>6.7731340873355904E-12</v>
      </c>
      <c r="CB184" s="20">
        <f t="shared" si="171"/>
        <v>1.2754091996854009E-11</v>
      </c>
      <c r="CC184" s="59">
        <f t="shared" si="119"/>
        <v>293.33333333334605</v>
      </c>
      <c r="CD184" s="59">
        <f ca="1">AVERAGE(OFFSET($CC$3,0,0,'Données projet'!$E$12+1,1))-AVERAGE(OFFSET($H$3,0,0,'Données projet'!$E$12+1,1))</f>
        <v>407.73540492005355</v>
      </c>
      <c r="CE184" s="59">
        <f t="shared" si="148"/>
        <v>296.29416764204774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67.901745871187558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67.901745871187558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266.99999999999983</v>
      </c>
      <c r="CU184" s="17">
        <f>CT184*VLOOKUP('Données projet'!$B$13,Paramètres!$A$1:$I$89,3,0)*VLOOKUP('Données projet'!$B$13,Paramètres!$A$1:$I$89,5,0)</f>
        <v>212.42519999999985</v>
      </c>
      <c r="CV184" s="13">
        <f t="shared" si="173"/>
        <v>52.465198231787184</v>
      </c>
      <c r="CW184" s="20">
        <f t="shared" si="174"/>
        <v>461.35077692036231</v>
      </c>
      <c r="CX184" s="59">
        <f t="shared" si="122"/>
        <v>754.68411025369562</v>
      </c>
      <c r="CY184" s="59">
        <f ca="1">AVERAGE(OFFSET($CX$3,0,0,'Données projet'!$E$13+1,1))-AVERAGE(OFFSET($H$3,0,0,'Données projet'!$E$13+1,1))</f>
        <v>299.10536994156814</v>
      </c>
      <c r="CZ184" s="59">
        <f t="shared" si="150"/>
        <v>292.57799203101769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3.8956062065675052</v>
      </c>
      <c r="DG184" s="21">
        <f>EXP(-LN(2)/25)*DG183+(1-EXP(-LN(2)/25))/(LN(2)/25)*Calculateur!DB184*Calculateur!DD184*VLOOKUP('Données projet'!$B$13,Paramètres!$A$1:$I$89,3,0)*0.475*44/12</f>
        <v>0.50632284084870183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4.4019290474162069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266.99999999999983</v>
      </c>
      <c r="DP184" s="17">
        <f>DO184*VLOOKUP('Données projet'!$B$14,Paramètres!$A$1:$I$89,3,0)*VLOOKUP('Données projet'!$B$14,Paramètres!$A$1:$I$89,5,0)</f>
        <v>212.42519999999985</v>
      </c>
      <c r="DQ184" s="13">
        <f t="shared" si="176"/>
        <v>52.465198231787184</v>
      </c>
      <c r="DR184" s="20">
        <f t="shared" si="177"/>
        <v>461.35077692036231</v>
      </c>
      <c r="DS184" s="59">
        <f t="shared" si="125"/>
        <v>754.68411025369562</v>
      </c>
      <c r="DT184" s="59">
        <f ca="1">AVERAGE(OFFSET($DS$3,0,0,'Données projet'!$E$14+1,1))-AVERAGE(OFFSET($H$3,0,0,'Données projet'!$E$14+1,1))</f>
        <v>299.10536994156814</v>
      </c>
      <c r="DU184" s="59">
        <f t="shared" si="152"/>
        <v>292.57799203101769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3.8956062065675052</v>
      </c>
      <c r="EB184" s="21">
        <f>EXP(-LN(2)/25)*EB183+(1-EXP(-LN(2)/25))/(LN(2)/25)*Calculateur!DW184*Calculateur!DY184*VLOOKUP('Données projet'!$B$14,Paramètres!$A$1:$I$89,3,0)*0.475*44/12</f>
        <v>0.50632284084870183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4.4019290474162069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204.00000000000017</v>
      </c>
      <c r="EK184" s="17">
        <f>EJ184*VLOOKUP('Données projet'!$B$15,Paramètres!$A$1:$I$89,3,0)*VLOOKUP('Données projet'!$B$15,Paramètres!$A$1:$I$89,5,0)</f>
        <v>133.66080000000011</v>
      </c>
      <c r="EL184" s="13">
        <f t="shared" si="179"/>
        <v>34.840890682716783</v>
      </c>
      <c r="EM184" s="20">
        <f t="shared" si="180"/>
        <v>293.4737779390652</v>
      </c>
      <c r="EN184" s="59">
        <f t="shared" si="128"/>
        <v>586.80711127239852</v>
      </c>
      <c r="EO184" s="59">
        <f ca="1">AVERAGE(OFFSET($EN$3,0,0,'Données projet'!$E$15+1,1))-AVERAGE(OFFSET($H$3,0,0,'Données projet'!$E$15+1,1))</f>
        <v>230.58262378842818</v>
      </c>
      <c r="EP184" s="59">
        <f t="shared" si="154"/>
        <v>235.68746142880792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0.31496763376079551</v>
      </c>
      <c r="EW184" s="21">
        <f>EXP(-LN(2)/25)*EW183+(1-EXP(-LN(2)/25))/(LN(2)/25)*Calculateur!ER184*Calculateur!ET184*VLOOKUP('Données projet'!$B$15,Paramètres!$A$1:$I$89,3,0)*0.475*44/12</f>
        <v>0.86536328585139333</v>
      </c>
      <c r="EX184" s="21">
        <f>EXP(-LN(2)/2)*EX183+(1-EXP(-LN(2)/2))/(LN(2)/2)*ER184*EU184*VLOOKUP('Données projet'!$B$15,Paramètres!$A$1:$I$89,3,0)*0.475*44/12</f>
        <v>5.9830896180418508E-14</v>
      </c>
      <c r="EY184" s="22">
        <f t="shared" si="181"/>
        <v>1.1803309196122485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234.00000000000003</v>
      </c>
      <c r="FF184" s="17">
        <f>FE184*VLOOKUP('Données projet'!$B$16,Paramètres!$A$1:$I$89,3,0)*VLOOKUP('Données projet'!$B$16,Paramètres!$A$1:$I$89,5,0)</f>
        <v>189.82080000000005</v>
      </c>
      <c r="FG184" s="13">
        <f t="shared" si="182"/>
        <v>47.500332100049796</v>
      </c>
      <c r="FH184" s="20">
        <f t="shared" si="183"/>
        <v>413.33430507425345</v>
      </c>
      <c r="FI184" s="59">
        <f t="shared" si="131"/>
        <v>706.66763840758676</v>
      </c>
      <c r="FJ184" s="59">
        <f ca="1">AVERAGE(OFFSET($FI$3,0,0,'Données projet'!$E$16+1,1))-AVERAGE(OFFSET($H$3,0,0,'Données projet'!$E$16+1,1))</f>
        <v>272.90535195666996</v>
      </c>
      <c r="FK184" s="59">
        <f t="shared" si="156"/>
        <v>222.25422164416898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0.77106246969556091</v>
      </c>
      <c r="FR184" s="21">
        <f>EXP(-LN(2)/25)*FR183+(1-EXP(-LN(2)/25))/(LN(2)/25)*Calculateur!FM184*Calculateur!FO184*VLOOKUP('Données projet'!$B$16,Paramètres!$A$1:$I$89,3,0)*0.475*44/12</f>
        <v>0.98794213552468702</v>
      </c>
      <c r="FS184" s="21">
        <f>EXP(-LN(2)/2)*FS183+(1-EXP(-LN(2)/2))/(LN(2)/2)*FM184*FP184*VLOOKUP('Données projet'!$B$16,Paramètres!$A$1:$I$89,3,0)*0.475*44/12</f>
        <v>2.721187316144091E-14</v>
      </c>
      <c r="FT184" s="22">
        <f t="shared" si="184"/>
        <v>1.7590046052202752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293.33333333334531</v>
      </c>
      <c r="S185" s="59">
        <f ca="1">AVERAGE(OFFSET($R$3,0,0,'Données projet'!$E$9+1,1))-AVERAGE(OFFSET($H$3,0,0,'Données projet'!$E$9+1,1))</f>
        <v>384.05928630855732</v>
      </c>
      <c r="T185" s="59">
        <f t="shared" si="142"/>
        <v>279.93992813630513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304.99999999999983</v>
      </c>
      <c r="AJ185" s="13">
        <f>AI185*VLOOKUP('Données projet'!$B$10,Paramètres!$A$1:$I$89,3,0)*VLOOKUP('Données projet'!$B$10,Paramètres!$A$1:$I$89,5,0)</f>
        <v>275.96399999999983</v>
      </c>
      <c r="AK185" s="13">
        <f t="shared" si="164"/>
        <v>66.113366665488854</v>
      </c>
      <c r="AL185" s="20">
        <f t="shared" si="165"/>
        <v>595.78474694239264</v>
      </c>
      <c r="AM185" s="59">
        <f t="shared" si="113"/>
        <v>889.11808027572602</v>
      </c>
      <c r="AN185" s="59">
        <f ca="1">AVERAGE(OFFSET($AM$3,0,0,'Données projet'!$E$10+1,1))-AVERAGE(OFFSET($H$3,0,0,'Données projet'!$E$10+1,1))</f>
        <v>366.69125512029831</v>
      </c>
      <c r="AO185" s="59">
        <f t="shared" si="144"/>
        <v>513.80016421153414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7.9649447391154704E-2</v>
      </c>
      <c r="AV185" s="21">
        <f>EXP(-LN(2)/25)*AV184+(1-EXP(-LN(2)/25))/(LN(2)/25)*Calculateur!AQ185*Calculateur!AS185*VLOOKUP('Données projet'!$B$10,Paramètres!$A$1:$I$89,3,0)*0.475*44/12</f>
        <v>0.10913668320701854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0.18878613059817323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212.28480000000002</v>
      </c>
      <c r="BF185" s="13">
        <f t="shared" si="167"/>
        <v>52.434557099704193</v>
      </c>
      <c r="BG185" s="20">
        <f t="shared" si="168"/>
        <v>461.05288028198476</v>
      </c>
      <c r="BH185" s="59">
        <f t="shared" si="116"/>
        <v>754.38621361531807</v>
      </c>
      <c r="BI185" s="59">
        <f ca="1">AVERAGE(OFFSET($BH$3,0,0,'Données projet'!$E$11+1,1))-AVERAGE(OFFSET($H$3,0,0,'Données projet'!$E$11+1,1))</f>
        <v>354.24684313982857</v>
      </c>
      <c r="BJ185" s="59">
        <f t="shared" si="146"/>
        <v>322.65043486962185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5.3719903203287327</v>
      </c>
      <c r="BQ185" s="21">
        <f>EXP(-LN(2)/25)*BQ184+(1-EXP(-LN(2)/25))/(LN(2)/25)*Calculateur!BL185*Calculateur!BN185*VLOOKUP('Données projet'!$B$11,Paramètres!$A$1:$I$89,3,0)*0.475*44/12</f>
        <v>1.532963550238446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6.9049538705671782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5.4978954722173515E-13</v>
      </c>
      <c r="CA185" s="13">
        <f t="shared" si="170"/>
        <v>6.7731340873355904E-12</v>
      </c>
      <c r="CB185" s="20">
        <f t="shared" si="171"/>
        <v>1.2754091996854009E-11</v>
      </c>
      <c r="CC185" s="59">
        <f t="shared" si="119"/>
        <v>293.33333333334605</v>
      </c>
      <c r="CD185" s="59">
        <f ca="1">AVERAGE(OFFSET($CC$3,0,0,'Données projet'!$E$12+1,1))-AVERAGE(OFFSET($H$3,0,0,'Données projet'!$E$12+1,1))</f>
        <v>407.73540492005355</v>
      </c>
      <c r="CE185" s="59">
        <f t="shared" si="148"/>
        <v>296.29416764204774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66.570234050629068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66.570234050629068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266.99999999999983</v>
      </c>
      <c r="CU185" s="17">
        <f>CT185*VLOOKUP('Données projet'!$B$13,Paramètres!$A$1:$I$89,3,0)*VLOOKUP('Données projet'!$B$13,Paramètres!$A$1:$I$89,5,0)</f>
        <v>212.42519999999985</v>
      </c>
      <c r="CV185" s="13">
        <f t="shared" si="173"/>
        <v>52.465198231787184</v>
      </c>
      <c r="CW185" s="20">
        <f t="shared" si="174"/>
        <v>461.35077692036231</v>
      </c>
      <c r="CX185" s="59">
        <f t="shared" si="122"/>
        <v>754.68411025369562</v>
      </c>
      <c r="CY185" s="59">
        <f ca="1">AVERAGE(OFFSET($CX$3,0,0,'Données projet'!$E$13+1,1))-AVERAGE(OFFSET($H$3,0,0,'Données projet'!$E$13+1,1))</f>
        <v>299.10536994156814</v>
      </c>
      <c r="CZ185" s="59">
        <f t="shared" si="150"/>
        <v>292.57799203101769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3.8192157449418835</v>
      </c>
      <c r="DG185" s="21">
        <f>EXP(-LN(2)/25)*DG184+(1-EXP(-LN(2)/25))/(LN(2)/25)*Calculateur!DB185*Calculateur!DD185*VLOOKUP('Données projet'!$B$13,Paramètres!$A$1:$I$89,3,0)*0.475*44/12</f>
        <v>0.4924774161393331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4.3116931610812168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266.99999999999983</v>
      </c>
      <c r="DP185" s="17">
        <f>DO185*VLOOKUP('Données projet'!$B$14,Paramètres!$A$1:$I$89,3,0)*VLOOKUP('Données projet'!$B$14,Paramètres!$A$1:$I$89,5,0)</f>
        <v>212.42519999999985</v>
      </c>
      <c r="DQ185" s="13">
        <f t="shared" si="176"/>
        <v>52.465198231787184</v>
      </c>
      <c r="DR185" s="20">
        <f t="shared" si="177"/>
        <v>461.35077692036231</v>
      </c>
      <c r="DS185" s="59">
        <f t="shared" si="125"/>
        <v>754.68411025369562</v>
      </c>
      <c r="DT185" s="59">
        <f ca="1">AVERAGE(OFFSET($DS$3,0,0,'Données projet'!$E$14+1,1))-AVERAGE(OFFSET($H$3,0,0,'Données projet'!$E$14+1,1))</f>
        <v>299.10536994156814</v>
      </c>
      <c r="DU185" s="59">
        <f t="shared" si="152"/>
        <v>292.57799203101769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3.8192157449418835</v>
      </c>
      <c r="EB185" s="21">
        <f>EXP(-LN(2)/25)*EB184+(1-EXP(-LN(2)/25))/(LN(2)/25)*Calculateur!DW185*Calculateur!DY185*VLOOKUP('Données projet'!$B$14,Paramètres!$A$1:$I$89,3,0)*0.475*44/12</f>
        <v>0.4924774161393331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4.3116931610812168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204.00000000000017</v>
      </c>
      <c r="EK185" s="17">
        <f>EJ185*VLOOKUP('Données projet'!$B$15,Paramètres!$A$1:$I$89,3,0)*VLOOKUP('Données projet'!$B$15,Paramètres!$A$1:$I$89,5,0)</f>
        <v>133.66080000000011</v>
      </c>
      <c r="EL185" s="13">
        <f t="shared" si="179"/>
        <v>34.840890682716783</v>
      </c>
      <c r="EM185" s="20">
        <f t="shared" si="180"/>
        <v>293.4737779390652</v>
      </c>
      <c r="EN185" s="59">
        <f t="shared" si="128"/>
        <v>586.80711127239852</v>
      </c>
      <c r="EO185" s="59">
        <f ca="1">AVERAGE(OFFSET($EN$3,0,0,'Données projet'!$E$15+1,1))-AVERAGE(OFFSET($H$3,0,0,'Données projet'!$E$15+1,1))</f>
        <v>230.58262378842818</v>
      </c>
      <c r="EP185" s="59">
        <f t="shared" si="154"/>
        <v>235.68746142880792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0.30879131057403347</v>
      </c>
      <c r="EW185" s="21">
        <f>EXP(-LN(2)/25)*EW184+(1-EXP(-LN(2)/25))/(LN(2)/25)*Calculateur!ER185*Calculateur!ET185*VLOOKUP('Données projet'!$B$15,Paramètres!$A$1:$I$89,3,0)*0.475*44/12</f>
        <v>0.84169988129230955</v>
      </c>
      <c r="EX185" s="21">
        <f>EXP(-LN(2)/2)*EX184+(1-EXP(-LN(2)/2))/(LN(2)/2)*ER185*EU185*VLOOKUP('Données projet'!$B$15,Paramètres!$A$1:$I$89,3,0)*0.475*44/12</f>
        <v>4.2306832413642233E-14</v>
      </c>
      <c r="EY185" s="22">
        <f t="shared" si="181"/>
        <v>1.1504911918663854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234.00000000000003</v>
      </c>
      <c r="FF185" s="17">
        <f>FE185*VLOOKUP('Données projet'!$B$16,Paramètres!$A$1:$I$89,3,0)*VLOOKUP('Données projet'!$B$16,Paramètres!$A$1:$I$89,5,0)</f>
        <v>189.82080000000005</v>
      </c>
      <c r="FG185" s="13">
        <f t="shared" si="182"/>
        <v>47.500332100049796</v>
      </c>
      <c r="FH185" s="20">
        <f t="shared" si="183"/>
        <v>413.33430507425345</v>
      </c>
      <c r="FI185" s="59">
        <f t="shared" si="131"/>
        <v>706.66763840758676</v>
      </c>
      <c r="FJ185" s="59">
        <f ca="1">AVERAGE(OFFSET($FI$3,0,0,'Données projet'!$E$16+1,1))-AVERAGE(OFFSET($H$3,0,0,'Données projet'!$E$16+1,1))</f>
        <v>272.90535195666996</v>
      </c>
      <c r="FK185" s="59">
        <f t="shared" si="156"/>
        <v>222.25422164416898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0.755942404966499</v>
      </c>
      <c r="FR185" s="21">
        <f>EXP(-LN(2)/25)*FR184+(1-EXP(-LN(2)/25))/(LN(2)/25)*Calculateur!FM185*Calculateur!FO185*VLOOKUP('Données projet'!$B$16,Paramètres!$A$1:$I$89,3,0)*0.475*44/12</f>
        <v>0.96092680587514556</v>
      </c>
      <c r="FS185" s="21">
        <f>EXP(-LN(2)/2)*FS184+(1-EXP(-LN(2)/2))/(LN(2)/2)*FM185*FP185*VLOOKUP('Données projet'!$B$16,Paramètres!$A$1:$I$89,3,0)*0.475*44/12</f>
        <v>1.9241700041243083E-14</v>
      </c>
      <c r="FT185" s="22">
        <f t="shared" si="184"/>
        <v>1.7168692108416639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293.33333333334531</v>
      </c>
      <c r="S186" s="59">
        <f ca="1">AVERAGE(OFFSET($R$3,0,0,'Données projet'!$E$9+1,1))-AVERAGE(OFFSET($H$3,0,0,'Données projet'!$E$9+1,1))</f>
        <v>384.05928630855732</v>
      </c>
      <c r="T186" s="59">
        <f t="shared" si="142"/>
        <v>279.93992813630513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304.99999999999983</v>
      </c>
      <c r="AJ186" s="13">
        <f>AI186*VLOOKUP('Données projet'!$B$10,Paramètres!$A$1:$I$89,3,0)*VLOOKUP('Données projet'!$B$10,Paramètres!$A$1:$I$89,5,0)</f>
        <v>275.96399999999983</v>
      </c>
      <c r="AK186" s="13">
        <f t="shared" si="164"/>
        <v>66.113366665488854</v>
      </c>
      <c r="AL186" s="20">
        <f t="shared" si="165"/>
        <v>595.78474694239264</v>
      </c>
      <c r="AM186" s="59">
        <f t="shared" si="113"/>
        <v>889.11808027572602</v>
      </c>
      <c r="AN186" s="59">
        <f ca="1">AVERAGE(OFFSET($AM$3,0,0,'Données projet'!$E$10+1,1))-AVERAGE(OFFSET($H$3,0,0,'Données projet'!$E$10+1,1))</f>
        <v>366.69125512029831</v>
      </c>
      <c r="AO186" s="59">
        <f t="shared" si="144"/>
        <v>513.80016421153414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7.8087570309180052E-2</v>
      </c>
      <c r="AV186" s="21">
        <f>EXP(-LN(2)/25)*AV185+(1-EXP(-LN(2)/25))/(LN(2)/25)*Calculateur!AQ186*Calculateur!AS186*VLOOKUP('Données projet'!$B$10,Paramètres!$A$1:$I$89,3,0)*0.475*44/12</f>
        <v>0.10615233486547389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0.18423990517465394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212.28480000000002</v>
      </c>
      <c r="BF186" s="13">
        <f t="shared" si="167"/>
        <v>52.434557099704193</v>
      </c>
      <c r="BG186" s="20">
        <f t="shared" si="168"/>
        <v>461.05288028198476</v>
      </c>
      <c r="BH186" s="59">
        <f t="shared" si="116"/>
        <v>754.38621361531807</v>
      </c>
      <c r="BI186" s="59">
        <f ca="1">AVERAGE(OFFSET($BH$3,0,0,'Données projet'!$E$11+1,1))-AVERAGE(OFFSET($H$3,0,0,'Données projet'!$E$11+1,1))</f>
        <v>354.24684313982857</v>
      </c>
      <c r="BJ186" s="59">
        <f t="shared" si="146"/>
        <v>322.65043486962185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5.2666488667376452</v>
      </c>
      <c r="BQ186" s="21">
        <f>EXP(-LN(2)/25)*BQ185+(1-EXP(-LN(2)/25))/(LN(2)/25)*Calculateur!BL186*Calculateur!BN186*VLOOKUP('Données projet'!$B$11,Paramètres!$A$1:$I$89,3,0)*0.475*44/12</f>
        <v>1.4910445813421263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6.7576934480797712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5.4978954722173515E-13</v>
      </c>
      <c r="CA186" s="13">
        <f t="shared" si="170"/>
        <v>6.7731340873355904E-12</v>
      </c>
      <c r="CB186" s="20">
        <f t="shared" si="171"/>
        <v>1.2754091996854009E-11</v>
      </c>
      <c r="CC186" s="59">
        <f t="shared" si="119"/>
        <v>293.33333333334605</v>
      </c>
      <c r="CD186" s="59">
        <f ca="1">AVERAGE(OFFSET($CC$3,0,0,'Données projet'!$E$12+1,1))-AVERAGE(OFFSET($H$3,0,0,'Données projet'!$E$12+1,1))</f>
        <v>407.73540492005355</v>
      </c>
      <c r="CE186" s="59">
        <f t="shared" si="148"/>
        <v>296.29416764204774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65.264832364729713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65.264832364729713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266.99999999999983</v>
      </c>
      <c r="CU186" s="17">
        <f>CT186*VLOOKUP('Données projet'!$B$13,Paramètres!$A$1:$I$89,3,0)*VLOOKUP('Données projet'!$B$13,Paramètres!$A$1:$I$89,5,0)</f>
        <v>212.42519999999985</v>
      </c>
      <c r="CV186" s="13">
        <f t="shared" si="173"/>
        <v>52.465198231787184</v>
      </c>
      <c r="CW186" s="20">
        <f t="shared" si="174"/>
        <v>461.35077692036231</v>
      </c>
      <c r="CX186" s="59">
        <f t="shared" si="122"/>
        <v>754.68411025369562</v>
      </c>
      <c r="CY186" s="59">
        <f ca="1">AVERAGE(OFFSET($CX$3,0,0,'Données projet'!$E$13+1,1))-AVERAGE(OFFSET($H$3,0,0,'Données projet'!$E$13+1,1))</f>
        <v>299.10536994156814</v>
      </c>
      <c r="CZ186" s="59">
        <f t="shared" si="150"/>
        <v>292.57799203101769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3.7443232536751596</v>
      </c>
      <c r="DG186" s="21">
        <f>EXP(-LN(2)/25)*DG185+(1-EXP(-LN(2)/25))/(LN(2)/25)*Calculateur!DB186*Calculateur!DD186*VLOOKUP('Données projet'!$B$13,Paramètres!$A$1:$I$89,3,0)*0.475*44/12</f>
        <v>0.47901059529674128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4.223333848971901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266.99999999999983</v>
      </c>
      <c r="DP186" s="17">
        <f>DO186*VLOOKUP('Données projet'!$B$14,Paramètres!$A$1:$I$89,3,0)*VLOOKUP('Données projet'!$B$14,Paramètres!$A$1:$I$89,5,0)</f>
        <v>212.42519999999985</v>
      </c>
      <c r="DQ186" s="13">
        <f t="shared" si="176"/>
        <v>52.465198231787184</v>
      </c>
      <c r="DR186" s="20">
        <f t="shared" si="177"/>
        <v>461.35077692036231</v>
      </c>
      <c r="DS186" s="59">
        <f t="shared" si="125"/>
        <v>754.68411025369562</v>
      </c>
      <c r="DT186" s="59">
        <f ca="1">AVERAGE(OFFSET($DS$3,0,0,'Données projet'!$E$14+1,1))-AVERAGE(OFFSET($H$3,0,0,'Données projet'!$E$14+1,1))</f>
        <v>299.10536994156814</v>
      </c>
      <c r="DU186" s="59">
        <f t="shared" si="152"/>
        <v>292.57799203101769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3.7443232536751596</v>
      </c>
      <c r="EB186" s="21">
        <f>EXP(-LN(2)/25)*EB185+(1-EXP(-LN(2)/25))/(LN(2)/25)*Calculateur!DW186*Calculateur!DY186*VLOOKUP('Données projet'!$B$14,Paramètres!$A$1:$I$89,3,0)*0.475*44/12</f>
        <v>0.47901059529674128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4.223333848971901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204.00000000000017</v>
      </c>
      <c r="EK186" s="17">
        <f>EJ186*VLOOKUP('Données projet'!$B$15,Paramètres!$A$1:$I$89,3,0)*VLOOKUP('Données projet'!$B$15,Paramètres!$A$1:$I$89,5,0)</f>
        <v>133.66080000000011</v>
      </c>
      <c r="EL186" s="13">
        <f t="shared" si="179"/>
        <v>34.840890682716783</v>
      </c>
      <c r="EM186" s="20">
        <f t="shared" si="180"/>
        <v>293.4737779390652</v>
      </c>
      <c r="EN186" s="59">
        <f t="shared" si="128"/>
        <v>586.80711127239852</v>
      </c>
      <c r="EO186" s="59">
        <f ca="1">AVERAGE(OFFSET($EN$3,0,0,'Données projet'!$E$15+1,1))-AVERAGE(OFFSET($H$3,0,0,'Données projet'!$E$15+1,1))</f>
        <v>230.58262378842818</v>
      </c>
      <c r="EP186" s="59">
        <f t="shared" si="154"/>
        <v>235.68746142880792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0.30273610131777867</v>
      </c>
      <c r="EW186" s="21">
        <f>EXP(-LN(2)/25)*EW185+(1-EXP(-LN(2)/25))/(LN(2)/25)*Calculateur!ER186*Calculateur!ET186*VLOOKUP('Données projet'!$B$15,Paramètres!$A$1:$I$89,3,0)*0.475*44/12</f>
        <v>0.81868355377529833</v>
      </c>
      <c r="EX186" s="21">
        <f>EXP(-LN(2)/2)*EX185+(1-EXP(-LN(2)/2))/(LN(2)/2)*ER186*EU186*VLOOKUP('Données projet'!$B$15,Paramètres!$A$1:$I$89,3,0)*0.475*44/12</f>
        <v>2.9915448090209254E-14</v>
      </c>
      <c r="EY186" s="22">
        <f t="shared" si="181"/>
        <v>1.121419655093107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234.00000000000003</v>
      </c>
      <c r="FF186" s="17">
        <f>FE186*VLOOKUP('Données projet'!$B$16,Paramètres!$A$1:$I$89,3,0)*VLOOKUP('Données projet'!$B$16,Paramètres!$A$1:$I$89,5,0)</f>
        <v>189.82080000000005</v>
      </c>
      <c r="FG186" s="13">
        <f t="shared" si="182"/>
        <v>47.500332100049796</v>
      </c>
      <c r="FH186" s="20">
        <f t="shared" si="183"/>
        <v>413.33430507425345</v>
      </c>
      <c r="FI186" s="59">
        <f t="shared" si="131"/>
        <v>706.66763840758676</v>
      </c>
      <c r="FJ186" s="59">
        <f ca="1">AVERAGE(OFFSET($FI$3,0,0,'Données projet'!$E$16+1,1))-AVERAGE(OFFSET($H$3,0,0,'Données projet'!$E$16+1,1))</f>
        <v>272.90535195666996</v>
      </c>
      <c r="FK186" s="59">
        <f t="shared" si="156"/>
        <v>222.25422164416898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0.74111883548444524</v>
      </c>
      <c r="FR186" s="21">
        <f>EXP(-LN(2)/25)*FR185+(1-EXP(-LN(2)/25))/(LN(2)/25)*Calculateur!FM186*Calculateur!FO186*VLOOKUP('Données projet'!$B$16,Paramètres!$A$1:$I$89,3,0)*0.475*44/12</f>
        <v>0.9346502118355452</v>
      </c>
      <c r="FS186" s="21">
        <f>EXP(-LN(2)/2)*FS185+(1-EXP(-LN(2)/2))/(LN(2)/2)*FM186*FP186*VLOOKUP('Données projet'!$B$16,Paramètres!$A$1:$I$89,3,0)*0.475*44/12</f>
        <v>1.3605936580720455E-14</v>
      </c>
      <c r="FT186" s="22">
        <f t="shared" si="184"/>
        <v>1.675769047320004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293.33333333334531</v>
      </c>
      <c r="S187" s="59">
        <f ca="1">AVERAGE(OFFSET($R$3,0,0,'Données projet'!$E$9+1,1))-AVERAGE(OFFSET($H$3,0,0,'Données projet'!$E$9+1,1))</f>
        <v>384.05928630855732</v>
      </c>
      <c r="T187" s="59">
        <f t="shared" si="142"/>
        <v>279.93992813630513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304.99999999999983</v>
      </c>
      <c r="AJ187" s="13">
        <f>AI187*VLOOKUP('Données projet'!$B$10,Paramètres!$A$1:$I$89,3,0)*VLOOKUP('Données projet'!$B$10,Paramètres!$A$1:$I$89,5,0)</f>
        <v>275.96399999999983</v>
      </c>
      <c r="AK187" s="13">
        <f t="shared" si="164"/>
        <v>66.113366665488854</v>
      </c>
      <c r="AL187" s="20">
        <f t="shared" si="165"/>
        <v>595.78474694239264</v>
      </c>
      <c r="AM187" s="59">
        <f t="shared" si="113"/>
        <v>889.11808027572602</v>
      </c>
      <c r="AN187" s="59">
        <f ca="1">AVERAGE(OFFSET($AM$3,0,0,'Données projet'!$E$10+1,1))-AVERAGE(OFFSET($H$3,0,0,'Données projet'!$E$10+1,1))</f>
        <v>366.69125512029831</v>
      </c>
      <c r="AO187" s="59">
        <f t="shared" si="144"/>
        <v>513.80016421153414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7.655632068413197E-2</v>
      </c>
      <c r="AV187" s="21">
        <f>EXP(-LN(2)/25)*AV186+(1-EXP(-LN(2)/25))/(LN(2)/25)*Calculateur!AQ187*Calculateur!AS187*VLOOKUP('Données projet'!$B$10,Paramètres!$A$1:$I$89,3,0)*0.475*44/12</f>
        <v>0.10324959368626883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0.1798059143704008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212.28480000000002</v>
      </c>
      <c r="BF187" s="13">
        <f t="shared" si="167"/>
        <v>52.434557099704193</v>
      </c>
      <c r="BG187" s="20">
        <f t="shared" si="168"/>
        <v>461.05288028198476</v>
      </c>
      <c r="BH187" s="59">
        <f t="shared" si="116"/>
        <v>754.38621361531807</v>
      </c>
      <c r="BI187" s="59">
        <f ca="1">AVERAGE(OFFSET($BH$3,0,0,'Données projet'!$E$11+1,1))-AVERAGE(OFFSET($H$3,0,0,'Données projet'!$E$11+1,1))</f>
        <v>354.24684313982857</v>
      </c>
      <c r="BJ187" s="59">
        <f t="shared" si="146"/>
        <v>322.65043486962185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5.1633730947995362</v>
      </c>
      <c r="BQ187" s="21">
        <f>EXP(-LN(2)/25)*BQ186+(1-EXP(-LN(2)/25))/(LN(2)/25)*Calculateur!BL187*Calculateur!BN187*VLOOKUP('Données projet'!$B$11,Paramètres!$A$1:$I$89,3,0)*0.475*44/12</f>
        <v>1.450271888854699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6.6136449836542353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5.4978954722173515E-13</v>
      </c>
      <c r="CA187" s="13">
        <f t="shared" si="170"/>
        <v>6.7731340873355904E-12</v>
      </c>
      <c r="CB187" s="20">
        <f t="shared" si="171"/>
        <v>1.2754091996854009E-11</v>
      </c>
      <c r="CC187" s="59">
        <f t="shared" si="119"/>
        <v>293.33333333334605</v>
      </c>
      <c r="CD187" s="59">
        <f ca="1">AVERAGE(OFFSET($CC$3,0,0,'Données projet'!$E$12+1,1))-AVERAGE(OFFSET($H$3,0,0,'Données projet'!$E$12+1,1))</f>
        <v>407.73540492005355</v>
      </c>
      <c r="CE187" s="59">
        <f t="shared" si="148"/>
        <v>296.29416764204774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63.985028809674432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63.985028809674432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266.99999999999983</v>
      </c>
      <c r="CU187" s="17">
        <f>CT187*VLOOKUP('Données projet'!$B$13,Paramètres!$A$1:$I$89,3,0)*VLOOKUP('Données projet'!$B$13,Paramètres!$A$1:$I$89,5,0)</f>
        <v>212.42519999999985</v>
      </c>
      <c r="CV187" s="13">
        <f t="shared" si="173"/>
        <v>52.465198231787184</v>
      </c>
      <c r="CW187" s="20">
        <f t="shared" si="174"/>
        <v>461.35077692036231</v>
      </c>
      <c r="CX187" s="59">
        <f t="shared" si="122"/>
        <v>754.68411025369562</v>
      </c>
      <c r="CY187" s="59">
        <f ca="1">AVERAGE(OFFSET($CX$3,0,0,'Données projet'!$E$13+1,1))-AVERAGE(OFFSET($H$3,0,0,'Données projet'!$E$13+1,1))</f>
        <v>299.10536994156814</v>
      </c>
      <c r="CZ187" s="59">
        <f t="shared" si="150"/>
        <v>292.57799203101769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3.6708993584822669</v>
      </c>
      <c r="DG187" s="21">
        <f>EXP(-LN(2)/25)*DG186+(1-EXP(-LN(2)/25))/(LN(2)/25)*Calculateur!DB187*Calculateur!DD187*VLOOKUP('Données projet'!$B$13,Paramètres!$A$1:$I$89,3,0)*0.475*44/12</f>
        <v>0.46591202537827947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4.1368113838605467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266.99999999999983</v>
      </c>
      <c r="DP187" s="17">
        <f>DO187*VLOOKUP('Données projet'!$B$14,Paramètres!$A$1:$I$89,3,0)*VLOOKUP('Données projet'!$B$14,Paramètres!$A$1:$I$89,5,0)</f>
        <v>212.42519999999985</v>
      </c>
      <c r="DQ187" s="13">
        <f t="shared" si="176"/>
        <v>52.465198231787184</v>
      </c>
      <c r="DR187" s="20">
        <f t="shared" si="177"/>
        <v>461.35077692036231</v>
      </c>
      <c r="DS187" s="59">
        <f t="shared" si="125"/>
        <v>754.68411025369562</v>
      </c>
      <c r="DT187" s="59">
        <f ca="1">AVERAGE(OFFSET($DS$3,0,0,'Données projet'!$E$14+1,1))-AVERAGE(OFFSET($H$3,0,0,'Données projet'!$E$14+1,1))</f>
        <v>299.10536994156814</v>
      </c>
      <c r="DU187" s="59">
        <f t="shared" si="152"/>
        <v>292.57799203101769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3.6708993584822669</v>
      </c>
      <c r="EB187" s="21">
        <f>EXP(-LN(2)/25)*EB186+(1-EXP(-LN(2)/25))/(LN(2)/25)*Calculateur!DW187*Calculateur!DY187*VLOOKUP('Données projet'!$B$14,Paramètres!$A$1:$I$89,3,0)*0.475*44/12</f>
        <v>0.46591202537827947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4.1368113838605467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204.00000000000017</v>
      </c>
      <c r="EK187" s="17">
        <f>EJ187*VLOOKUP('Données projet'!$B$15,Paramètres!$A$1:$I$89,3,0)*VLOOKUP('Données projet'!$B$15,Paramètres!$A$1:$I$89,5,0)</f>
        <v>133.66080000000011</v>
      </c>
      <c r="EL187" s="13">
        <f t="shared" si="179"/>
        <v>34.840890682716783</v>
      </c>
      <c r="EM187" s="20">
        <f t="shared" si="180"/>
        <v>293.4737779390652</v>
      </c>
      <c r="EN187" s="59">
        <f t="shared" si="128"/>
        <v>586.80711127239852</v>
      </c>
      <c r="EO187" s="59">
        <f ca="1">AVERAGE(OFFSET($EN$3,0,0,'Données projet'!$E$15+1,1))-AVERAGE(OFFSET($H$3,0,0,'Données projet'!$E$15+1,1))</f>
        <v>230.58262378842818</v>
      </c>
      <c r="EP187" s="59">
        <f t="shared" si="154"/>
        <v>235.68746142880792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0.29679963102172607</v>
      </c>
      <c r="EW187" s="21">
        <f>EXP(-LN(2)/25)*EW186+(1-EXP(-LN(2)/25))/(LN(2)/25)*Calculateur!ER187*Calculateur!ET187*VLOOKUP('Données projet'!$B$15,Paramètres!$A$1:$I$89,3,0)*0.475*44/12</f>
        <v>0.79629660894461585</v>
      </c>
      <c r="EX187" s="21">
        <f>EXP(-LN(2)/2)*EX186+(1-EXP(-LN(2)/2))/(LN(2)/2)*ER187*EU187*VLOOKUP('Données projet'!$B$15,Paramètres!$A$1:$I$89,3,0)*0.475*44/12</f>
        <v>2.1153416206821117E-14</v>
      </c>
      <c r="EY187" s="22">
        <f t="shared" si="181"/>
        <v>1.0930962399663631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234.00000000000003</v>
      </c>
      <c r="FF187" s="17">
        <f>FE187*VLOOKUP('Données projet'!$B$16,Paramètres!$A$1:$I$89,3,0)*VLOOKUP('Données projet'!$B$16,Paramètres!$A$1:$I$89,5,0)</f>
        <v>189.82080000000005</v>
      </c>
      <c r="FG187" s="13">
        <f t="shared" si="182"/>
        <v>47.500332100049796</v>
      </c>
      <c r="FH187" s="20">
        <f t="shared" si="183"/>
        <v>413.33430507425345</v>
      </c>
      <c r="FI187" s="59">
        <f t="shared" si="131"/>
        <v>706.66763840758676</v>
      </c>
      <c r="FJ187" s="59">
        <f ca="1">AVERAGE(OFFSET($FI$3,0,0,'Données projet'!$E$16+1,1))-AVERAGE(OFFSET($H$3,0,0,'Données projet'!$E$16+1,1))</f>
        <v>272.90535195666996</v>
      </c>
      <c r="FK187" s="59">
        <f t="shared" si="156"/>
        <v>222.25422164416898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0.72658594715844993</v>
      </c>
      <c r="FR187" s="21">
        <f>EXP(-LN(2)/25)*FR186+(1-EXP(-LN(2)/25))/(LN(2)/25)*Calculateur!FM187*Calculateur!FO187*VLOOKUP('Données projet'!$B$16,Paramètres!$A$1:$I$89,3,0)*0.475*44/12</f>
        <v>0.90909215264178378</v>
      </c>
      <c r="FS187" s="21">
        <f>EXP(-LN(2)/2)*FS186+(1-EXP(-LN(2)/2))/(LN(2)/2)*FM187*FP187*VLOOKUP('Données projet'!$B$16,Paramètres!$A$1:$I$89,3,0)*0.475*44/12</f>
        <v>9.6208500206215413E-15</v>
      </c>
      <c r="FT187" s="22">
        <f t="shared" si="184"/>
        <v>1.6356780998002434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293.33333333334531</v>
      </c>
      <c r="S188" s="59">
        <f ca="1">AVERAGE(OFFSET($R$3,0,0,'Données projet'!$E$9+1,1))-AVERAGE(OFFSET($H$3,0,0,'Données projet'!$E$9+1,1))</f>
        <v>384.05928630855732</v>
      </c>
      <c r="T188" s="59">
        <f t="shared" si="142"/>
        <v>279.93992813630513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304.99999999999983</v>
      </c>
      <c r="AJ188" s="13">
        <f>AI188*VLOOKUP('Données projet'!$B$10,Paramètres!$A$1:$I$89,3,0)*VLOOKUP('Données projet'!$B$10,Paramètres!$A$1:$I$89,5,0)</f>
        <v>275.96399999999983</v>
      </c>
      <c r="AK188" s="13">
        <f t="shared" si="164"/>
        <v>66.113366665488854</v>
      </c>
      <c r="AL188" s="20">
        <f t="shared" si="165"/>
        <v>595.78474694239264</v>
      </c>
      <c r="AM188" s="59">
        <f t="shared" si="113"/>
        <v>889.11808027572602</v>
      </c>
      <c r="AN188" s="59">
        <f ca="1">AVERAGE(OFFSET($AM$3,0,0,'Données projet'!$E$10+1,1))-AVERAGE(OFFSET($H$3,0,0,'Données projet'!$E$10+1,1))</f>
        <v>366.69125512029831</v>
      </c>
      <c r="AO188" s="59">
        <f t="shared" si="144"/>
        <v>513.80016421153414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7.5055097930261036E-2</v>
      </c>
      <c r="AV188" s="21">
        <f>EXP(-LN(2)/25)*AV187+(1-EXP(-LN(2)/25))/(LN(2)/25)*Calculateur!AQ188*Calculateur!AS188*VLOOKUP('Données projet'!$B$10,Paramètres!$A$1:$I$89,3,0)*0.475*44/12</f>
        <v>0.10042622811725765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0.1754813260475187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212.28480000000002</v>
      </c>
      <c r="BF188" s="13">
        <f t="shared" si="167"/>
        <v>52.434557099704193</v>
      </c>
      <c r="BG188" s="20">
        <f t="shared" si="168"/>
        <v>461.05288028198476</v>
      </c>
      <c r="BH188" s="59">
        <f t="shared" si="116"/>
        <v>754.38621361531807</v>
      </c>
      <c r="BI188" s="59">
        <f ca="1">AVERAGE(OFFSET($BH$3,0,0,'Données projet'!$E$11+1,1))-AVERAGE(OFFSET($H$3,0,0,'Données projet'!$E$11+1,1))</f>
        <v>354.24684313982857</v>
      </c>
      <c r="BJ188" s="59">
        <f t="shared" si="146"/>
        <v>322.65043486962185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5.0621224977571329</v>
      </c>
      <c r="BQ188" s="21">
        <f>EXP(-LN(2)/25)*BQ187+(1-EXP(-LN(2)/25))/(LN(2)/25)*Calculateur!BL188*Calculateur!BN188*VLOOKUP('Données projet'!$B$11,Paramètres!$A$1:$I$89,3,0)*0.475*44/12</f>
        <v>1.4106141277874833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6.4727366255446164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5.4978954722173515E-13</v>
      </c>
      <c r="CA188" s="13">
        <f t="shared" si="170"/>
        <v>6.7731340873355904E-12</v>
      </c>
      <c r="CB188" s="20">
        <f t="shared" si="171"/>
        <v>1.2754091996854009E-11</v>
      </c>
      <c r="CC188" s="59">
        <f t="shared" si="119"/>
        <v>293.33333333334605</v>
      </c>
      <c r="CD188" s="59">
        <f ca="1">AVERAGE(OFFSET($CC$3,0,0,'Données projet'!$E$12+1,1))-AVERAGE(OFFSET($H$3,0,0,'Données projet'!$E$12+1,1))</f>
        <v>407.73540492005355</v>
      </c>
      <c r="CE188" s="59">
        <f t="shared" si="148"/>
        <v>296.29416764204774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62.730321421730693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62.730321421730693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266.99999999999983</v>
      </c>
      <c r="CU188" s="17">
        <f>CT188*VLOOKUP('Données projet'!$B$13,Paramètres!$A$1:$I$89,3,0)*VLOOKUP('Données projet'!$B$13,Paramètres!$A$1:$I$89,5,0)</f>
        <v>212.42519999999985</v>
      </c>
      <c r="CV188" s="13">
        <f t="shared" si="173"/>
        <v>52.465198231787184</v>
      </c>
      <c r="CW188" s="20">
        <f t="shared" si="174"/>
        <v>461.35077692036231</v>
      </c>
      <c r="CX188" s="59">
        <f t="shared" si="122"/>
        <v>754.68411025369562</v>
      </c>
      <c r="CY188" s="59">
        <f ca="1">AVERAGE(OFFSET($CX$3,0,0,'Données projet'!$E$13+1,1))-AVERAGE(OFFSET($H$3,0,0,'Données projet'!$E$13+1,1))</f>
        <v>299.10536994156814</v>
      </c>
      <c r="CZ188" s="59">
        <f t="shared" si="150"/>
        <v>292.57799203101769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3.5989152610899526</v>
      </c>
      <c r="DG188" s="21">
        <f>EXP(-LN(2)/25)*DG187+(1-EXP(-LN(2)/25))/(LN(2)/25)*Calculateur!DB188*Calculateur!DD188*VLOOKUP('Données projet'!$B$13,Paramètres!$A$1:$I$89,3,0)*0.475*44/12</f>
        <v>0.45317163654306186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4.0520868976330142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266.99999999999983</v>
      </c>
      <c r="DP188" s="17">
        <f>DO188*VLOOKUP('Données projet'!$B$14,Paramètres!$A$1:$I$89,3,0)*VLOOKUP('Données projet'!$B$14,Paramètres!$A$1:$I$89,5,0)</f>
        <v>212.42519999999985</v>
      </c>
      <c r="DQ188" s="13">
        <f t="shared" si="176"/>
        <v>52.465198231787184</v>
      </c>
      <c r="DR188" s="20">
        <f t="shared" si="177"/>
        <v>461.35077692036231</v>
      </c>
      <c r="DS188" s="59">
        <f t="shared" si="125"/>
        <v>754.68411025369562</v>
      </c>
      <c r="DT188" s="59">
        <f ca="1">AVERAGE(OFFSET($DS$3,0,0,'Données projet'!$E$14+1,1))-AVERAGE(OFFSET($H$3,0,0,'Données projet'!$E$14+1,1))</f>
        <v>299.10536994156814</v>
      </c>
      <c r="DU188" s="59">
        <f t="shared" si="152"/>
        <v>292.57799203101769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3.5989152610899526</v>
      </c>
      <c r="EB188" s="21">
        <f>EXP(-LN(2)/25)*EB187+(1-EXP(-LN(2)/25))/(LN(2)/25)*Calculateur!DW188*Calculateur!DY188*VLOOKUP('Données projet'!$B$14,Paramètres!$A$1:$I$89,3,0)*0.475*44/12</f>
        <v>0.45317163654306186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4.0520868976330142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204.00000000000017</v>
      </c>
      <c r="EK188" s="17">
        <f>EJ188*VLOOKUP('Données projet'!$B$15,Paramètres!$A$1:$I$89,3,0)*VLOOKUP('Données projet'!$B$15,Paramètres!$A$1:$I$89,5,0)</f>
        <v>133.66080000000011</v>
      </c>
      <c r="EL188" s="13">
        <f t="shared" si="179"/>
        <v>34.840890682716783</v>
      </c>
      <c r="EM188" s="20">
        <f t="shared" si="180"/>
        <v>293.4737779390652</v>
      </c>
      <c r="EN188" s="59">
        <f t="shared" si="128"/>
        <v>586.80711127239852</v>
      </c>
      <c r="EO188" s="59">
        <f ca="1">AVERAGE(OFFSET($EN$3,0,0,'Données projet'!$E$15+1,1))-AVERAGE(OFFSET($H$3,0,0,'Données projet'!$E$15+1,1))</f>
        <v>230.58262378842818</v>
      </c>
      <c r="EP188" s="59">
        <f t="shared" si="154"/>
        <v>235.68746142880792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0.29097957128728974</v>
      </c>
      <c r="EW188" s="21">
        <f>EXP(-LN(2)/25)*EW187+(1-EXP(-LN(2)/25))/(LN(2)/25)*Calculateur!ER188*Calculateur!ET188*VLOOKUP('Données projet'!$B$15,Paramètres!$A$1:$I$89,3,0)*0.475*44/12</f>
        <v>0.77452183629760663</v>
      </c>
      <c r="EX188" s="21">
        <f>EXP(-LN(2)/2)*EX187+(1-EXP(-LN(2)/2))/(LN(2)/2)*ER188*EU188*VLOOKUP('Données projet'!$B$15,Paramètres!$A$1:$I$89,3,0)*0.475*44/12</f>
        <v>1.4957724045104627E-14</v>
      </c>
      <c r="EY188" s="22">
        <f t="shared" si="181"/>
        <v>1.0655014075849112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234.00000000000003</v>
      </c>
      <c r="FF188" s="17">
        <f>FE188*VLOOKUP('Données projet'!$B$16,Paramètres!$A$1:$I$89,3,0)*VLOOKUP('Données projet'!$B$16,Paramètres!$A$1:$I$89,5,0)</f>
        <v>189.82080000000005</v>
      </c>
      <c r="FG188" s="13">
        <f t="shared" si="182"/>
        <v>47.500332100049796</v>
      </c>
      <c r="FH188" s="20">
        <f t="shared" si="183"/>
        <v>413.33430507425345</v>
      </c>
      <c r="FI188" s="59">
        <f t="shared" si="131"/>
        <v>706.66763840758676</v>
      </c>
      <c r="FJ188" s="59">
        <f ca="1">AVERAGE(OFFSET($FI$3,0,0,'Données projet'!$E$16+1,1))-AVERAGE(OFFSET($H$3,0,0,'Données projet'!$E$16+1,1))</f>
        <v>272.90535195666996</v>
      </c>
      <c r="FK188" s="59">
        <f t="shared" si="156"/>
        <v>222.25422164416898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0.71233803990834077</v>
      </c>
      <c r="FR188" s="21">
        <f>EXP(-LN(2)/25)*FR187+(1-EXP(-LN(2)/25))/(LN(2)/25)*Calculateur!FM188*Calculateur!FO188*VLOOKUP('Données projet'!$B$16,Paramètres!$A$1:$I$89,3,0)*0.475*44/12</f>
        <v>0.8842329799207157</v>
      </c>
      <c r="FS188" s="21">
        <f>EXP(-LN(2)/2)*FS187+(1-EXP(-LN(2)/2))/(LN(2)/2)*FM188*FP188*VLOOKUP('Données projet'!$B$16,Paramètres!$A$1:$I$89,3,0)*0.475*44/12</f>
        <v>6.8029682903602275E-15</v>
      </c>
      <c r="FT188" s="22">
        <f t="shared" si="184"/>
        <v>1.5965710198290635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293.33333333334531</v>
      </c>
      <c r="S189" s="59">
        <f ca="1">AVERAGE(OFFSET($R$3,0,0,'Données projet'!$E$9+1,1))-AVERAGE(OFFSET($H$3,0,0,'Données projet'!$E$9+1,1))</f>
        <v>384.05928630855732</v>
      </c>
      <c r="T189" s="59">
        <f t="shared" si="142"/>
        <v>279.93992813630513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304.99999999999983</v>
      </c>
      <c r="AJ189" s="13">
        <f>AI189*VLOOKUP('Données projet'!$B$10,Paramètres!$A$1:$I$89,3,0)*VLOOKUP('Données projet'!$B$10,Paramètres!$A$1:$I$89,5,0)</f>
        <v>275.96399999999983</v>
      </c>
      <c r="AK189" s="13">
        <f t="shared" si="164"/>
        <v>66.113366665488854</v>
      </c>
      <c r="AL189" s="20">
        <f t="shared" si="165"/>
        <v>595.78474694239264</v>
      </c>
      <c r="AM189" s="59">
        <f t="shared" si="113"/>
        <v>889.11808027572602</v>
      </c>
      <c r="AN189" s="59">
        <f ca="1">AVERAGE(OFFSET($AM$3,0,0,'Données projet'!$E$10+1,1))-AVERAGE(OFFSET($H$3,0,0,'Données projet'!$E$10+1,1))</f>
        <v>366.69125512029831</v>
      </c>
      <c r="AO189" s="59">
        <f t="shared" si="144"/>
        <v>513.80016421153414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7.3583313238938047E-2</v>
      </c>
      <c r="AV189" s="21">
        <f>EXP(-LN(2)/25)*AV188+(1-EXP(-LN(2)/25))/(LN(2)/25)*Calculateur!AQ189*Calculateur!AS189*VLOOKUP('Données projet'!$B$10,Paramètres!$A$1:$I$89,3,0)*0.475*44/12</f>
        <v>9.7680067628205428E-2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0.17126338086714349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212.28480000000002</v>
      </c>
      <c r="BF189" s="13">
        <f t="shared" si="167"/>
        <v>52.434557099704193</v>
      </c>
      <c r="BG189" s="20">
        <f t="shared" si="168"/>
        <v>461.05288028198476</v>
      </c>
      <c r="BH189" s="59">
        <f t="shared" si="116"/>
        <v>754.38621361531807</v>
      </c>
      <c r="BI189" s="59">
        <f ca="1">AVERAGE(OFFSET($BH$3,0,0,'Données projet'!$E$11+1,1))-AVERAGE(OFFSET($H$3,0,0,'Données projet'!$E$11+1,1))</f>
        <v>354.24684313982857</v>
      </c>
      <c r="BJ189" s="59">
        <f t="shared" si="146"/>
        <v>322.65043486962185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4.9628573631659654</v>
      </c>
      <c r="BQ189" s="21">
        <f>EXP(-LN(2)/25)*BQ188+(1-EXP(-LN(2)/25))/(LN(2)/25)*Calculateur!BL189*Calculateur!BN189*VLOOKUP('Données projet'!$B$11,Paramètres!$A$1:$I$89,3,0)*0.475*44/12</f>
        <v>1.3720408102821615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6.3348981734481269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5.4978954722173515E-13</v>
      </c>
      <c r="CA189" s="13">
        <f t="shared" si="170"/>
        <v>6.7731340873355904E-12</v>
      </c>
      <c r="CB189" s="20">
        <f t="shared" si="171"/>
        <v>1.2754091996854009E-11</v>
      </c>
      <c r="CC189" s="59">
        <f t="shared" si="119"/>
        <v>293.33333333334605</v>
      </c>
      <c r="CD189" s="59">
        <f ca="1">AVERAGE(OFFSET($CC$3,0,0,'Données projet'!$E$12+1,1))-AVERAGE(OFFSET($H$3,0,0,'Données projet'!$E$12+1,1))</f>
        <v>407.73540492005355</v>
      </c>
      <c r="CE189" s="59">
        <f t="shared" si="148"/>
        <v>296.29416764204774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61.50021808036859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61.50021808036859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266.99999999999983</v>
      </c>
      <c r="CU189" s="17">
        <f>CT189*VLOOKUP('Données projet'!$B$13,Paramètres!$A$1:$I$89,3,0)*VLOOKUP('Données projet'!$B$13,Paramètres!$A$1:$I$89,5,0)</f>
        <v>212.42519999999985</v>
      </c>
      <c r="CV189" s="13">
        <f t="shared" si="173"/>
        <v>52.465198231787184</v>
      </c>
      <c r="CW189" s="20">
        <f t="shared" si="174"/>
        <v>461.35077692036231</v>
      </c>
      <c r="CX189" s="59">
        <f t="shared" si="122"/>
        <v>754.68411025369562</v>
      </c>
      <c r="CY189" s="59">
        <f ca="1">AVERAGE(OFFSET($CX$3,0,0,'Données projet'!$E$13+1,1))-AVERAGE(OFFSET($H$3,0,0,'Données projet'!$E$13+1,1))</f>
        <v>299.10536994156814</v>
      </c>
      <c r="CZ189" s="59">
        <f t="shared" si="150"/>
        <v>292.57799203101769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3.5283427279415376</v>
      </c>
      <c r="DG189" s="21">
        <f>EXP(-LN(2)/25)*DG188+(1-EXP(-LN(2)/25))/(LN(2)/25)*Calculateur!DB189*Calculateur!DD189*VLOOKUP('Données projet'!$B$13,Paramètres!$A$1:$I$89,3,0)*0.475*44/12</f>
        <v>0.44077963431053119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3.9691223622520688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266.99999999999983</v>
      </c>
      <c r="DP189" s="17">
        <f>DO189*VLOOKUP('Données projet'!$B$14,Paramètres!$A$1:$I$89,3,0)*VLOOKUP('Données projet'!$B$14,Paramètres!$A$1:$I$89,5,0)</f>
        <v>212.42519999999985</v>
      </c>
      <c r="DQ189" s="13">
        <f t="shared" si="176"/>
        <v>52.465198231787184</v>
      </c>
      <c r="DR189" s="20">
        <f t="shared" si="177"/>
        <v>461.35077692036231</v>
      </c>
      <c r="DS189" s="59">
        <f t="shared" si="125"/>
        <v>754.68411025369562</v>
      </c>
      <c r="DT189" s="59">
        <f ca="1">AVERAGE(OFFSET($DS$3,0,0,'Données projet'!$E$14+1,1))-AVERAGE(OFFSET($H$3,0,0,'Données projet'!$E$14+1,1))</f>
        <v>299.10536994156814</v>
      </c>
      <c r="DU189" s="59">
        <f t="shared" si="152"/>
        <v>292.57799203101769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3.5283427279415376</v>
      </c>
      <c r="EB189" s="21">
        <f>EXP(-LN(2)/25)*EB188+(1-EXP(-LN(2)/25))/(LN(2)/25)*Calculateur!DW189*Calculateur!DY189*VLOOKUP('Données projet'!$B$14,Paramètres!$A$1:$I$89,3,0)*0.475*44/12</f>
        <v>0.44077963431053119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3.9691223622520688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204.00000000000017</v>
      </c>
      <c r="EK189" s="17">
        <f>EJ189*VLOOKUP('Données projet'!$B$15,Paramètres!$A$1:$I$89,3,0)*VLOOKUP('Données projet'!$B$15,Paramètres!$A$1:$I$89,5,0)</f>
        <v>133.66080000000011</v>
      </c>
      <c r="EL189" s="13">
        <f t="shared" si="179"/>
        <v>34.840890682716783</v>
      </c>
      <c r="EM189" s="20">
        <f t="shared" si="180"/>
        <v>293.4737779390652</v>
      </c>
      <c r="EN189" s="59">
        <f t="shared" si="128"/>
        <v>586.80711127239852</v>
      </c>
      <c r="EO189" s="59">
        <f ca="1">AVERAGE(OFFSET($EN$3,0,0,'Données projet'!$E$15+1,1))-AVERAGE(OFFSET($H$3,0,0,'Données projet'!$E$15+1,1))</f>
        <v>230.58262378842818</v>
      </c>
      <c r="EP189" s="59">
        <f t="shared" si="154"/>
        <v>235.68746142880792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0.28527363937435979</v>
      </c>
      <c r="EW189" s="21">
        <f>EXP(-LN(2)/25)*EW188+(1-EXP(-LN(2)/25))/(LN(2)/25)*Calculateur!ER189*Calculateur!ET189*VLOOKUP('Données projet'!$B$15,Paramètres!$A$1:$I$89,3,0)*0.475*44/12</f>
        <v>0.75334249595371539</v>
      </c>
      <c r="EX189" s="21">
        <f>EXP(-LN(2)/2)*EX188+(1-EXP(-LN(2)/2))/(LN(2)/2)*ER189*EU189*VLOOKUP('Données projet'!$B$15,Paramètres!$A$1:$I$89,3,0)*0.475*44/12</f>
        <v>1.0576708103410558E-14</v>
      </c>
      <c r="EY189" s="22">
        <f t="shared" si="181"/>
        <v>1.0386161353280858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234.00000000000003</v>
      </c>
      <c r="FF189" s="17">
        <f>FE189*VLOOKUP('Données projet'!$B$16,Paramètres!$A$1:$I$89,3,0)*VLOOKUP('Données projet'!$B$16,Paramètres!$A$1:$I$89,5,0)</f>
        <v>189.82080000000005</v>
      </c>
      <c r="FG189" s="13">
        <f t="shared" si="182"/>
        <v>47.500332100049796</v>
      </c>
      <c r="FH189" s="20">
        <f t="shared" si="183"/>
        <v>413.33430507425345</v>
      </c>
      <c r="FI189" s="59">
        <f t="shared" si="131"/>
        <v>706.66763840758676</v>
      </c>
      <c r="FJ189" s="59">
        <f ca="1">AVERAGE(OFFSET($FI$3,0,0,'Données projet'!$E$16+1,1))-AVERAGE(OFFSET($H$3,0,0,'Données projet'!$E$16+1,1))</f>
        <v>272.90535195666996</v>
      </c>
      <c r="FK189" s="59">
        <f t="shared" si="156"/>
        <v>222.25422164416898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0.69836952542904085</v>
      </c>
      <c r="FR189" s="21">
        <f>EXP(-LN(2)/25)*FR188+(1-EXP(-LN(2)/25))/(LN(2)/25)*Calculateur!FM189*Calculateur!FO189*VLOOKUP('Données projet'!$B$16,Paramètres!$A$1:$I$89,3,0)*0.475*44/12</f>
        <v>0.8600535825849922</v>
      </c>
      <c r="FS189" s="21">
        <f>EXP(-LN(2)/2)*FS188+(1-EXP(-LN(2)/2))/(LN(2)/2)*FM189*FP189*VLOOKUP('Données projet'!$B$16,Paramètres!$A$1:$I$89,3,0)*0.475*44/12</f>
        <v>4.8104250103107706E-15</v>
      </c>
      <c r="FT189" s="22">
        <f t="shared" si="184"/>
        <v>1.558423108014038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293.33333333334531</v>
      </c>
      <c r="S190" s="59">
        <f ca="1">AVERAGE(OFFSET($R$3,0,0,'Données projet'!$E$9+1,1))-AVERAGE(OFFSET($H$3,0,0,'Données projet'!$E$9+1,1))</f>
        <v>384.05928630855732</v>
      </c>
      <c r="T190" s="59">
        <f t="shared" si="142"/>
        <v>279.93992813630513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304.99999999999983</v>
      </c>
      <c r="AJ190" s="13">
        <f>AI190*VLOOKUP('Données projet'!$B$10,Paramètres!$A$1:$I$89,3,0)*VLOOKUP('Données projet'!$B$10,Paramètres!$A$1:$I$89,5,0)</f>
        <v>275.96399999999983</v>
      </c>
      <c r="AK190" s="13">
        <f t="shared" si="164"/>
        <v>66.113366665488854</v>
      </c>
      <c r="AL190" s="20">
        <f t="shared" si="165"/>
        <v>595.78474694239264</v>
      </c>
      <c r="AM190" s="59">
        <f t="shared" si="113"/>
        <v>889.11808027572602</v>
      </c>
      <c r="AN190" s="59">
        <f ca="1">AVERAGE(OFFSET($AM$3,0,0,'Données projet'!$E$10+1,1))-AVERAGE(OFFSET($H$3,0,0,'Données projet'!$E$10+1,1))</f>
        <v>366.69125512029831</v>
      </c>
      <c r="AO190" s="59">
        <f t="shared" si="144"/>
        <v>513.80016421153414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7.2140389347711872E-2</v>
      </c>
      <c r="AV190" s="21">
        <f>EXP(-LN(2)/25)*AV189+(1-EXP(-LN(2)/25))/(LN(2)/25)*Calculateur!AQ190*Calculateur!AS190*VLOOKUP('Données projet'!$B$10,Paramètres!$A$1:$I$89,3,0)*0.475*44/12</f>
        <v>9.5009001042140648E-2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0.16714939038985252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212.28480000000002</v>
      </c>
      <c r="BF190" s="13">
        <f t="shared" si="167"/>
        <v>52.434557099704193</v>
      </c>
      <c r="BG190" s="20">
        <f t="shared" si="168"/>
        <v>461.05288028198476</v>
      </c>
      <c r="BH190" s="59">
        <f t="shared" si="116"/>
        <v>754.38621361531807</v>
      </c>
      <c r="BI190" s="59">
        <f ca="1">AVERAGE(OFFSET($BH$3,0,0,'Données projet'!$E$11+1,1))-AVERAGE(OFFSET($H$3,0,0,'Données projet'!$E$11+1,1))</f>
        <v>354.24684313982857</v>
      </c>
      <c r="BJ190" s="59">
        <f t="shared" si="146"/>
        <v>322.65043486962185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4.8655387573183768</v>
      </c>
      <c r="BQ190" s="21">
        <f>EXP(-LN(2)/25)*BQ189+(1-EXP(-LN(2)/25))/(LN(2)/25)*Calculateur!BL190*Calculateur!BN190*VLOOKUP('Données projet'!$B$11,Paramètres!$A$1:$I$89,3,0)*0.475*44/12</f>
        <v>1.3345222821725053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6.2000610394908824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5.4978954722173515E-13</v>
      </c>
      <c r="CA190" s="13">
        <f t="shared" si="170"/>
        <v>6.7731340873355904E-12</v>
      </c>
      <c r="CB190" s="20">
        <f t="shared" si="171"/>
        <v>1.2754091996854009E-11</v>
      </c>
      <c r="CC190" s="59">
        <f t="shared" si="119"/>
        <v>293.33333333334605</v>
      </c>
      <c r="CD190" s="59">
        <f ca="1">AVERAGE(OFFSET($CC$3,0,0,'Données projet'!$E$12+1,1))-AVERAGE(OFFSET($H$3,0,0,'Données projet'!$E$12+1,1))</f>
        <v>407.73540492005355</v>
      </c>
      <c r="CE190" s="59">
        <f t="shared" si="148"/>
        <v>296.29416764204774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60.294236315241648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60.294236315241648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266.99999999999983</v>
      </c>
      <c r="CU190" s="17">
        <f>CT190*VLOOKUP('Données projet'!$B$13,Paramètres!$A$1:$I$89,3,0)*VLOOKUP('Données projet'!$B$13,Paramètres!$A$1:$I$89,5,0)</f>
        <v>212.42519999999985</v>
      </c>
      <c r="CV190" s="13">
        <f t="shared" si="173"/>
        <v>52.465198231787184</v>
      </c>
      <c r="CW190" s="20">
        <f t="shared" si="174"/>
        <v>461.35077692036231</v>
      </c>
      <c r="CX190" s="59">
        <f t="shared" si="122"/>
        <v>754.68411025369562</v>
      </c>
      <c r="CY190" s="59">
        <f ca="1">AVERAGE(OFFSET($CX$3,0,0,'Données projet'!$E$13+1,1))-AVERAGE(OFFSET($H$3,0,0,'Données projet'!$E$13+1,1))</f>
        <v>299.10536994156814</v>
      </c>
      <c r="CZ190" s="59">
        <f t="shared" si="150"/>
        <v>292.57799203101769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3.4591540791231683</v>
      </c>
      <c r="DG190" s="21">
        <f>EXP(-LN(2)/25)*DG189+(1-EXP(-LN(2)/25))/(LN(2)/25)*Calculateur!DB190*Calculateur!DD190*VLOOKUP('Données projet'!$B$13,Paramètres!$A$1:$I$89,3,0)*0.475*44/12</f>
        <v>0.42872649203071617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3.8878805711538846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266.99999999999983</v>
      </c>
      <c r="DP190" s="17">
        <f>DO190*VLOOKUP('Données projet'!$B$14,Paramètres!$A$1:$I$89,3,0)*VLOOKUP('Données projet'!$B$14,Paramètres!$A$1:$I$89,5,0)</f>
        <v>212.42519999999985</v>
      </c>
      <c r="DQ190" s="13">
        <f t="shared" si="176"/>
        <v>52.465198231787184</v>
      </c>
      <c r="DR190" s="20">
        <f t="shared" si="177"/>
        <v>461.35077692036231</v>
      </c>
      <c r="DS190" s="59">
        <f t="shared" si="125"/>
        <v>754.68411025369562</v>
      </c>
      <c r="DT190" s="59">
        <f ca="1">AVERAGE(OFFSET($DS$3,0,0,'Données projet'!$E$14+1,1))-AVERAGE(OFFSET($H$3,0,0,'Données projet'!$E$14+1,1))</f>
        <v>299.10536994156814</v>
      </c>
      <c r="DU190" s="59">
        <f t="shared" si="152"/>
        <v>292.57799203101769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3.4591540791231683</v>
      </c>
      <c r="EB190" s="21">
        <f>EXP(-LN(2)/25)*EB189+(1-EXP(-LN(2)/25))/(LN(2)/25)*Calculateur!DW190*Calculateur!DY190*VLOOKUP('Données projet'!$B$14,Paramètres!$A$1:$I$89,3,0)*0.475*44/12</f>
        <v>0.42872649203071617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3.8878805711538846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204.00000000000017</v>
      </c>
      <c r="EK190" s="17">
        <f>EJ190*VLOOKUP('Données projet'!$B$15,Paramètres!$A$1:$I$89,3,0)*VLOOKUP('Données projet'!$B$15,Paramètres!$A$1:$I$89,5,0)</f>
        <v>133.66080000000011</v>
      </c>
      <c r="EL190" s="13">
        <f t="shared" si="179"/>
        <v>34.840890682716783</v>
      </c>
      <c r="EM190" s="20">
        <f t="shared" si="180"/>
        <v>293.4737779390652</v>
      </c>
      <c r="EN190" s="59">
        <f t="shared" si="128"/>
        <v>586.80711127239852</v>
      </c>
      <c r="EO190" s="59">
        <f ca="1">AVERAGE(OFFSET($EN$3,0,0,'Données projet'!$E$15+1,1))-AVERAGE(OFFSET($H$3,0,0,'Données projet'!$E$15+1,1))</f>
        <v>230.58262378842818</v>
      </c>
      <c r="EP190" s="59">
        <f t="shared" si="154"/>
        <v>235.68746142880792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0.27967959730596759</v>
      </c>
      <c r="EW190" s="21">
        <f>EXP(-LN(2)/25)*EW189+(1-EXP(-LN(2)/25))/(LN(2)/25)*Calculateur!ER190*Calculateur!ET190*VLOOKUP('Données projet'!$B$15,Paramètres!$A$1:$I$89,3,0)*0.475*44/12</f>
        <v>0.73274230578530097</v>
      </c>
      <c r="EX190" s="21">
        <f>EXP(-LN(2)/2)*EX189+(1-EXP(-LN(2)/2))/(LN(2)/2)*ER190*EU190*VLOOKUP('Données projet'!$B$15,Paramètres!$A$1:$I$89,3,0)*0.475*44/12</f>
        <v>7.4788620225523135E-15</v>
      </c>
      <c r="EY190" s="22">
        <f t="shared" si="181"/>
        <v>1.0124219030912762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234.00000000000003</v>
      </c>
      <c r="FF190" s="17">
        <f>FE190*VLOOKUP('Données projet'!$B$16,Paramètres!$A$1:$I$89,3,0)*VLOOKUP('Données projet'!$B$16,Paramètres!$A$1:$I$89,5,0)</f>
        <v>189.82080000000005</v>
      </c>
      <c r="FG190" s="13">
        <f t="shared" si="182"/>
        <v>47.500332100049796</v>
      </c>
      <c r="FH190" s="20">
        <f t="shared" si="183"/>
        <v>413.33430507425345</v>
      </c>
      <c r="FI190" s="59">
        <f t="shared" si="131"/>
        <v>706.66763840758676</v>
      </c>
      <c r="FJ190" s="59">
        <f ca="1">AVERAGE(OFFSET($FI$3,0,0,'Données projet'!$E$16+1,1))-AVERAGE(OFFSET($H$3,0,0,'Données projet'!$E$16+1,1))</f>
        <v>272.90535195666996</v>
      </c>
      <c r="FK190" s="59">
        <f t="shared" si="156"/>
        <v>222.25422164416898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0.68467492499872751</v>
      </c>
      <c r="FR190" s="21">
        <f>EXP(-LN(2)/25)*FR189+(1-EXP(-LN(2)/25))/(LN(2)/25)*Calculateur!FM190*Calculateur!FO190*VLOOKUP('Données projet'!$B$16,Paramètres!$A$1:$I$89,3,0)*0.475*44/12</f>
        <v>0.83653537214095341</v>
      </c>
      <c r="FS190" s="21">
        <f>EXP(-LN(2)/2)*FS189+(1-EXP(-LN(2)/2))/(LN(2)/2)*FM190*FP190*VLOOKUP('Données projet'!$B$16,Paramètres!$A$1:$I$89,3,0)*0.475*44/12</f>
        <v>3.4014841451801138E-15</v>
      </c>
      <c r="FT190" s="22">
        <f t="shared" si="184"/>
        <v>1.5212102971396841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293.33333333334531</v>
      </c>
      <c r="S191" s="59">
        <f ca="1">AVERAGE(OFFSET($R$3,0,0,'Données projet'!$E$9+1,1))-AVERAGE(OFFSET($H$3,0,0,'Données projet'!$E$9+1,1))</f>
        <v>384.05928630855732</v>
      </c>
      <c r="T191" s="59">
        <f t="shared" si="142"/>
        <v>279.93992813630513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304.99999999999983</v>
      </c>
      <c r="AJ191" s="13">
        <f>AI191*VLOOKUP('Données projet'!$B$10,Paramètres!$A$1:$I$89,3,0)*VLOOKUP('Données projet'!$B$10,Paramètres!$A$1:$I$89,5,0)</f>
        <v>275.96399999999983</v>
      </c>
      <c r="AK191" s="13">
        <f t="shared" si="164"/>
        <v>66.113366665488854</v>
      </c>
      <c r="AL191" s="20">
        <f t="shared" si="165"/>
        <v>595.78474694239264</v>
      </c>
      <c r="AM191" s="59">
        <f t="shared" si="113"/>
        <v>889.11808027572602</v>
      </c>
      <c r="AN191" s="59">
        <f ca="1">AVERAGE(OFFSET($AM$3,0,0,'Données projet'!$E$10+1,1))-AVERAGE(OFFSET($H$3,0,0,'Données projet'!$E$10+1,1))</f>
        <v>366.69125512029831</v>
      </c>
      <c r="AO191" s="59">
        <f t="shared" si="144"/>
        <v>513.80016421153414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7.0725760313895977E-2</v>
      </c>
      <c r="AV191" s="21">
        <f>EXP(-LN(2)/25)*AV190+(1-EXP(-LN(2)/25))/(LN(2)/25)*Calculateur!AQ191*Calculateur!AS191*VLOOKUP('Données projet'!$B$10,Paramètres!$A$1:$I$89,3,0)*0.475*44/12</f>
        <v>9.2410974912337088E-2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0.16313673522623306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212.28480000000002</v>
      </c>
      <c r="BF191" s="13">
        <f t="shared" si="167"/>
        <v>52.434557099704193</v>
      </c>
      <c r="BG191" s="20">
        <f t="shared" si="168"/>
        <v>461.05288028198476</v>
      </c>
      <c r="BH191" s="59">
        <f t="shared" si="116"/>
        <v>754.38621361531807</v>
      </c>
      <c r="BI191" s="59">
        <f ca="1">AVERAGE(OFFSET($BH$3,0,0,'Données projet'!$E$11+1,1))-AVERAGE(OFFSET($H$3,0,0,'Données projet'!$E$11+1,1))</f>
        <v>354.24684313982857</v>
      </c>
      <c r="BJ191" s="59">
        <f t="shared" si="146"/>
        <v>322.65043486962185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4.7701285099729711</v>
      </c>
      <c r="BQ191" s="21">
        <f>EXP(-LN(2)/25)*BQ190+(1-EXP(-LN(2)/25))/(LN(2)/25)*Calculateur!BL191*Calculateur!BN191*VLOOKUP('Données projet'!$B$11,Paramètres!$A$1:$I$89,3,0)*0.475*44/12</f>
        <v>1.2980297001870214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6.0681582101599929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5.4978954722173515E-13</v>
      </c>
      <c r="CA191" s="13">
        <f t="shared" si="170"/>
        <v>6.7731340873355904E-12</v>
      </c>
      <c r="CB191" s="20">
        <f t="shared" si="171"/>
        <v>1.2754091996854009E-11</v>
      </c>
      <c r="CC191" s="59">
        <f t="shared" si="119"/>
        <v>293.33333333334605</v>
      </c>
      <c r="CD191" s="59">
        <f ca="1">AVERAGE(OFFSET($CC$3,0,0,'Données projet'!$E$12+1,1))-AVERAGE(OFFSET($H$3,0,0,'Données projet'!$E$12+1,1))</f>
        <v>407.73540492005355</v>
      </c>
      <c r="CE191" s="59">
        <f t="shared" si="148"/>
        <v>296.29416764204774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59.111903116952597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59.111903116952597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266.99999999999983</v>
      </c>
      <c r="CU191" s="17">
        <f>CT191*VLOOKUP('Données projet'!$B$13,Paramètres!$A$1:$I$89,3,0)*VLOOKUP('Données projet'!$B$13,Paramètres!$A$1:$I$89,5,0)</f>
        <v>212.42519999999985</v>
      </c>
      <c r="CV191" s="13">
        <f t="shared" si="173"/>
        <v>52.465198231787184</v>
      </c>
      <c r="CW191" s="20">
        <f t="shared" si="174"/>
        <v>461.35077692036231</v>
      </c>
      <c r="CX191" s="59">
        <f t="shared" si="122"/>
        <v>754.68411025369562</v>
      </c>
      <c r="CY191" s="59">
        <f ca="1">AVERAGE(OFFSET($CX$3,0,0,'Données projet'!$E$13+1,1))-AVERAGE(OFFSET($H$3,0,0,'Données projet'!$E$13+1,1))</f>
        <v>299.10536994156814</v>
      </c>
      <c r="CZ191" s="59">
        <f t="shared" si="150"/>
        <v>292.57799203101769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3.3913221775072184</v>
      </c>
      <c r="DG191" s="21">
        <f>EXP(-LN(2)/25)*DG190+(1-EXP(-LN(2)/25))/(LN(2)/25)*Calculateur!DB191*Calculateur!DD191*VLOOKUP('Données projet'!$B$13,Paramètres!$A$1:$I$89,3,0)*0.475*44/12</f>
        <v>0.41700294356038986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3.8083251210676083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266.99999999999983</v>
      </c>
      <c r="DP191" s="17">
        <f>DO191*VLOOKUP('Données projet'!$B$14,Paramètres!$A$1:$I$89,3,0)*VLOOKUP('Données projet'!$B$14,Paramètres!$A$1:$I$89,5,0)</f>
        <v>212.42519999999985</v>
      </c>
      <c r="DQ191" s="13">
        <f t="shared" si="176"/>
        <v>52.465198231787184</v>
      </c>
      <c r="DR191" s="20">
        <f t="shared" si="177"/>
        <v>461.35077692036231</v>
      </c>
      <c r="DS191" s="59">
        <f t="shared" si="125"/>
        <v>754.68411025369562</v>
      </c>
      <c r="DT191" s="59">
        <f ca="1">AVERAGE(OFFSET($DS$3,0,0,'Données projet'!$E$14+1,1))-AVERAGE(OFFSET($H$3,0,0,'Données projet'!$E$14+1,1))</f>
        <v>299.10536994156814</v>
      </c>
      <c r="DU191" s="59">
        <f t="shared" si="152"/>
        <v>292.57799203101769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3.3913221775072184</v>
      </c>
      <c r="EB191" s="21">
        <f>EXP(-LN(2)/25)*EB190+(1-EXP(-LN(2)/25))/(LN(2)/25)*Calculateur!DW191*Calculateur!DY191*VLOOKUP('Données projet'!$B$14,Paramètres!$A$1:$I$89,3,0)*0.475*44/12</f>
        <v>0.41700294356038986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3.8083251210676083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204.00000000000017</v>
      </c>
      <c r="EK191" s="17">
        <f>EJ191*VLOOKUP('Données projet'!$B$15,Paramètres!$A$1:$I$89,3,0)*VLOOKUP('Données projet'!$B$15,Paramètres!$A$1:$I$89,5,0)</f>
        <v>133.66080000000011</v>
      </c>
      <c r="EL191" s="13">
        <f t="shared" si="179"/>
        <v>34.840890682716783</v>
      </c>
      <c r="EM191" s="20">
        <f t="shared" si="180"/>
        <v>293.4737779390652</v>
      </c>
      <c r="EN191" s="59">
        <f t="shared" si="128"/>
        <v>586.80711127239852</v>
      </c>
      <c r="EO191" s="59">
        <f ca="1">AVERAGE(OFFSET($EN$3,0,0,'Données projet'!$E$15+1,1))-AVERAGE(OFFSET($H$3,0,0,'Données projet'!$E$15+1,1))</f>
        <v>230.58262378842818</v>
      </c>
      <c r="EP191" s="59">
        <f t="shared" si="154"/>
        <v>235.68746142880792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0.27419525099050779</v>
      </c>
      <c r="EW191" s="21">
        <f>EXP(-LN(2)/25)*EW190+(1-EXP(-LN(2)/25))/(LN(2)/25)*Calculateur!ER191*Calculateur!ET191*VLOOKUP('Données projet'!$B$15,Paramètres!$A$1:$I$89,3,0)*0.475*44/12</f>
        <v>0.71270542890035882</v>
      </c>
      <c r="EX191" s="21">
        <f>EXP(-LN(2)/2)*EX190+(1-EXP(-LN(2)/2))/(LN(2)/2)*ER191*EU191*VLOOKUP('Données projet'!$B$15,Paramètres!$A$1:$I$89,3,0)*0.475*44/12</f>
        <v>5.2883540517052791E-15</v>
      </c>
      <c r="EY191" s="22">
        <f t="shared" si="181"/>
        <v>0.98690067989087193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234.00000000000003</v>
      </c>
      <c r="FF191" s="17">
        <f>FE191*VLOOKUP('Données projet'!$B$16,Paramètres!$A$1:$I$89,3,0)*VLOOKUP('Données projet'!$B$16,Paramètres!$A$1:$I$89,5,0)</f>
        <v>189.82080000000005</v>
      </c>
      <c r="FG191" s="13">
        <f t="shared" si="182"/>
        <v>47.500332100049796</v>
      </c>
      <c r="FH191" s="20">
        <f t="shared" si="183"/>
        <v>413.33430507425345</v>
      </c>
      <c r="FI191" s="59">
        <f t="shared" si="131"/>
        <v>706.66763840758676</v>
      </c>
      <c r="FJ191" s="59">
        <f ca="1">AVERAGE(OFFSET($FI$3,0,0,'Données projet'!$E$16+1,1))-AVERAGE(OFFSET($H$3,0,0,'Données projet'!$E$16+1,1))</f>
        <v>272.90535195666996</v>
      </c>
      <c r="FK191" s="59">
        <f t="shared" si="156"/>
        <v>222.25422164416898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0.67124886732997113</v>
      </c>
      <c r="FR191" s="21">
        <f>EXP(-LN(2)/25)*FR190+(1-EXP(-LN(2)/25))/(LN(2)/25)*Calculateur!FM191*Calculateur!FO191*VLOOKUP('Données projet'!$B$16,Paramètres!$A$1:$I$89,3,0)*0.475*44/12</f>
        <v>0.81366026839827577</v>
      </c>
      <c r="FS191" s="21">
        <f>EXP(-LN(2)/2)*FS190+(1-EXP(-LN(2)/2))/(LN(2)/2)*FM191*FP191*VLOOKUP('Données projet'!$B$16,Paramètres!$A$1:$I$89,3,0)*0.475*44/12</f>
        <v>2.4052125051553853E-15</v>
      </c>
      <c r="FT191" s="22">
        <f t="shared" si="184"/>
        <v>1.4849091357282493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293.33333333334531</v>
      </c>
      <c r="S192" s="59">
        <f ca="1">AVERAGE(OFFSET($R$3,0,0,'Données projet'!$E$9+1,1))-AVERAGE(OFFSET($H$3,0,0,'Données projet'!$E$9+1,1))</f>
        <v>384.05928630855732</v>
      </c>
      <c r="T192" s="59">
        <f t="shared" si="142"/>
        <v>279.93992813630513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304.99999999999983</v>
      </c>
      <c r="AJ192" s="13">
        <f>AI192*VLOOKUP('Données projet'!$B$10,Paramètres!$A$1:$I$89,3,0)*VLOOKUP('Données projet'!$B$10,Paramètres!$A$1:$I$89,5,0)</f>
        <v>275.96399999999983</v>
      </c>
      <c r="AK192" s="13">
        <f t="shared" si="164"/>
        <v>66.113366665488854</v>
      </c>
      <c r="AL192" s="20">
        <f t="shared" si="165"/>
        <v>595.78474694239264</v>
      </c>
      <c r="AM192" s="59">
        <f t="shared" si="113"/>
        <v>889.11808027572602</v>
      </c>
      <c r="AN192" s="59">
        <f ca="1">AVERAGE(OFFSET($AM$3,0,0,'Données projet'!$E$10+1,1))-AVERAGE(OFFSET($H$3,0,0,'Données projet'!$E$10+1,1))</f>
        <v>366.69125512029831</v>
      </c>
      <c r="AO192" s="59">
        <f t="shared" si="144"/>
        <v>513.80016421153414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6.9338871292594695E-2</v>
      </c>
      <c r="AV192" s="21">
        <f>EXP(-LN(2)/25)*AV191+(1-EXP(-LN(2)/25))/(LN(2)/25)*Calculateur!AQ192*Calculateur!AS192*VLOOKUP('Données projet'!$B$10,Paramètres!$A$1:$I$89,3,0)*0.475*44/12</f>
        <v>8.9883991943677272E-2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0.15922286323627197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212.28480000000002</v>
      </c>
      <c r="BF192" s="13">
        <f t="shared" si="167"/>
        <v>52.434557099704193</v>
      </c>
      <c r="BG192" s="20">
        <f t="shared" si="168"/>
        <v>461.05288028198476</v>
      </c>
      <c r="BH192" s="59">
        <f t="shared" si="116"/>
        <v>754.38621361531807</v>
      </c>
      <c r="BI192" s="59">
        <f ca="1">AVERAGE(OFFSET($BH$3,0,0,'Données projet'!$E$11+1,1))-AVERAGE(OFFSET($H$3,0,0,'Données projet'!$E$11+1,1))</f>
        <v>354.24684313982857</v>
      </c>
      <c r="BJ192" s="59">
        <f t="shared" si="146"/>
        <v>322.65043486962185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4.6765891993835043</v>
      </c>
      <c r="BQ192" s="21">
        <f>EXP(-LN(2)/25)*BQ191+(1-EXP(-LN(2)/25))/(LN(2)/25)*Calculateur!BL192*Calculateur!BN192*VLOOKUP('Données projet'!$B$11,Paramètres!$A$1:$I$89,3,0)*0.475*44/12</f>
        <v>1.2625350097749921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5.9391242091584964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5.4978954722173515E-13</v>
      </c>
      <c r="CA192" s="13">
        <f t="shared" si="170"/>
        <v>6.7731340873355904E-12</v>
      </c>
      <c r="CB192" s="20">
        <f t="shared" si="171"/>
        <v>1.2754091996854009E-11</v>
      </c>
      <c r="CC192" s="59">
        <f t="shared" si="119"/>
        <v>293.33333333334605</v>
      </c>
      <c r="CD192" s="59">
        <f ca="1">AVERAGE(OFFSET($CC$3,0,0,'Données projet'!$E$12+1,1))-AVERAGE(OFFSET($H$3,0,0,'Données projet'!$E$12+1,1))</f>
        <v>407.73540492005355</v>
      </c>
      <c r="CE192" s="59">
        <f t="shared" si="148"/>
        <v>296.29416764204774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57.952754751529952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57.952754751529952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266.99999999999983</v>
      </c>
      <c r="CU192" s="17">
        <f>CT192*VLOOKUP('Données projet'!$B$13,Paramètres!$A$1:$I$89,3,0)*VLOOKUP('Données projet'!$B$13,Paramètres!$A$1:$I$89,5,0)</f>
        <v>212.42519999999985</v>
      </c>
      <c r="CV192" s="13">
        <f t="shared" si="173"/>
        <v>52.465198231787184</v>
      </c>
      <c r="CW192" s="20">
        <f t="shared" si="174"/>
        <v>461.35077692036231</v>
      </c>
      <c r="CX192" s="59">
        <f t="shared" si="122"/>
        <v>754.68411025369562</v>
      </c>
      <c r="CY192" s="59">
        <f ca="1">AVERAGE(OFFSET($CX$3,0,0,'Données projet'!$E$13+1,1))-AVERAGE(OFFSET($H$3,0,0,'Données projet'!$E$13+1,1))</f>
        <v>299.10536994156814</v>
      </c>
      <c r="CZ192" s="59">
        <f t="shared" si="150"/>
        <v>292.57799203101769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3.3248204181085823</v>
      </c>
      <c r="DG192" s="21">
        <f>EXP(-LN(2)/25)*DG191+(1-EXP(-LN(2)/25))/(LN(2)/25)*Calculateur!DB192*Calculateur!DD192*VLOOKUP('Données projet'!$B$13,Paramètres!$A$1:$I$89,3,0)*0.475*44/12</f>
        <v>0.40559997613949927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3.7304203942480818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266.99999999999983</v>
      </c>
      <c r="DP192" s="17">
        <f>DO192*VLOOKUP('Données projet'!$B$14,Paramètres!$A$1:$I$89,3,0)*VLOOKUP('Données projet'!$B$14,Paramètres!$A$1:$I$89,5,0)</f>
        <v>212.42519999999985</v>
      </c>
      <c r="DQ192" s="13">
        <f t="shared" si="176"/>
        <v>52.465198231787184</v>
      </c>
      <c r="DR192" s="20">
        <f t="shared" si="177"/>
        <v>461.35077692036231</v>
      </c>
      <c r="DS192" s="59">
        <f t="shared" si="125"/>
        <v>754.68411025369562</v>
      </c>
      <c r="DT192" s="59">
        <f ca="1">AVERAGE(OFFSET($DS$3,0,0,'Données projet'!$E$14+1,1))-AVERAGE(OFFSET($H$3,0,0,'Données projet'!$E$14+1,1))</f>
        <v>299.10536994156814</v>
      </c>
      <c r="DU192" s="59">
        <f t="shared" si="152"/>
        <v>292.57799203101769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3.3248204181085823</v>
      </c>
      <c r="EB192" s="21">
        <f>EXP(-LN(2)/25)*EB191+(1-EXP(-LN(2)/25))/(LN(2)/25)*Calculateur!DW192*Calculateur!DY192*VLOOKUP('Données projet'!$B$14,Paramètres!$A$1:$I$89,3,0)*0.475*44/12</f>
        <v>0.40559997613949927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3.7304203942480818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204.00000000000017</v>
      </c>
      <c r="EK192" s="17">
        <f>EJ192*VLOOKUP('Données projet'!$B$15,Paramètres!$A$1:$I$89,3,0)*VLOOKUP('Données projet'!$B$15,Paramètres!$A$1:$I$89,5,0)</f>
        <v>133.66080000000011</v>
      </c>
      <c r="EL192" s="13">
        <f t="shared" si="179"/>
        <v>34.840890682716783</v>
      </c>
      <c r="EM192" s="20">
        <f t="shared" si="180"/>
        <v>293.4737779390652</v>
      </c>
      <c r="EN192" s="59">
        <f t="shared" si="128"/>
        <v>586.80711127239852</v>
      </c>
      <c r="EO192" s="59">
        <f ca="1">AVERAGE(OFFSET($EN$3,0,0,'Données projet'!$E$15+1,1))-AVERAGE(OFFSET($H$3,0,0,'Données projet'!$E$15+1,1))</f>
        <v>230.58262378842818</v>
      </c>
      <c r="EP192" s="59">
        <f t="shared" si="154"/>
        <v>235.68746142880792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0.26881844936117322</v>
      </c>
      <c r="EW192" s="21">
        <f>EXP(-LN(2)/25)*EW191+(1-EXP(-LN(2)/25))/(LN(2)/25)*Calculateur!ER192*Calculateur!ET192*VLOOKUP('Données projet'!$B$15,Paramètres!$A$1:$I$89,3,0)*0.475*44/12</f>
        <v>0.69321646146752891</v>
      </c>
      <c r="EX192" s="21">
        <f>EXP(-LN(2)/2)*EX191+(1-EXP(-LN(2)/2))/(LN(2)/2)*ER192*EU192*VLOOKUP('Données projet'!$B$15,Paramètres!$A$1:$I$89,3,0)*0.475*44/12</f>
        <v>3.7394310112761568E-15</v>
      </c>
      <c r="EY192" s="22">
        <f t="shared" si="181"/>
        <v>0.96203491082870585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234.00000000000003</v>
      </c>
      <c r="FF192" s="17">
        <f>FE192*VLOOKUP('Données projet'!$B$16,Paramètres!$A$1:$I$89,3,0)*VLOOKUP('Données projet'!$B$16,Paramètres!$A$1:$I$89,5,0)</f>
        <v>189.82080000000005</v>
      </c>
      <c r="FG192" s="13">
        <f t="shared" si="182"/>
        <v>47.500332100049796</v>
      </c>
      <c r="FH192" s="20">
        <f t="shared" si="183"/>
        <v>413.33430507425345</v>
      </c>
      <c r="FI192" s="59">
        <f t="shared" si="131"/>
        <v>706.66763840758676</v>
      </c>
      <c r="FJ192" s="59">
        <f ca="1">AVERAGE(OFFSET($FI$3,0,0,'Données projet'!$E$16+1,1))-AVERAGE(OFFSET($H$3,0,0,'Données projet'!$E$16+1,1))</f>
        <v>272.90535195666996</v>
      </c>
      <c r="FK192" s="59">
        <f t="shared" si="156"/>
        <v>222.25422164416898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0.65808608646301248</v>
      </c>
      <c r="FR192" s="21">
        <f>EXP(-LN(2)/25)*FR191+(1-EXP(-LN(2)/25))/(LN(2)/25)*Calculateur!FM192*Calculateur!FO192*VLOOKUP('Données projet'!$B$16,Paramètres!$A$1:$I$89,3,0)*0.475*44/12</f>
        <v>0.79141068557039107</v>
      </c>
      <c r="FS192" s="21">
        <f>EXP(-LN(2)/2)*FS191+(1-EXP(-LN(2)/2))/(LN(2)/2)*FM192*FP192*VLOOKUP('Données projet'!$B$16,Paramètres!$A$1:$I$89,3,0)*0.475*44/12</f>
        <v>1.7007420725900569E-15</v>
      </c>
      <c r="FT192" s="22">
        <f t="shared" si="184"/>
        <v>1.4494967720334053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293.33333333334531</v>
      </c>
      <c r="S193" s="59">
        <f ca="1">AVERAGE(OFFSET($R$3,0,0,'Données projet'!$E$9+1,1))-AVERAGE(OFFSET($H$3,0,0,'Données projet'!$E$9+1,1))</f>
        <v>384.05928630855732</v>
      </c>
      <c r="T193" s="59">
        <f t="shared" si="142"/>
        <v>279.93992813630513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304.99999999999983</v>
      </c>
      <c r="AJ193" s="13">
        <f>AI193*VLOOKUP('Données projet'!$B$10,Paramètres!$A$1:$I$89,3,0)*VLOOKUP('Données projet'!$B$10,Paramètres!$A$1:$I$89,5,0)</f>
        <v>275.96399999999983</v>
      </c>
      <c r="AK193" s="13">
        <f t="shared" si="164"/>
        <v>66.113366665488854</v>
      </c>
      <c r="AL193" s="20">
        <f t="shared" si="165"/>
        <v>595.78474694239264</v>
      </c>
      <c r="AM193" s="59">
        <f t="shared" si="113"/>
        <v>889.11808027572602</v>
      </c>
      <c r="AN193" s="59">
        <f ca="1">AVERAGE(OFFSET($AM$3,0,0,'Données projet'!$E$10+1,1))-AVERAGE(OFFSET($H$3,0,0,'Données projet'!$E$10+1,1))</f>
        <v>366.69125512029831</v>
      </c>
      <c r="AO193" s="59">
        <f t="shared" si="144"/>
        <v>513.80016421153414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6.7979178319082359E-2</v>
      </c>
      <c r="AV193" s="21">
        <f>EXP(-LN(2)/25)*AV192+(1-EXP(-LN(2)/25))/(LN(2)/25)*Calculateur!AQ193*Calculateur!AS193*VLOOKUP('Données projet'!$B$10,Paramètres!$A$1:$I$89,3,0)*0.475*44/12</f>
        <v>8.7426109457183709E-2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0.15540528777626605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212.28480000000002</v>
      </c>
      <c r="BF193" s="13">
        <f t="shared" si="167"/>
        <v>52.434557099704193</v>
      </c>
      <c r="BG193" s="20">
        <f t="shared" si="168"/>
        <v>461.05288028198476</v>
      </c>
      <c r="BH193" s="59">
        <f t="shared" si="116"/>
        <v>754.38621361531807</v>
      </c>
      <c r="BI193" s="59">
        <f ca="1">AVERAGE(OFFSET($BH$3,0,0,'Données projet'!$E$11+1,1))-AVERAGE(OFFSET($H$3,0,0,'Données projet'!$E$11+1,1))</f>
        <v>354.24684313982857</v>
      </c>
      <c r="BJ193" s="59">
        <f t="shared" si="146"/>
        <v>322.65043486962185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4.5848841376213505</v>
      </c>
      <c r="BQ193" s="21">
        <f>EXP(-LN(2)/25)*BQ192+(1-EXP(-LN(2)/25))/(LN(2)/25)*Calculateur!BL193*Calculateur!BN193*VLOOKUP('Données projet'!$B$11,Paramètres!$A$1:$I$89,3,0)*0.475*44/12</f>
        <v>1.2280109235388643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5.8128950611602148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5.4978954722173515E-13</v>
      </c>
      <c r="CA193" s="13">
        <f t="shared" si="170"/>
        <v>6.7731340873355904E-12</v>
      </c>
      <c r="CB193" s="20">
        <f t="shared" si="171"/>
        <v>1.2754091996854009E-11</v>
      </c>
      <c r="CC193" s="59">
        <f t="shared" si="119"/>
        <v>293.33333333334605</v>
      </c>
      <c r="CD193" s="59">
        <f ca="1">AVERAGE(OFFSET($CC$3,0,0,'Données projet'!$E$12+1,1))-AVERAGE(OFFSET($H$3,0,0,'Données projet'!$E$12+1,1))</f>
        <v>407.73540492005355</v>
      </c>
      <c r="CE193" s="59">
        <f t="shared" si="148"/>
        <v>296.29416764204774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56.816336578542554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56.816336578542554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266.99999999999983</v>
      </c>
      <c r="CU193" s="17">
        <f>CT193*VLOOKUP('Données projet'!$B$13,Paramètres!$A$1:$I$89,3,0)*VLOOKUP('Données projet'!$B$13,Paramètres!$A$1:$I$89,5,0)</f>
        <v>212.42519999999985</v>
      </c>
      <c r="CV193" s="13">
        <f t="shared" si="173"/>
        <v>52.465198231787184</v>
      </c>
      <c r="CW193" s="20">
        <f t="shared" si="174"/>
        <v>461.35077692036231</v>
      </c>
      <c r="CX193" s="59">
        <f t="shared" si="122"/>
        <v>754.68411025369562</v>
      </c>
      <c r="CY193" s="59">
        <f ca="1">AVERAGE(OFFSET($CX$3,0,0,'Données projet'!$E$13+1,1))-AVERAGE(OFFSET($H$3,0,0,'Données projet'!$E$13+1,1))</f>
        <v>299.10536994156814</v>
      </c>
      <c r="CZ193" s="59">
        <f t="shared" si="150"/>
        <v>292.57799203101769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3.2596227176496857</v>
      </c>
      <c r="DG193" s="21">
        <f>EXP(-LN(2)/25)*DG192+(1-EXP(-LN(2)/25))/(LN(2)/25)*Calculateur!DB193*Calculateur!DD193*VLOOKUP('Données projet'!$B$13,Paramètres!$A$1:$I$89,3,0)*0.475*44/12</f>
        <v>0.39450882346238891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3.6541315411120747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266.99999999999983</v>
      </c>
      <c r="DP193" s="17">
        <f>DO193*VLOOKUP('Données projet'!$B$14,Paramètres!$A$1:$I$89,3,0)*VLOOKUP('Données projet'!$B$14,Paramètres!$A$1:$I$89,5,0)</f>
        <v>212.42519999999985</v>
      </c>
      <c r="DQ193" s="13">
        <f t="shared" si="176"/>
        <v>52.465198231787184</v>
      </c>
      <c r="DR193" s="20">
        <f t="shared" si="177"/>
        <v>461.35077692036231</v>
      </c>
      <c r="DS193" s="59">
        <f t="shared" si="125"/>
        <v>754.68411025369562</v>
      </c>
      <c r="DT193" s="59">
        <f ca="1">AVERAGE(OFFSET($DS$3,0,0,'Données projet'!$E$14+1,1))-AVERAGE(OFFSET($H$3,0,0,'Données projet'!$E$14+1,1))</f>
        <v>299.10536994156814</v>
      </c>
      <c r="DU193" s="59">
        <f t="shared" si="152"/>
        <v>292.57799203101769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3.2596227176496857</v>
      </c>
      <c r="EB193" s="21">
        <f>EXP(-LN(2)/25)*EB192+(1-EXP(-LN(2)/25))/(LN(2)/25)*Calculateur!DW193*Calculateur!DY193*VLOOKUP('Données projet'!$B$14,Paramètres!$A$1:$I$89,3,0)*0.475*44/12</f>
        <v>0.39450882346238891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3.6541315411120747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204.00000000000017</v>
      </c>
      <c r="EK193" s="17">
        <f>EJ193*VLOOKUP('Données projet'!$B$15,Paramètres!$A$1:$I$89,3,0)*VLOOKUP('Données projet'!$B$15,Paramètres!$A$1:$I$89,5,0)</f>
        <v>133.66080000000011</v>
      </c>
      <c r="EL193" s="13">
        <f t="shared" si="179"/>
        <v>34.840890682716783</v>
      </c>
      <c r="EM193" s="20">
        <f t="shared" si="180"/>
        <v>293.4737779390652</v>
      </c>
      <c r="EN193" s="59">
        <f t="shared" si="128"/>
        <v>586.80711127239852</v>
      </c>
      <c r="EO193" s="59">
        <f ca="1">AVERAGE(OFFSET($EN$3,0,0,'Données projet'!$E$15+1,1))-AVERAGE(OFFSET($H$3,0,0,'Données projet'!$E$15+1,1))</f>
        <v>230.58262378842818</v>
      </c>
      <c r="EP193" s="59">
        <f t="shared" si="154"/>
        <v>235.68746142880792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0.26354708353226469</v>
      </c>
      <c r="EW193" s="21">
        <f>EXP(-LN(2)/25)*EW192+(1-EXP(-LN(2)/25))/(LN(2)/25)*Calculateur!ER193*Calculateur!ET193*VLOOKUP('Données projet'!$B$15,Paramètres!$A$1:$I$89,3,0)*0.475*44/12</f>
        <v>0.67426042087403004</v>
      </c>
      <c r="EX193" s="21">
        <f>EXP(-LN(2)/2)*EX192+(1-EXP(-LN(2)/2))/(LN(2)/2)*ER193*EU193*VLOOKUP('Données projet'!$B$15,Paramètres!$A$1:$I$89,3,0)*0.475*44/12</f>
        <v>2.6441770258526396E-15</v>
      </c>
      <c r="EY193" s="22">
        <f t="shared" si="181"/>
        <v>0.93780750440629745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234.00000000000003</v>
      </c>
      <c r="FF193" s="17">
        <f>FE193*VLOOKUP('Données projet'!$B$16,Paramètres!$A$1:$I$89,3,0)*VLOOKUP('Données projet'!$B$16,Paramètres!$A$1:$I$89,5,0)</f>
        <v>189.82080000000005</v>
      </c>
      <c r="FG193" s="13">
        <f t="shared" si="182"/>
        <v>47.500332100049796</v>
      </c>
      <c r="FH193" s="20">
        <f t="shared" si="183"/>
        <v>413.33430507425345</v>
      </c>
      <c r="FI193" s="59">
        <f t="shared" si="131"/>
        <v>706.66763840758676</v>
      </c>
      <c r="FJ193" s="59">
        <f ca="1">AVERAGE(OFFSET($FI$3,0,0,'Données projet'!$E$16+1,1))-AVERAGE(OFFSET($H$3,0,0,'Données projet'!$E$16+1,1))</f>
        <v>272.90535195666996</v>
      </c>
      <c r="FK193" s="59">
        <f t="shared" si="156"/>
        <v>222.25422164416898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0.64518141970035126</v>
      </c>
      <c r="FR193" s="21">
        <f>EXP(-LN(2)/25)*FR192+(1-EXP(-LN(2)/25))/(LN(2)/25)*Calculateur!FM193*Calculateur!FO193*VLOOKUP('Données projet'!$B$16,Paramètres!$A$1:$I$89,3,0)*0.475*44/12</f>
        <v>0.76976951875498956</v>
      </c>
      <c r="FS193" s="21">
        <f>EXP(-LN(2)/2)*FS192+(1-EXP(-LN(2)/2))/(LN(2)/2)*FM193*FP193*VLOOKUP('Données projet'!$B$16,Paramètres!$A$1:$I$89,3,0)*0.475*44/12</f>
        <v>1.2026062525776927E-15</v>
      </c>
      <c r="FT193" s="22">
        <f t="shared" si="184"/>
        <v>1.4149509384553418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293.33333333334531</v>
      </c>
      <c r="S194" s="59">
        <f ca="1">AVERAGE(OFFSET($R$3,0,0,'Données projet'!$E$9+1,1))-AVERAGE(OFFSET($H$3,0,0,'Données projet'!$E$9+1,1))</f>
        <v>384.05928630855732</v>
      </c>
      <c r="T194" s="59">
        <f t="shared" si="142"/>
        <v>279.93992813630513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304.99999999999983</v>
      </c>
      <c r="AJ194" s="13">
        <f>AI194*VLOOKUP('Données projet'!$B$10,Paramètres!$A$1:$I$89,3,0)*VLOOKUP('Données projet'!$B$10,Paramètres!$A$1:$I$89,5,0)</f>
        <v>275.96399999999983</v>
      </c>
      <c r="AK194" s="13">
        <f t="shared" si="164"/>
        <v>66.113366665488854</v>
      </c>
      <c r="AL194" s="20">
        <f t="shared" si="165"/>
        <v>595.78474694239264</v>
      </c>
      <c r="AM194" s="59">
        <f t="shared" si="113"/>
        <v>889.11808027572602</v>
      </c>
      <c r="AN194" s="59">
        <f ca="1">AVERAGE(OFFSET($AM$3,0,0,'Données projet'!$E$10+1,1))-AVERAGE(OFFSET($H$3,0,0,'Données projet'!$E$10+1,1))</f>
        <v>366.69125512029831</v>
      </c>
      <c r="AO194" s="59">
        <f t="shared" si="144"/>
        <v>513.80016421153414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6.6646148095449775E-2</v>
      </c>
      <c r="AV194" s="21">
        <f>EXP(-LN(2)/25)*AV193+(1-EXP(-LN(2)/25))/(LN(2)/25)*Calculateur!AQ194*Calculateur!AS194*VLOOKUP('Données projet'!$B$10,Paramètres!$A$1:$I$89,3,0)*0.475*44/12</f>
        <v>8.5035437896537738E-2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0.1516815859919875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212.28480000000002</v>
      </c>
      <c r="BF194" s="13">
        <f t="shared" si="167"/>
        <v>52.434557099704193</v>
      </c>
      <c r="BG194" s="20">
        <f t="shared" si="168"/>
        <v>461.05288028198476</v>
      </c>
      <c r="BH194" s="59">
        <f t="shared" si="116"/>
        <v>754.38621361531807</v>
      </c>
      <c r="BI194" s="59">
        <f ca="1">AVERAGE(OFFSET($BH$3,0,0,'Données projet'!$E$11+1,1))-AVERAGE(OFFSET($H$3,0,0,'Données projet'!$E$11+1,1))</f>
        <v>354.24684313982857</v>
      </c>
      <c r="BJ194" s="59">
        <f t="shared" si="146"/>
        <v>322.65043486962185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4.494977356185788</v>
      </c>
      <c r="BQ194" s="21">
        <f>EXP(-LN(2)/25)*BQ193+(1-EXP(-LN(2)/25))/(LN(2)/25)*Calculateur!BL194*Calculateur!BN194*VLOOKUP('Données projet'!$B$11,Paramètres!$A$1:$I$89,3,0)*0.475*44/12</f>
        <v>1.1944309002564062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5.6894082564421939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5.4978954722173515E-13</v>
      </c>
      <c r="CA194" s="13">
        <f t="shared" si="170"/>
        <v>6.7731340873355904E-12</v>
      </c>
      <c r="CB194" s="20">
        <f t="shared" si="171"/>
        <v>1.2754091996854009E-11</v>
      </c>
      <c r="CC194" s="59">
        <f t="shared" si="119"/>
        <v>293.33333333334605</v>
      </c>
      <c r="CD194" s="59">
        <f ca="1">AVERAGE(OFFSET($CC$3,0,0,'Données projet'!$E$12+1,1))-AVERAGE(OFFSET($H$3,0,0,'Données projet'!$E$12+1,1))</f>
        <v>407.73540492005355</v>
      </c>
      <c r="CE194" s="59">
        <f t="shared" si="148"/>
        <v>296.29416764204774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55.702202872780795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55.702202872780795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266.99999999999983</v>
      </c>
      <c r="CU194" s="17">
        <f>CT194*VLOOKUP('Données projet'!$B$13,Paramètres!$A$1:$I$89,3,0)*VLOOKUP('Données projet'!$B$13,Paramètres!$A$1:$I$89,5,0)</f>
        <v>212.42519999999985</v>
      </c>
      <c r="CV194" s="13">
        <f t="shared" si="173"/>
        <v>52.465198231787184</v>
      </c>
      <c r="CW194" s="20">
        <f t="shared" si="174"/>
        <v>461.35077692036231</v>
      </c>
      <c r="CX194" s="59">
        <f t="shared" si="122"/>
        <v>754.68411025369562</v>
      </c>
      <c r="CY194" s="59">
        <f ca="1">AVERAGE(OFFSET($CX$3,0,0,'Données projet'!$E$13+1,1))-AVERAGE(OFFSET($H$3,0,0,'Données projet'!$E$13+1,1))</f>
        <v>299.10536994156814</v>
      </c>
      <c r="CZ194" s="59">
        <f t="shared" si="150"/>
        <v>292.57799203101769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3.1957035043301172</v>
      </c>
      <c r="DG194" s="21">
        <f>EXP(-LN(2)/25)*DG193+(1-EXP(-LN(2)/25))/(LN(2)/25)*Calculateur!DB194*Calculateur!DD194*VLOOKUP('Données projet'!$B$13,Paramètres!$A$1:$I$89,3,0)*0.475*44/12</f>
        <v>0.38372095893849251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3.5794244632686096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266.99999999999983</v>
      </c>
      <c r="DP194" s="17">
        <f>DO194*VLOOKUP('Données projet'!$B$14,Paramètres!$A$1:$I$89,3,0)*VLOOKUP('Données projet'!$B$14,Paramètres!$A$1:$I$89,5,0)</f>
        <v>212.42519999999985</v>
      </c>
      <c r="DQ194" s="13">
        <f t="shared" si="176"/>
        <v>52.465198231787184</v>
      </c>
      <c r="DR194" s="20">
        <f t="shared" si="177"/>
        <v>461.35077692036231</v>
      </c>
      <c r="DS194" s="59">
        <f t="shared" si="125"/>
        <v>754.68411025369562</v>
      </c>
      <c r="DT194" s="59">
        <f ca="1">AVERAGE(OFFSET($DS$3,0,0,'Données projet'!$E$14+1,1))-AVERAGE(OFFSET($H$3,0,0,'Données projet'!$E$14+1,1))</f>
        <v>299.10536994156814</v>
      </c>
      <c r="DU194" s="59">
        <f t="shared" si="152"/>
        <v>292.57799203101769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3.1957035043301172</v>
      </c>
      <c r="EB194" s="21">
        <f>EXP(-LN(2)/25)*EB193+(1-EXP(-LN(2)/25))/(LN(2)/25)*Calculateur!DW194*Calculateur!DY194*VLOOKUP('Données projet'!$B$14,Paramètres!$A$1:$I$89,3,0)*0.475*44/12</f>
        <v>0.38372095893849251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3.5794244632686096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204.00000000000017</v>
      </c>
      <c r="EK194" s="17">
        <f>EJ194*VLOOKUP('Données projet'!$B$15,Paramètres!$A$1:$I$89,3,0)*VLOOKUP('Données projet'!$B$15,Paramètres!$A$1:$I$89,5,0)</f>
        <v>133.66080000000011</v>
      </c>
      <c r="EL194" s="13">
        <f t="shared" si="179"/>
        <v>34.840890682716783</v>
      </c>
      <c r="EM194" s="20">
        <f t="shared" si="180"/>
        <v>293.4737779390652</v>
      </c>
      <c r="EN194" s="59">
        <f t="shared" si="128"/>
        <v>586.80711127239852</v>
      </c>
      <c r="EO194" s="59">
        <f ca="1">AVERAGE(OFFSET($EN$3,0,0,'Données projet'!$E$15+1,1))-AVERAGE(OFFSET($H$3,0,0,'Données projet'!$E$15+1,1))</f>
        <v>230.58262378842818</v>
      </c>
      <c r="EP194" s="59">
        <f t="shared" si="154"/>
        <v>235.68746142880792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0.2583790859720454</v>
      </c>
      <c r="EW194" s="21">
        <f>EXP(-LN(2)/25)*EW193+(1-EXP(-LN(2)/25))/(LN(2)/25)*Calculateur!ER194*Calculateur!ET194*VLOOKUP('Données projet'!$B$15,Paramètres!$A$1:$I$89,3,0)*0.475*44/12</f>
        <v>0.65582273420741521</v>
      </c>
      <c r="EX194" s="21">
        <f>EXP(-LN(2)/2)*EX193+(1-EXP(-LN(2)/2))/(LN(2)/2)*ER194*EU194*VLOOKUP('Données projet'!$B$15,Paramètres!$A$1:$I$89,3,0)*0.475*44/12</f>
        <v>1.8697155056380784E-15</v>
      </c>
      <c r="EY194" s="22">
        <f t="shared" si="181"/>
        <v>0.9142018201794625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234.00000000000003</v>
      </c>
      <c r="FF194" s="17">
        <f>FE194*VLOOKUP('Données projet'!$B$16,Paramètres!$A$1:$I$89,3,0)*VLOOKUP('Données projet'!$B$16,Paramètres!$A$1:$I$89,5,0)</f>
        <v>189.82080000000005</v>
      </c>
      <c r="FG194" s="13">
        <f t="shared" si="182"/>
        <v>47.500332100049796</v>
      </c>
      <c r="FH194" s="20">
        <f t="shared" si="183"/>
        <v>413.33430507425345</v>
      </c>
      <c r="FI194" s="59">
        <f t="shared" si="131"/>
        <v>706.66763840758676</v>
      </c>
      <c r="FJ194" s="59">
        <f ca="1">AVERAGE(OFFSET($FI$3,0,0,'Données projet'!$E$16+1,1))-AVERAGE(OFFSET($H$3,0,0,'Données projet'!$E$16+1,1))</f>
        <v>272.90535195666996</v>
      </c>
      <c r="FK194" s="59">
        <f t="shared" si="156"/>
        <v>222.25422164416898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0.63252980558183636</v>
      </c>
      <c r="FR194" s="21">
        <f>EXP(-LN(2)/25)*FR193+(1-EXP(-LN(2)/25))/(LN(2)/25)*Calculateur!FM194*Calculateur!FO194*VLOOKUP('Données projet'!$B$16,Paramètres!$A$1:$I$89,3,0)*0.475*44/12</f>
        <v>0.74872013078421473</v>
      </c>
      <c r="FS194" s="21">
        <f>EXP(-LN(2)/2)*FS193+(1-EXP(-LN(2)/2))/(LN(2)/2)*FM194*FP194*VLOOKUP('Données projet'!$B$16,Paramètres!$A$1:$I$89,3,0)*0.475*44/12</f>
        <v>8.5037103629502844E-16</v>
      </c>
      <c r="FT194" s="22">
        <f t="shared" si="184"/>
        <v>1.381249936366052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293.33333333334531</v>
      </c>
      <c r="S195" s="59">
        <f ca="1">AVERAGE(OFFSET($R$3,0,0,'Données projet'!$E$9+1,1))-AVERAGE(OFFSET($H$3,0,0,'Données projet'!$E$9+1,1))</f>
        <v>384.05928630855732</v>
      </c>
      <c r="T195" s="59">
        <f t="shared" si="142"/>
        <v>279.93992813630513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304.99999999999983</v>
      </c>
      <c r="AJ195" s="13">
        <f>AI195*VLOOKUP('Données projet'!$B$10,Paramètres!$A$1:$I$89,3,0)*VLOOKUP('Données projet'!$B$10,Paramètres!$A$1:$I$89,5,0)</f>
        <v>275.96399999999983</v>
      </c>
      <c r="AK195" s="13">
        <f t="shared" si="164"/>
        <v>66.113366665488854</v>
      </c>
      <c r="AL195" s="20">
        <f t="shared" si="165"/>
        <v>595.78474694239264</v>
      </c>
      <c r="AM195" s="59">
        <f t="shared" si="113"/>
        <v>889.11808027572602</v>
      </c>
      <c r="AN195" s="59">
        <f ca="1">AVERAGE(OFFSET($AM$3,0,0,'Données projet'!$E$10+1,1))-AVERAGE(OFFSET($H$3,0,0,'Données projet'!$E$10+1,1))</f>
        <v>366.69125512029831</v>
      </c>
      <c r="AO195" s="59">
        <f t="shared" si="144"/>
        <v>513.80016421153414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6.533925778143447E-2</v>
      </c>
      <c r="AV195" s="21">
        <f>EXP(-LN(2)/25)*AV194+(1-EXP(-LN(2)/25))/(LN(2)/25)*Calculateur!AQ195*Calculateur!AS195*VLOOKUP('Données projet'!$B$10,Paramètres!$A$1:$I$89,3,0)*0.475*44/12</f>
        <v>8.2710139375437586E-2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0.14804939715687204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212.28480000000002</v>
      </c>
      <c r="BF195" s="13">
        <f t="shared" si="167"/>
        <v>52.434557099704193</v>
      </c>
      <c r="BG195" s="20">
        <f t="shared" si="168"/>
        <v>461.05288028198476</v>
      </c>
      <c r="BH195" s="59">
        <f t="shared" si="116"/>
        <v>754.38621361531807</v>
      </c>
      <c r="BI195" s="59">
        <f ca="1">AVERAGE(OFFSET($BH$3,0,0,'Données projet'!$E$11+1,1))-AVERAGE(OFFSET($H$3,0,0,'Données projet'!$E$11+1,1))</f>
        <v>354.24684313982857</v>
      </c>
      <c r="BJ195" s="59">
        <f t="shared" si="146"/>
        <v>322.65043486962185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4.4068335918964552</v>
      </c>
      <c r="BQ195" s="21">
        <f>EXP(-LN(2)/25)*BQ194+(1-EXP(-LN(2)/25))/(LN(2)/25)*Calculateur!BL195*Calculateur!BN195*VLOOKUP('Données projet'!$B$11,Paramètres!$A$1:$I$89,3,0)*0.475*44/12</f>
        <v>1.1617691244765036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5.5686027163729586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5.4978954722173515E-13</v>
      </c>
      <c r="CA195" s="13">
        <f t="shared" si="170"/>
        <v>6.7731340873355904E-12</v>
      </c>
      <c r="CB195" s="20">
        <f t="shared" si="171"/>
        <v>1.2754091996854009E-11</v>
      </c>
      <c r="CC195" s="59">
        <f t="shared" si="119"/>
        <v>293.33333333334605</v>
      </c>
      <c r="CD195" s="59">
        <f ca="1">AVERAGE(OFFSET($CC$3,0,0,'Données projet'!$E$12+1,1))-AVERAGE(OFFSET($H$3,0,0,'Données projet'!$E$12+1,1))</f>
        <v>407.73540492005355</v>
      </c>
      <c r="CE195" s="59">
        <f t="shared" si="148"/>
        <v>296.29416764204774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54.609916649434567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54.609916649434567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266.99999999999983</v>
      </c>
      <c r="CU195" s="17">
        <f>CT195*VLOOKUP('Données projet'!$B$13,Paramètres!$A$1:$I$89,3,0)*VLOOKUP('Données projet'!$B$13,Paramètres!$A$1:$I$89,5,0)</f>
        <v>212.42519999999985</v>
      </c>
      <c r="CV195" s="13">
        <f t="shared" si="173"/>
        <v>52.465198231787184</v>
      </c>
      <c r="CW195" s="20">
        <f t="shared" si="174"/>
        <v>461.35077692036231</v>
      </c>
      <c r="CX195" s="59">
        <f t="shared" si="122"/>
        <v>754.68411025369562</v>
      </c>
      <c r="CY195" s="59">
        <f ca="1">AVERAGE(OFFSET($CX$3,0,0,'Données projet'!$E$13+1,1))-AVERAGE(OFFSET($H$3,0,0,'Données projet'!$E$13+1,1))</f>
        <v>299.10536994156814</v>
      </c>
      <c r="CZ195" s="59">
        <f t="shared" si="150"/>
        <v>292.57799203101769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3.1330377077968752</v>
      </c>
      <c r="DG195" s="21">
        <f>EXP(-LN(2)/25)*DG194+(1-EXP(-LN(2)/25))/(LN(2)/25)*Calculateur!DB195*Calculateur!DD195*VLOOKUP('Données projet'!$B$13,Paramètres!$A$1:$I$89,3,0)*0.475*44/12</f>
        <v>0.3732280891373112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3.5062657969341862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266.99999999999983</v>
      </c>
      <c r="DP195" s="17">
        <f>DO195*VLOOKUP('Données projet'!$B$14,Paramètres!$A$1:$I$89,3,0)*VLOOKUP('Données projet'!$B$14,Paramètres!$A$1:$I$89,5,0)</f>
        <v>212.42519999999985</v>
      </c>
      <c r="DQ195" s="13">
        <f t="shared" si="176"/>
        <v>52.465198231787184</v>
      </c>
      <c r="DR195" s="20">
        <f t="shared" si="177"/>
        <v>461.35077692036231</v>
      </c>
      <c r="DS195" s="59">
        <f t="shared" si="125"/>
        <v>754.68411025369562</v>
      </c>
      <c r="DT195" s="59">
        <f ca="1">AVERAGE(OFFSET($DS$3,0,0,'Données projet'!$E$14+1,1))-AVERAGE(OFFSET($H$3,0,0,'Données projet'!$E$14+1,1))</f>
        <v>299.10536994156814</v>
      </c>
      <c r="DU195" s="59">
        <f t="shared" si="152"/>
        <v>292.57799203101769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3.1330377077968752</v>
      </c>
      <c r="EB195" s="21">
        <f>EXP(-LN(2)/25)*EB194+(1-EXP(-LN(2)/25))/(LN(2)/25)*Calculateur!DW195*Calculateur!DY195*VLOOKUP('Données projet'!$B$14,Paramètres!$A$1:$I$89,3,0)*0.475*44/12</f>
        <v>0.3732280891373112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3.5062657969341862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204.00000000000017</v>
      </c>
      <c r="EK195" s="17">
        <f>EJ195*VLOOKUP('Données projet'!$B$15,Paramètres!$A$1:$I$89,3,0)*VLOOKUP('Données projet'!$B$15,Paramètres!$A$1:$I$89,5,0)</f>
        <v>133.66080000000011</v>
      </c>
      <c r="EL195" s="13">
        <f t="shared" si="179"/>
        <v>34.840890682716783</v>
      </c>
      <c r="EM195" s="20">
        <f t="shared" si="180"/>
        <v>293.4737779390652</v>
      </c>
      <c r="EN195" s="59">
        <f t="shared" si="128"/>
        <v>586.80711127239852</v>
      </c>
      <c r="EO195" s="59">
        <f ca="1">AVERAGE(OFFSET($EN$3,0,0,'Données projet'!$E$15+1,1))-AVERAGE(OFFSET($H$3,0,0,'Données projet'!$E$15+1,1))</f>
        <v>230.58262378842818</v>
      </c>
      <c r="EP195" s="59">
        <f t="shared" si="154"/>
        <v>235.68746142880792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0.25331242969181472</v>
      </c>
      <c r="EW195" s="21">
        <f>EXP(-LN(2)/25)*EW194+(1-EXP(-LN(2)/25))/(LN(2)/25)*Calculateur!ER195*Calculateur!ET195*VLOOKUP('Données projet'!$B$15,Paramètres!$A$1:$I$89,3,0)*0.475*44/12</f>
        <v>0.63788922705229478</v>
      </c>
      <c r="EX195" s="21">
        <f>EXP(-LN(2)/2)*EX194+(1-EXP(-LN(2)/2))/(LN(2)/2)*ER195*EU195*VLOOKUP('Données projet'!$B$15,Paramètres!$A$1:$I$89,3,0)*0.475*44/12</f>
        <v>1.3220885129263198E-15</v>
      </c>
      <c r="EY195" s="22">
        <f t="shared" si="181"/>
        <v>0.89120165674411078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234.00000000000003</v>
      </c>
      <c r="FF195" s="17">
        <f>FE195*VLOOKUP('Données projet'!$B$16,Paramètres!$A$1:$I$89,3,0)*VLOOKUP('Données projet'!$B$16,Paramètres!$A$1:$I$89,5,0)</f>
        <v>189.82080000000005</v>
      </c>
      <c r="FG195" s="13">
        <f t="shared" si="182"/>
        <v>47.500332100049796</v>
      </c>
      <c r="FH195" s="20">
        <f t="shared" si="183"/>
        <v>413.33430507425345</v>
      </c>
      <c r="FI195" s="59">
        <f t="shared" si="131"/>
        <v>706.66763840758676</v>
      </c>
      <c r="FJ195" s="59">
        <f ca="1">AVERAGE(OFFSET($FI$3,0,0,'Données projet'!$E$16+1,1))-AVERAGE(OFFSET($H$3,0,0,'Données projet'!$E$16+1,1))</f>
        <v>272.90535195666996</v>
      </c>
      <c r="FK195" s="59">
        <f t="shared" si="156"/>
        <v>222.25422164416898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0.62012628189946284</v>
      </c>
      <c r="FR195" s="21">
        <f>EXP(-LN(2)/25)*FR194+(1-EXP(-LN(2)/25))/(LN(2)/25)*Calculateur!FM195*Calculateur!FO195*VLOOKUP('Données projet'!$B$16,Paramètres!$A$1:$I$89,3,0)*0.475*44/12</f>
        <v>0.72824633943443995</v>
      </c>
      <c r="FS195" s="21">
        <f>EXP(-LN(2)/2)*FS194+(1-EXP(-LN(2)/2))/(LN(2)/2)*FM195*FP195*VLOOKUP('Données projet'!$B$16,Paramètres!$A$1:$I$89,3,0)*0.475*44/12</f>
        <v>6.0130312628884633E-16</v>
      </c>
      <c r="FT195" s="22">
        <f t="shared" si="184"/>
        <v>1.3483726213339036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293.33333333334531</v>
      </c>
      <c r="S196" s="59">
        <f ca="1">AVERAGE(OFFSET($R$3,0,0,'Données projet'!$E$9+1,1))-AVERAGE(OFFSET($H$3,0,0,'Données projet'!$E$9+1,1))</f>
        <v>384.05928630855732</v>
      </c>
      <c r="T196" s="59">
        <f t="shared" si="142"/>
        <v>279.93992813630513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304.99999999999983</v>
      </c>
      <c r="AJ196" s="13">
        <f>AI196*VLOOKUP('Données projet'!$B$10,Paramètres!$A$1:$I$89,3,0)*VLOOKUP('Données projet'!$B$10,Paramètres!$A$1:$I$89,5,0)</f>
        <v>275.96399999999983</v>
      </c>
      <c r="AK196" s="13">
        <f t="shared" si="164"/>
        <v>66.113366665488854</v>
      </c>
      <c r="AL196" s="20">
        <f t="shared" si="165"/>
        <v>595.78474694239264</v>
      </c>
      <c r="AM196" s="59">
        <f t="shared" ref="AM196:AM203" si="193">AL196+(AD196+AE196)*44/12</f>
        <v>889.11808027572602</v>
      </c>
      <c r="AN196" s="59">
        <f ca="1">AVERAGE(OFFSET($AM$3,0,0,'Données projet'!$E$10+1,1))-AVERAGE(OFFSET($H$3,0,0,'Données projet'!$E$10+1,1))</f>
        <v>366.69125512029831</v>
      </c>
      <c r="AO196" s="59">
        <f t="shared" si="144"/>
        <v>513.80016421153414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6.4057994789352632E-2</v>
      </c>
      <c r="AV196" s="21">
        <f>EXP(-LN(2)/25)*AV195+(1-EXP(-LN(2)/25))/(LN(2)/25)*Calculateur!AQ196*Calculateur!AS196*VLOOKUP('Données projet'!$B$10,Paramètres!$A$1:$I$89,3,0)*0.475*44/12</f>
        <v>8.0448426264679046E-2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0.14450642105403166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212.28480000000002</v>
      </c>
      <c r="BF196" s="13">
        <f t="shared" si="167"/>
        <v>52.434557099704193</v>
      </c>
      <c r="BG196" s="20">
        <f t="shared" si="168"/>
        <v>461.05288028198476</v>
      </c>
      <c r="BH196" s="59">
        <f t="shared" ref="BH196:BH203" si="194">BG196+(AY196+AZ196)*44/12</f>
        <v>754.38621361531807</v>
      </c>
      <c r="BI196" s="59">
        <f ca="1">AVERAGE(OFFSET($BH$3,0,0,'Données projet'!$E$11+1,1))-AVERAGE(OFFSET($H$3,0,0,'Données projet'!$E$11+1,1))</f>
        <v>354.24684313982857</v>
      </c>
      <c r="BJ196" s="59">
        <f t="shared" si="146"/>
        <v>322.65043486962185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4.3204182730624483</v>
      </c>
      <c r="BQ196" s="21">
        <f>EXP(-LN(2)/25)*BQ195+(1-EXP(-LN(2)/25))/(LN(2)/25)*Calculateur!BL196*Calculateur!BN196*VLOOKUP('Données projet'!$B$11,Paramètres!$A$1:$I$89,3,0)*0.475*44/12</f>
        <v>1.1300004866729105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5.4504187597353591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5.4978954722173515E-13</v>
      </c>
      <c r="CA196" s="13">
        <f t="shared" si="170"/>
        <v>6.7731340873355904E-12</v>
      </c>
      <c r="CB196" s="20">
        <f t="shared" si="171"/>
        <v>1.2754091996854009E-11</v>
      </c>
      <c r="CC196" s="59">
        <f t="shared" ref="CC196:CC203" si="195">CB196+(BT196+BU196)*44/12</f>
        <v>293.33333333334605</v>
      </c>
      <c r="CD196" s="59">
        <f ca="1">AVERAGE(OFFSET($CC$3,0,0,'Données projet'!$E$12+1,1))-AVERAGE(OFFSET($H$3,0,0,'Données projet'!$E$12+1,1))</f>
        <v>407.73540492005355</v>
      </c>
      <c r="CE196" s="59">
        <f t="shared" si="148"/>
        <v>296.29416764204774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53.539049492699341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53.539049492699341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266.99999999999983</v>
      </c>
      <c r="CU196" s="17">
        <f>CT196*VLOOKUP('Données projet'!$B$13,Paramètres!$A$1:$I$89,3,0)*VLOOKUP('Données projet'!$B$13,Paramètres!$A$1:$I$89,5,0)</f>
        <v>212.42519999999985</v>
      </c>
      <c r="CV196" s="13">
        <f t="shared" si="173"/>
        <v>52.465198231787184</v>
      </c>
      <c r="CW196" s="20">
        <f t="shared" si="174"/>
        <v>461.35077692036231</v>
      </c>
      <c r="CX196" s="59">
        <f t="shared" ref="CX196:CX203" si="196">CW196+(CO196+CP196)*44/12</f>
        <v>754.68411025369562</v>
      </c>
      <c r="CY196" s="59">
        <f ca="1">AVERAGE(OFFSET($CX$3,0,0,'Données projet'!$E$13+1,1))-AVERAGE(OFFSET($H$3,0,0,'Données projet'!$E$13+1,1))</f>
        <v>299.10536994156814</v>
      </c>
      <c r="CZ196" s="59">
        <f t="shared" si="150"/>
        <v>292.57799203101769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3.0716007493112882</v>
      </c>
      <c r="DG196" s="21">
        <f>EXP(-LN(2)/25)*DG195+(1-EXP(-LN(2)/25))/(LN(2)/25)*Calculateur!DB196*Calculateur!DD196*VLOOKUP('Données projet'!$B$13,Paramètres!$A$1:$I$89,3,0)*0.475*44/12</f>
        <v>0.36302214741263922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3.4346228967239276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266.99999999999983</v>
      </c>
      <c r="DP196" s="17">
        <f>DO196*VLOOKUP('Données projet'!$B$14,Paramètres!$A$1:$I$89,3,0)*VLOOKUP('Données projet'!$B$14,Paramètres!$A$1:$I$89,5,0)</f>
        <v>212.42519999999985</v>
      </c>
      <c r="DQ196" s="13">
        <f t="shared" si="176"/>
        <v>52.465198231787184</v>
      </c>
      <c r="DR196" s="20">
        <f t="shared" si="177"/>
        <v>461.35077692036231</v>
      </c>
      <c r="DS196" s="59">
        <f t="shared" ref="DS196:DS203" si="197">DR196+(DJ196+DK196)*44/12</f>
        <v>754.68411025369562</v>
      </c>
      <c r="DT196" s="59">
        <f ca="1">AVERAGE(OFFSET($DS$3,0,0,'Données projet'!$E$14+1,1))-AVERAGE(OFFSET($H$3,0,0,'Données projet'!$E$14+1,1))</f>
        <v>299.10536994156814</v>
      </c>
      <c r="DU196" s="59">
        <f t="shared" si="152"/>
        <v>292.57799203101769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3.0716007493112882</v>
      </c>
      <c r="EB196" s="21">
        <f>EXP(-LN(2)/25)*EB195+(1-EXP(-LN(2)/25))/(LN(2)/25)*Calculateur!DW196*Calculateur!DY196*VLOOKUP('Données projet'!$B$14,Paramètres!$A$1:$I$89,3,0)*0.475*44/12</f>
        <v>0.36302214741263922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3.4346228967239276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204.00000000000017</v>
      </c>
      <c r="EK196" s="17">
        <f>EJ196*VLOOKUP('Données projet'!$B$15,Paramètres!$A$1:$I$89,3,0)*VLOOKUP('Données projet'!$B$15,Paramètres!$A$1:$I$89,5,0)</f>
        <v>133.66080000000011</v>
      </c>
      <c r="EL196" s="13">
        <f t="shared" si="179"/>
        <v>34.840890682716783</v>
      </c>
      <c r="EM196" s="20">
        <f t="shared" si="180"/>
        <v>293.4737779390652</v>
      </c>
      <c r="EN196" s="59">
        <f t="shared" ref="EN196:EN203" si="198">EM196+(EE196+EF196)*44/12</f>
        <v>586.80711127239852</v>
      </c>
      <c r="EO196" s="59">
        <f ca="1">AVERAGE(OFFSET($EN$3,0,0,'Données projet'!$E$15+1,1))-AVERAGE(OFFSET($H$3,0,0,'Données projet'!$E$15+1,1))</f>
        <v>230.58262378842818</v>
      </c>
      <c r="EP196" s="59">
        <f t="shared" si="154"/>
        <v>235.68746142880792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0.24834512745088422</v>
      </c>
      <c r="EW196" s="21">
        <f>EXP(-LN(2)/25)*EW195+(1-EXP(-LN(2)/25))/(LN(2)/25)*Calculateur!ER196*Calculateur!ET196*VLOOKUP('Données projet'!$B$15,Paramètres!$A$1:$I$89,3,0)*0.475*44/12</f>
        <v>0.6204461125934132</v>
      </c>
      <c r="EX196" s="21">
        <f>EXP(-LN(2)/2)*EX195+(1-EXP(-LN(2)/2))/(LN(2)/2)*ER196*EU196*VLOOKUP('Données projet'!$B$15,Paramètres!$A$1:$I$89,3,0)*0.475*44/12</f>
        <v>9.3485775281903919E-16</v>
      </c>
      <c r="EY196" s="22">
        <f t="shared" si="181"/>
        <v>0.86879124004429831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234.00000000000003</v>
      </c>
      <c r="FF196" s="17">
        <f>FE196*VLOOKUP('Données projet'!$B$16,Paramètres!$A$1:$I$89,3,0)*VLOOKUP('Données projet'!$B$16,Paramètres!$A$1:$I$89,5,0)</f>
        <v>189.82080000000005</v>
      </c>
      <c r="FG196" s="13">
        <f t="shared" si="182"/>
        <v>47.500332100049796</v>
      </c>
      <c r="FH196" s="20">
        <f t="shared" si="183"/>
        <v>413.33430507425345</v>
      </c>
      <c r="FI196" s="59">
        <f t="shared" ref="FI196:FI203" si="199">FH196+(EZ196+FA196)*44/12</f>
        <v>706.66763840758676</v>
      </c>
      <c r="FJ196" s="59">
        <f ca="1">AVERAGE(OFFSET($FI$3,0,0,'Données projet'!$E$16+1,1))-AVERAGE(OFFSET($H$3,0,0,'Données projet'!$E$16+1,1))</f>
        <v>272.90535195666996</v>
      </c>
      <c r="FK196" s="59">
        <f t="shared" si="156"/>
        <v>222.25422164416898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0.60796598375109823</v>
      </c>
      <c r="FR196" s="21">
        <f>EXP(-LN(2)/25)*FR195+(1-EXP(-LN(2)/25))/(LN(2)/25)*Calculateur!FM196*Calculateur!FO196*VLOOKUP('Données projet'!$B$16,Paramètres!$A$1:$I$89,3,0)*0.475*44/12</f>
        <v>0.70833240498579464</v>
      </c>
      <c r="FS196" s="21">
        <f>EXP(-LN(2)/2)*FS195+(1-EXP(-LN(2)/2))/(LN(2)/2)*FM196*FP196*VLOOKUP('Données projet'!$B$16,Paramètres!$A$1:$I$89,3,0)*0.475*44/12</f>
        <v>4.2518551814751422E-16</v>
      </c>
      <c r="FT196" s="22">
        <f t="shared" si="184"/>
        <v>1.3162983887368933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293.33333333334531</v>
      </c>
      <c r="S197" s="59">
        <f ca="1">AVERAGE(OFFSET($R$3,0,0,'Données projet'!$E$9+1,1))-AVERAGE(OFFSET($H$3,0,0,'Données projet'!$E$9+1,1))</f>
        <v>384.05928630855732</v>
      </c>
      <c r="T197" s="59">
        <f t="shared" ref="T197:T203" si="204">$T$3</f>
        <v>279.93992813630513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304.99999999999983</v>
      </c>
      <c r="AJ197" s="13">
        <f>AI197*VLOOKUP('Données projet'!$B$10,Paramètres!$A$1:$I$89,3,0)*VLOOKUP('Données projet'!$B$10,Paramètres!$A$1:$I$89,5,0)</f>
        <v>275.96399999999983</v>
      </c>
      <c r="AK197" s="13">
        <f t="shared" si="164"/>
        <v>66.113366665488854</v>
      </c>
      <c r="AL197" s="20">
        <f t="shared" si="165"/>
        <v>595.78474694239264</v>
      </c>
      <c r="AM197" s="59">
        <f t="shared" si="193"/>
        <v>889.11808027572602</v>
      </c>
      <c r="AN197" s="59">
        <f ca="1">AVERAGE(OFFSET($AM$3,0,0,'Données projet'!$E$10+1,1))-AVERAGE(OFFSET($H$3,0,0,'Données projet'!$E$10+1,1))</f>
        <v>366.69125512029831</v>
      </c>
      <c r="AO197" s="59">
        <f t="shared" ref="AO197:AO203" si="205">$AO$3</f>
        <v>513.80016421153414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6.2801856583052262E-2</v>
      </c>
      <c r="AV197" s="21">
        <f>EXP(-LN(2)/25)*AV196+(1-EXP(-LN(2)/25))/(LN(2)/25)*Calculateur!AQ197*Calculateur!AS197*VLOOKUP('Données projet'!$B$10,Paramètres!$A$1:$I$89,3,0)*0.475*44/12</f>
        <v>7.8248559817872529E-2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0.14105041640092481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212.28480000000002</v>
      </c>
      <c r="BF197" s="13">
        <f t="shared" si="167"/>
        <v>52.434557099704193</v>
      </c>
      <c r="BG197" s="20">
        <f t="shared" si="168"/>
        <v>461.05288028198476</v>
      </c>
      <c r="BH197" s="59">
        <f t="shared" si="194"/>
        <v>754.38621361531807</v>
      </c>
      <c r="BI197" s="59">
        <f ca="1">AVERAGE(OFFSET($BH$3,0,0,'Données projet'!$E$11+1,1))-AVERAGE(OFFSET($H$3,0,0,'Données projet'!$E$11+1,1))</f>
        <v>354.24684313982857</v>
      </c>
      <c r="BJ197" s="59">
        <f t="shared" ref="BJ197:BJ203" si="206">$BJ$3</f>
        <v>322.65043486962185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4.2356975059226363</v>
      </c>
      <c r="BQ197" s="21">
        <f>EXP(-LN(2)/25)*BQ196+(1-EXP(-LN(2)/25))/(LN(2)/25)*Calculateur!BL197*Calculateur!BN197*VLOOKUP('Données projet'!$B$11,Paramètres!$A$1:$I$89,3,0)*0.475*44/12</f>
        <v>1.0991005639406968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5.334798069863333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5.4978954722173515E-13</v>
      </c>
      <c r="CA197" s="13">
        <f t="shared" si="170"/>
        <v>6.7731340873355904E-12</v>
      </c>
      <c r="CB197" s="20">
        <f t="shared" si="171"/>
        <v>1.2754091996854009E-11</v>
      </c>
      <c r="CC197" s="59">
        <f t="shared" si="195"/>
        <v>293.33333333334605</v>
      </c>
      <c r="CD197" s="59">
        <f ca="1">AVERAGE(OFFSET($CC$3,0,0,'Données projet'!$E$12+1,1))-AVERAGE(OFFSET($H$3,0,0,'Données projet'!$E$12+1,1))</f>
        <v>407.73540492005355</v>
      </c>
      <c r="CE197" s="59">
        <f t="shared" ref="CE197:CE203" si="207">$CE$3</f>
        <v>296.29416764204774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52.489181387743223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52.489181387743223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266.99999999999983</v>
      </c>
      <c r="CU197" s="17">
        <f>CT197*VLOOKUP('Données projet'!$B$13,Paramètres!$A$1:$I$89,3,0)*VLOOKUP('Données projet'!$B$13,Paramètres!$A$1:$I$89,5,0)</f>
        <v>212.42519999999985</v>
      </c>
      <c r="CV197" s="13">
        <f t="shared" si="173"/>
        <v>52.465198231787184</v>
      </c>
      <c r="CW197" s="20">
        <f t="shared" si="174"/>
        <v>461.35077692036231</v>
      </c>
      <c r="CX197" s="59">
        <f t="shared" si="196"/>
        <v>754.68411025369562</v>
      </c>
      <c r="CY197" s="59">
        <f ca="1">AVERAGE(OFFSET($CX$3,0,0,'Données projet'!$E$13+1,1))-AVERAGE(OFFSET($H$3,0,0,'Données projet'!$E$13+1,1))</f>
        <v>299.10536994156814</v>
      </c>
      <c r="CZ197" s="59">
        <f t="shared" ref="CZ197:CZ203" si="208">$CZ$3</f>
        <v>292.57799203101769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3.0113685321087589</v>
      </c>
      <c r="DG197" s="21">
        <f>EXP(-LN(2)/25)*DG196+(1-EXP(-LN(2)/25))/(LN(2)/25)*Calculateur!DB197*Calculateur!DD197*VLOOKUP('Données projet'!$B$13,Paramètres!$A$1:$I$89,3,0)*0.475*44/12</f>
        <v>0.35309528770113557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3.3644638198098944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266.99999999999983</v>
      </c>
      <c r="DP197" s="17">
        <f>DO197*VLOOKUP('Données projet'!$B$14,Paramètres!$A$1:$I$89,3,0)*VLOOKUP('Données projet'!$B$14,Paramètres!$A$1:$I$89,5,0)</f>
        <v>212.42519999999985</v>
      </c>
      <c r="DQ197" s="13">
        <f t="shared" si="176"/>
        <v>52.465198231787184</v>
      </c>
      <c r="DR197" s="20">
        <f t="shared" si="177"/>
        <v>461.35077692036231</v>
      </c>
      <c r="DS197" s="59">
        <f t="shared" si="197"/>
        <v>754.68411025369562</v>
      </c>
      <c r="DT197" s="59">
        <f ca="1">AVERAGE(OFFSET($DS$3,0,0,'Données projet'!$E$14+1,1))-AVERAGE(OFFSET($H$3,0,0,'Données projet'!$E$14+1,1))</f>
        <v>299.10536994156814</v>
      </c>
      <c r="DU197" s="59">
        <f t="shared" ref="DU197:DU203" si="209">$DU$3</f>
        <v>292.57799203101769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3.0113685321087589</v>
      </c>
      <c r="EB197" s="21">
        <f>EXP(-LN(2)/25)*EB196+(1-EXP(-LN(2)/25))/(LN(2)/25)*Calculateur!DW197*Calculateur!DY197*VLOOKUP('Données projet'!$B$14,Paramètres!$A$1:$I$89,3,0)*0.475*44/12</f>
        <v>0.35309528770113557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3.3644638198098944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204.00000000000017</v>
      </c>
      <c r="EK197" s="17">
        <f>EJ197*VLOOKUP('Données projet'!$B$15,Paramètres!$A$1:$I$89,3,0)*VLOOKUP('Données projet'!$B$15,Paramètres!$A$1:$I$89,5,0)</f>
        <v>133.66080000000011</v>
      </c>
      <c r="EL197" s="13">
        <f t="shared" si="179"/>
        <v>34.840890682716783</v>
      </c>
      <c r="EM197" s="20">
        <f t="shared" si="180"/>
        <v>293.4737779390652</v>
      </c>
      <c r="EN197" s="59">
        <f t="shared" si="198"/>
        <v>586.80711127239852</v>
      </c>
      <c r="EO197" s="59">
        <f ca="1">AVERAGE(OFFSET($EN$3,0,0,'Données projet'!$E$15+1,1))-AVERAGE(OFFSET($H$3,0,0,'Données projet'!$E$15+1,1))</f>
        <v>230.58262378842818</v>
      </c>
      <c r="EP197" s="59">
        <f t="shared" ref="EP197:EP203" si="210">$EP$3</f>
        <v>235.68746142880792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0.24347523097714316</v>
      </c>
      <c r="EW197" s="21">
        <f>EXP(-LN(2)/25)*EW196+(1-EXP(-LN(2)/25))/(LN(2)/25)*Calculateur!ER197*Calculateur!ET197*VLOOKUP('Données projet'!$B$15,Paramètres!$A$1:$I$89,3,0)*0.475*44/12</f>
        <v>0.6034799810167033</v>
      </c>
      <c r="EX197" s="21">
        <f>EXP(-LN(2)/2)*EX196+(1-EXP(-LN(2)/2))/(LN(2)/2)*ER197*EU197*VLOOKUP('Données projet'!$B$15,Paramètres!$A$1:$I$89,3,0)*0.475*44/12</f>
        <v>6.6104425646315989E-16</v>
      </c>
      <c r="EY197" s="22">
        <f t="shared" si="181"/>
        <v>0.84695521199384716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234.00000000000003</v>
      </c>
      <c r="FF197" s="17">
        <f>FE197*VLOOKUP('Données projet'!$B$16,Paramètres!$A$1:$I$89,3,0)*VLOOKUP('Données projet'!$B$16,Paramètres!$A$1:$I$89,5,0)</f>
        <v>189.82080000000005</v>
      </c>
      <c r="FG197" s="13">
        <f t="shared" si="182"/>
        <v>47.500332100049796</v>
      </c>
      <c r="FH197" s="20">
        <f t="shared" si="183"/>
        <v>413.33430507425345</v>
      </c>
      <c r="FI197" s="59">
        <f t="shared" si="199"/>
        <v>706.66763840758676</v>
      </c>
      <c r="FJ197" s="59">
        <f ca="1">AVERAGE(OFFSET($FI$3,0,0,'Données projet'!$E$16+1,1))-AVERAGE(OFFSET($H$3,0,0,'Données projet'!$E$16+1,1))</f>
        <v>272.90535195666996</v>
      </c>
      <c r="FK197" s="59">
        <f t="shared" ref="FK197:FK203" si="211">$FK$3</f>
        <v>222.25422164416898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0.59604414163237363</v>
      </c>
      <c r="FR197" s="21">
        <f>EXP(-LN(2)/25)*FR196+(1-EXP(-LN(2)/25))/(LN(2)/25)*Calculateur!FM197*Calculateur!FO197*VLOOKUP('Données projet'!$B$16,Paramètres!$A$1:$I$89,3,0)*0.475*44/12</f>
        <v>0.68896301812187577</v>
      </c>
      <c r="FS197" s="21">
        <f>EXP(-LN(2)/2)*FS196+(1-EXP(-LN(2)/2))/(LN(2)/2)*FM197*FP197*VLOOKUP('Données projet'!$B$16,Paramètres!$A$1:$I$89,3,0)*0.475*44/12</f>
        <v>3.0065156314442316E-16</v>
      </c>
      <c r="FT197" s="22">
        <f t="shared" si="184"/>
        <v>1.2850071597542496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293.33333333334531</v>
      </c>
      <c r="S198" s="59">
        <f ca="1">AVERAGE(OFFSET($R$3,0,0,'Données projet'!$E$9+1,1))-AVERAGE(OFFSET($H$3,0,0,'Données projet'!$E$9+1,1))</f>
        <v>384.05928630855732</v>
      </c>
      <c r="T198" s="59">
        <f t="shared" si="204"/>
        <v>279.93992813630513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304.99999999999983</v>
      </c>
      <c r="AJ198" s="13">
        <f>AI198*VLOOKUP('Données projet'!$B$10,Paramètres!$A$1:$I$89,3,0)*VLOOKUP('Données projet'!$B$10,Paramètres!$A$1:$I$89,5,0)</f>
        <v>275.96399999999983</v>
      </c>
      <c r="AK198" s="13">
        <f t="shared" si="164"/>
        <v>66.113366665488854</v>
      </c>
      <c r="AL198" s="20">
        <f t="shared" si="165"/>
        <v>595.78474694239264</v>
      </c>
      <c r="AM198" s="59">
        <f t="shared" si="193"/>
        <v>889.11808027572602</v>
      </c>
      <c r="AN198" s="59">
        <f ca="1">AVERAGE(OFFSET($AM$3,0,0,'Données projet'!$E$10+1,1))-AVERAGE(OFFSET($H$3,0,0,'Données projet'!$E$10+1,1))</f>
        <v>366.69125512029831</v>
      </c>
      <c r="AO198" s="59">
        <f t="shared" si="205"/>
        <v>513.80016421153414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6.1570350480808785E-2</v>
      </c>
      <c r="AV198" s="21">
        <f>EXP(-LN(2)/25)*AV197+(1-EXP(-LN(2)/25))/(LN(2)/25)*Calculateur!AQ198*Calculateur!AS198*VLOOKUP('Données projet'!$B$10,Paramètres!$A$1:$I$89,3,0)*0.475*44/12</f>
        <v>7.6108848834739881E-2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0.13767919931554867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212.28480000000002</v>
      </c>
      <c r="BF198" s="13">
        <f t="shared" si="167"/>
        <v>52.434557099704193</v>
      </c>
      <c r="BG198" s="20">
        <f t="shared" si="168"/>
        <v>461.05288028198476</v>
      </c>
      <c r="BH198" s="59">
        <f t="shared" si="194"/>
        <v>754.38621361531807</v>
      </c>
      <c r="BI198" s="59">
        <f ca="1">AVERAGE(OFFSET($BH$3,0,0,'Données projet'!$E$11+1,1))-AVERAGE(OFFSET($H$3,0,0,'Données projet'!$E$11+1,1))</f>
        <v>354.24684313982857</v>
      </c>
      <c r="BJ198" s="59">
        <f t="shared" si="206"/>
        <v>322.65043486962185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4.1526380613518707</v>
      </c>
      <c r="BQ198" s="21">
        <f>EXP(-LN(2)/25)*BQ197+(1-EXP(-LN(2)/25))/(LN(2)/25)*Calculateur!BL198*Calculateur!BN198*VLOOKUP('Données projet'!$B$11,Paramètres!$A$1:$I$89,3,0)*0.475*44/12</f>
        <v>1.0690456012205518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5.2216836625724223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5.4978954722173515E-13</v>
      </c>
      <c r="CA198" s="13">
        <f t="shared" si="170"/>
        <v>6.7731340873355904E-12</v>
      </c>
      <c r="CB198" s="20">
        <f t="shared" si="171"/>
        <v>1.2754091996854009E-11</v>
      </c>
      <c r="CC198" s="59">
        <f t="shared" si="195"/>
        <v>293.33333333334605</v>
      </c>
      <c r="CD198" s="59">
        <f ca="1">AVERAGE(OFFSET($CC$3,0,0,'Données projet'!$E$12+1,1))-AVERAGE(OFFSET($H$3,0,0,'Données projet'!$E$12+1,1))</f>
        <v>407.73540492005355</v>
      </c>
      <c r="CE198" s="59">
        <f t="shared" si="207"/>
        <v>296.29416764204774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51.459900555968986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51.459900555968986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266.99999999999983</v>
      </c>
      <c r="CU198" s="17">
        <f>CT198*VLOOKUP('Données projet'!$B$13,Paramètres!$A$1:$I$89,3,0)*VLOOKUP('Données projet'!$B$13,Paramètres!$A$1:$I$89,5,0)</f>
        <v>212.42519999999985</v>
      </c>
      <c r="CV198" s="13">
        <f t="shared" si="173"/>
        <v>52.465198231787184</v>
      </c>
      <c r="CW198" s="20">
        <f t="shared" si="174"/>
        <v>461.35077692036231</v>
      </c>
      <c r="CX198" s="59">
        <f t="shared" si="196"/>
        <v>754.68411025369562</v>
      </c>
      <c r="CY198" s="59">
        <f ca="1">AVERAGE(OFFSET($CX$3,0,0,'Données projet'!$E$13+1,1))-AVERAGE(OFFSET($H$3,0,0,'Données projet'!$E$13+1,1))</f>
        <v>299.10536994156814</v>
      </c>
      <c r="CZ198" s="59">
        <f t="shared" si="208"/>
        <v>292.57799203101769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2.9523174319475465</v>
      </c>
      <c r="DG198" s="21">
        <f>EXP(-LN(2)/25)*DG197+(1-EXP(-LN(2)/25))/(LN(2)/25)*Calculateur!DB198*Calculateur!DD198*VLOOKUP('Données projet'!$B$13,Paramètres!$A$1:$I$89,3,0)*0.475*44/12</f>
        <v>0.34343987849047386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3.2957573104380202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266.99999999999983</v>
      </c>
      <c r="DP198" s="17">
        <f>DO198*VLOOKUP('Données projet'!$B$14,Paramètres!$A$1:$I$89,3,0)*VLOOKUP('Données projet'!$B$14,Paramètres!$A$1:$I$89,5,0)</f>
        <v>212.42519999999985</v>
      </c>
      <c r="DQ198" s="13">
        <f t="shared" si="176"/>
        <v>52.465198231787184</v>
      </c>
      <c r="DR198" s="20">
        <f t="shared" si="177"/>
        <v>461.35077692036231</v>
      </c>
      <c r="DS198" s="59">
        <f t="shared" si="197"/>
        <v>754.68411025369562</v>
      </c>
      <c r="DT198" s="59">
        <f ca="1">AVERAGE(OFFSET($DS$3,0,0,'Données projet'!$E$14+1,1))-AVERAGE(OFFSET($H$3,0,0,'Données projet'!$E$14+1,1))</f>
        <v>299.10536994156814</v>
      </c>
      <c r="DU198" s="59">
        <f t="shared" si="209"/>
        <v>292.57799203101769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2.9523174319475465</v>
      </c>
      <c r="EB198" s="21">
        <f>EXP(-LN(2)/25)*EB197+(1-EXP(-LN(2)/25))/(LN(2)/25)*Calculateur!DW198*Calculateur!DY198*VLOOKUP('Données projet'!$B$14,Paramètres!$A$1:$I$89,3,0)*0.475*44/12</f>
        <v>0.34343987849047386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3.2957573104380202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204.00000000000017</v>
      </c>
      <c r="EK198" s="17">
        <f>EJ198*VLOOKUP('Données projet'!$B$15,Paramètres!$A$1:$I$89,3,0)*VLOOKUP('Données projet'!$B$15,Paramètres!$A$1:$I$89,5,0)</f>
        <v>133.66080000000011</v>
      </c>
      <c r="EL198" s="13">
        <f t="shared" si="179"/>
        <v>34.840890682716783</v>
      </c>
      <c r="EM198" s="20">
        <f t="shared" si="180"/>
        <v>293.4737779390652</v>
      </c>
      <c r="EN198" s="59">
        <f t="shared" si="198"/>
        <v>586.80711127239852</v>
      </c>
      <c r="EO198" s="59">
        <f ca="1">AVERAGE(OFFSET($EN$3,0,0,'Données projet'!$E$15+1,1))-AVERAGE(OFFSET($H$3,0,0,'Données projet'!$E$15+1,1))</f>
        <v>230.58262378842818</v>
      </c>
      <c r="EP198" s="59">
        <f t="shared" si="210"/>
        <v>235.68746142880792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0.23870083020290861</v>
      </c>
      <c r="EW198" s="21">
        <f>EXP(-LN(2)/25)*EW197+(1-EXP(-LN(2)/25))/(LN(2)/25)*Calculateur!ER198*Calculateur!ET198*VLOOKUP('Données projet'!$B$15,Paramètres!$A$1:$I$89,3,0)*0.475*44/12</f>
        <v>0.58697778920016863</v>
      </c>
      <c r="EX198" s="21">
        <f>EXP(-LN(2)/2)*EX197+(1-EXP(-LN(2)/2))/(LN(2)/2)*ER198*EU198*VLOOKUP('Données projet'!$B$15,Paramètres!$A$1:$I$89,3,0)*0.475*44/12</f>
        <v>4.674288764095196E-16</v>
      </c>
      <c r="EY198" s="22">
        <f t="shared" si="181"/>
        <v>0.82567861940307763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234.00000000000003</v>
      </c>
      <c r="FF198" s="17">
        <f>FE198*VLOOKUP('Données projet'!$B$16,Paramètres!$A$1:$I$89,3,0)*VLOOKUP('Données projet'!$B$16,Paramètres!$A$1:$I$89,5,0)</f>
        <v>189.82080000000005</v>
      </c>
      <c r="FG198" s="13">
        <f t="shared" si="182"/>
        <v>47.500332100049796</v>
      </c>
      <c r="FH198" s="20">
        <f t="shared" si="183"/>
        <v>413.33430507425345</v>
      </c>
      <c r="FI198" s="59">
        <f t="shared" si="199"/>
        <v>706.66763840758676</v>
      </c>
      <c r="FJ198" s="59">
        <f ca="1">AVERAGE(OFFSET($FI$3,0,0,'Données projet'!$E$16+1,1))-AVERAGE(OFFSET($H$3,0,0,'Données projet'!$E$16+1,1))</f>
        <v>272.90535195666996</v>
      </c>
      <c r="FK198" s="59">
        <f t="shared" si="211"/>
        <v>222.25422164416898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0.58435607956599145</v>
      </c>
      <c r="FR198" s="21">
        <f>EXP(-LN(2)/25)*FR197+(1-EXP(-LN(2)/25))/(LN(2)/25)*Calculateur!FM198*Calculateur!FO198*VLOOKUP('Données projet'!$B$16,Paramètres!$A$1:$I$89,3,0)*0.475*44/12</f>
        <v>0.67012328816034261</v>
      </c>
      <c r="FS198" s="21">
        <f>EXP(-LN(2)/2)*FS197+(1-EXP(-LN(2)/2))/(LN(2)/2)*FM198*FP198*VLOOKUP('Données projet'!$B$16,Paramètres!$A$1:$I$89,3,0)*0.475*44/12</f>
        <v>2.1259275907375711E-16</v>
      </c>
      <c r="FT198" s="22">
        <f t="shared" si="184"/>
        <v>1.2544793677263344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293.33333333334531</v>
      </c>
      <c r="S199" s="59">
        <f ca="1">AVERAGE(OFFSET($R$3,0,0,'Données projet'!$E$9+1,1))-AVERAGE(OFFSET($H$3,0,0,'Données projet'!$E$9+1,1))</f>
        <v>384.05928630855732</v>
      </c>
      <c r="T199" s="59">
        <f t="shared" si="204"/>
        <v>279.93992813630513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304.99999999999983</v>
      </c>
      <c r="AJ199" s="13">
        <f>AI199*VLOOKUP('Données projet'!$B$10,Paramètres!$A$1:$I$89,3,0)*VLOOKUP('Données projet'!$B$10,Paramètres!$A$1:$I$89,5,0)</f>
        <v>275.96399999999983</v>
      </c>
      <c r="AK199" s="13">
        <f t="shared" si="164"/>
        <v>66.113366665488854</v>
      </c>
      <c r="AL199" s="20">
        <f t="shared" si="165"/>
        <v>595.78474694239264</v>
      </c>
      <c r="AM199" s="59">
        <f t="shared" si="193"/>
        <v>889.11808027572602</v>
      </c>
      <c r="AN199" s="59">
        <f ca="1">AVERAGE(OFFSET($AM$3,0,0,'Données projet'!$E$10+1,1))-AVERAGE(OFFSET($H$3,0,0,'Données projet'!$E$10+1,1))</f>
        <v>366.69125512029831</v>
      </c>
      <c r="AO199" s="59">
        <f t="shared" si="205"/>
        <v>513.80016421153414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6.0362993462085748E-2</v>
      </c>
      <c r="AV199" s="21">
        <f>EXP(-LN(2)/25)*AV198+(1-EXP(-LN(2)/25))/(LN(2)/25)*Calculateur!AQ199*Calculateur!AS199*VLOOKUP('Données projet'!$B$10,Paramètres!$A$1:$I$89,3,0)*0.475*44/12</f>
        <v>7.4027648360963511E-2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0.13439064182304927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212.28480000000002</v>
      </c>
      <c r="BF199" s="13">
        <f t="shared" si="167"/>
        <v>52.434557099704193</v>
      </c>
      <c r="BG199" s="20">
        <f t="shared" si="168"/>
        <v>461.05288028198476</v>
      </c>
      <c r="BH199" s="59">
        <f t="shared" si="194"/>
        <v>754.38621361531807</v>
      </c>
      <c r="BI199" s="59">
        <f ca="1">AVERAGE(OFFSET($BH$3,0,0,'Données projet'!$E$11+1,1))-AVERAGE(OFFSET($H$3,0,0,'Données projet'!$E$11+1,1))</f>
        <v>354.24684313982857</v>
      </c>
      <c r="BJ199" s="59">
        <f t="shared" si="206"/>
        <v>322.65043486962185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4.071207361827879</v>
      </c>
      <c r="BQ199" s="21">
        <f>EXP(-LN(2)/25)*BQ198+(1-EXP(-LN(2)/25))/(LN(2)/25)*Calculateur!BL199*Calculateur!BN199*VLOOKUP('Données projet'!$B$11,Paramètres!$A$1:$I$89,3,0)*0.475*44/12</f>
        <v>1.0398124930365109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5.1110198548643897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5.4978954722173515E-13</v>
      </c>
      <c r="CA199" s="13">
        <f t="shared" si="170"/>
        <v>6.7731340873355904E-12</v>
      </c>
      <c r="CB199" s="20">
        <f t="shared" si="171"/>
        <v>1.2754091996854009E-11</v>
      </c>
      <c r="CC199" s="59">
        <f t="shared" si="195"/>
        <v>293.33333333334605</v>
      </c>
      <c r="CD199" s="59">
        <f ca="1">AVERAGE(OFFSET($CC$3,0,0,'Données projet'!$E$12+1,1))-AVERAGE(OFFSET($H$3,0,0,'Données projet'!$E$12+1,1))</f>
        <v>407.73540492005355</v>
      </c>
      <c r="CE199" s="59">
        <f t="shared" si="207"/>
        <v>296.29416764204774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50.450803293506517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50.450803293506517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266.99999999999983</v>
      </c>
      <c r="CU199" s="17">
        <f>CT199*VLOOKUP('Données projet'!$B$13,Paramètres!$A$1:$I$89,3,0)*VLOOKUP('Données projet'!$B$13,Paramètres!$A$1:$I$89,5,0)</f>
        <v>212.42519999999985</v>
      </c>
      <c r="CV199" s="13">
        <f t="shared" si="173"/>
        <v>52.465198231787184</v>
      </c>
      <c r="CW199" s="20">
        <f t="shared" si="174"/>
        <v>461.35077692036231</v>
      </c>
      <c r="CX199" s="59">
        <f t="shared" si="196"/>
        <v>754.68411025369562</v>
      </c>
      <c r="CY199" s="59">
        <f ca="1">AVERAGE(OFFSET($CX$3,0,0,'Données projet'!$E$13+1,1))-AVERAGE(OFFSET($H$3,0,0,'Données projet'!$E$13+1,1))</f>
        <v>299.10536994156814</v>
      </c>
      <c r="CZ199" s="59">
        <f t="shared" si="208"/>
        <v>292.57799203101769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2.8944242878428805</v>
      </c>
      <c r="DG199" s="21">
        <f>EXP(-LN(2)/25)*DG198+(1-EXP(-LN(2)/25))/(LN(2)/25)*Calculateur!DB199*Calculateur!DD199*VLOOKUP('Données projet'!$B$13,Paramètres!$A$1:$I$89,3,0)*0.475*44/12</f>
        <v>0.3340484969524336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3.2284727847953141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266.99999999999983</v>
      </c>
      <c r="DP199" s="17">
        <f>DO199*VLOOKUP('Données projet'!$B$14,Paramètres!$A$1:$I$89,3,0)*VLOOKUP('Données projet'!$B$14,Paramètres!$A$1:$I$89,5,0)</f>
        <v>212.42519999999985</v>
      </c>
      <c r="DQ199" s="13">
        <f t="shared" si="176"/>
        <v>52.465198231787184</v>
      </c>
      <c r="DR199" s="20">
        <f t="shared" si="177"/>
        <v>461.35077692036231</v>
      </c>
      <c r="DS199" s="59">
        <f t="shared" si="197"/>
        <v>754.68411025369562</v>
      </c>
      <c r="DT199" s="59">
        <f ca="1">AVERAGE(OFFSET($DS$3,0,0,'Données projet'!$E$14+1,1))-AVERAGE(OFFSET($H$3,0,0,'Données projet'!$E$14+1,1))</f>
        <v>299.10536994156814</v>
      </c>
      <c r="DU199" s="59">
        <f t="shared" si="209"/>
        <v>292.57799203101769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2.8944242878428805</v>
      </c>
      <c r="EB199" s="21">
        <f>EXP(-LN(2)/25)*EB198+(1-EXP(-LN(2)/25))/(LN(2)/25)*Calculateur!DW199*Calculateur!DY199*VLOOKUP('Données projet'!$B$14,Paramètres!$A$1:$I$89,3,0)*0.475*44/12</f>
        <v>0.3340484969524336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3.2284727847953141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204.00000000000017</v>
      </c>
      <c r="EK199" s="17">
        <f>EJ199*VLOOKUP('Données projet'!$B$15,Paramètres!$A$1:$I$89,3,0)*VLOOKUP('Données projet'!$B$15,Paramètres!$A$1:$I$89,5,0)</f>
        <v>133.66080000000011</v>
      </c>
      <c r="EL199" s="13">
        <f t="shared" si="179"/>
        <v>34.840890682716783</v>
      </c>
      <c r="EM199" s="20">
        <f t="shared" si="180"/>
        <v>293.4737779390652</v>
      </c>
      <c r="EN199" s="59">
        <f t="shared" si="198"/>
        <v>586.80711127239852</v>
      </c>
      <c r="EO199" s="59">
        <f ca="1">AVERAGE(OFFSET($EN$3,0,0,'Données projet'!$E$15+1,1))-AVERAGE(OFFSET($H$3,0,0,'Données projet'!$E$15+1,1))</f>
        <v>230.58262378842818</v>
      </c>
      <c r="EP199" s="59">
        <f t="shared" si="210"/>
        <v>235.68746142880792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0.23402005251575986</v>
      </c>
      <c r="EW199" s="21">
        <f>EXP(-LN(2)/25)*EW198+(1-EXP(-LN(2)/25))/(LN(2)/25)*Calculateur!ER199*Calculateur!ET199*VLOOKUP('Données projet'!$B$15,Paramètres!$A$1:$I$89,3,0)*0.475*44/12</f>
        <v>0.5709268506866696</v>
      </c>
      <c r="EX199" s="21">
        <f>EXP(-LN(2)/2)*EX198+(1-EXP(-LN(2)/2))/(LN(2)/2)*ER199*EU199*VLOOKUP('Données projet'!$B$15,Paramètres!$A$1:$I$89,3,0)*0.475*44/12</f>
        <v>3.3052212823157995E-16</v>
      </c>
      <c r="EY199" s="22">
        <f t="shared" si="181"/>
        <v>0.80494690320242979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234.00000000000003</v>
      </c>
      <c r="FF199" s="17">
        <f>FE199*VLOOKUP('Données projet'!$B$16,Paramètres!$A$1:$I$89,3,0)*VLOOKUP('Données projet'!$B$16,Paramètres!$A$1:$I$89,5,0)</f>
        <v>189.82080000000005</v>
      </c>
      <c r="FG199" s="13">
        <f t="shared" si="182"/>
        <v>47.500332100049796</v>
      </c>
      <c r="FH199" s="20">
        <f t="shared" si="183"/>
        <v>413.33430507425345</v>
      </c>
      <c r="FI199" s="59">
        <f t="shared" si="199"/>
        <v>706.66763840758676</v>
      </c>
      <c r="FJ199" s="59">
        <f ca="1">AVERAGE(OFFSET($FI$3,0,0,'Données projet'!$E$16+1,1))-AVERAGE(OFFSET($H$3,0,0,'Données projet'!$E$16+1,1))</f>
        <v>272.90535195666996</v>
      </c>
      <c r="FK199" s="59">
        <f t="shared" si="211"/>
        <v>222.25422164416898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0.57289721326771714</v>
      </c>
      <c r="FR199" s="21">
        <f>EXP(-LN(2)/25)*FR198+(1-EXP(-LN(2)/25))/(LN(2)/25)*Calculateur!FM199*Calculateur!FO199*VLOOKUP('Données projet'!$B$16,Paramètres!$A$1:$I$89,3,0)*0.475*44/12</f>
        <v>0.65179873160534596</v>
      </c>
      <c r="FS199" s="21">
        <f>EXP(-LN(2)/2)*FS198+(1-EXP(-LN(2)/2))/(LN(2)/2)*FM199*FP199*VLOOKUP('Données projet'!$B$16,Paramètres!$A$1:$I$89,3,0)*0.475*44/12</f>
        <v>1.5032578157221158E-16</v>
      </c>
      <c r="FT199" s="22">
        <f t="shared" si="184"/>
        <v>1.2246959448730632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293.33333333334531</v>
      </c>
      <c r="S200" s="59">
        <f ca="1">AVERAGE(OFFSET($R$3,0,0,'Données projet'!$E$9+1,1))-AVERAGE(OFFSET($H$3,0,0,'Données projet'!$E$9+1,1))</f>
        <v>384.05928630855732</v>
      </c>
      <c r="T200" s="59">
        <f t="shared" si="204"/>
        <v>279.93992813630513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304.99999999999983</v>
      </c>
      <c r="AJ200" s="13">
        <f>AI200*VLOOKUP('Données projet'!$B$10,Paramètres!$A$1:$I$89,3,0)*VLOOKUP('Données projet'!$B$10,Paramètres!$A$1:$I$89,5,0)</f>
        <v>275.96399999999983</v>
      </c>
      <c r="AK200" s="13">
        <f t="shared" si="164"/>
        <v>66.113366665488854</v>
      </c>
      <c r="AL200" s="20">
        <f t="shared" si="165"/>
        <v>595.78474694239264</v>
      </c>
      <c r="AM200" s="59">
        <f t="shared" si="193"/>
        <v>889.11808027572602</v>
      </c>
      <c r="AN200" s="59">
        <f ca="1">AVERAGE(OFFSET($AM$3,0,0,'Données projet'!$E$10+1,1))-AVERAGE(OFFSET($H$3,0,0,'Données projet'!$E$10+1,1))</f>
        <v>366.69125512029831</v>
      </c>
      <c r="AO200" s="59">
        <f t="shared" si="205"/>
        <v>513.80016421153414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5.9179311978084806E-2</v>
      </c>
      <c r="AV200" s="21">
        <f>EXP(-LN(2)/25)*AV199+(1-EXP(-LN(2)/25))/(LN(2)/25)*Calculateur!AQ200*Calculateur!AS200*VLOOKUP('Données projet'!$B$10,Paramètres!$A$1:$I$89,3,0)*0.475*44/12</f>
        <v>7.2003358423588126E-2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0.13118267040167292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212.28480000000002</v>
      </c>
      <c r="BF200" s="13">
        <f t="shared" si="167"/>
        <v>52.434557099704193</v>
      </c>
      <c r="BG200" s="20">
        <f t="shared" si="168"/>
        <v>461.05288028198476</v>
      </c>
      <c r="BH200" s="59">
        <f t="shared" si="194"/>
        <v>754.38621361531807</v>
      </c>
      <c r="BI200" s="59">
        <f ca="1">AVERAGE(OFFSET($BH$3,0,0,'Données projet'!$E$11+1,1))-AVERAGE(OFFSET($H$3,0,0,'Données projet'!$E$11+1,1))</f>
        <v>354.24684313982857</v>
      </c>
      <c r="BJ200" s="59">
        <f t="shared" si="206"/>
        <v>322.65043486962185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3.9913734686537303</v>
      </c>
      <c r="BQ200" s="21">
        <f>EXP(-LN(2)/25)*BQ199+(1-EXP(-LN(2)/25))/(LN(2)/25)*Calculateur!BL200*Calculateur!BN200*VLOOKUP('Données projet'!$B$11,Paramètres!$A$1:$I$89,3,0)*0.475*44/12</f>
        <v>1.0113787657330651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5.0027522343867954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5.4978954722173515E-13</v>
      </c>
      <c r="CA200" s="13">
        <f t="shared" si="170"/>
        <v>6.7731340873355904E-12</v>
      </c>
      <c r="CB200" s="20">
        <f t="shared" si="171"/>
        <v>1.2754091996854009E-11</v>
      </c>
      <c r="CC200" s="59">
        <f t="shared" si="195"/>
        <v>293.33333333334605</v>
      </c>
      <c r="CD200" s="59">
        <f ca="1">AVERAGE(OFFSET($CC$3,0,0,'Données projet'!$E$12+1,1))-AVERAGE(OFFSET($H$3,0,0,'Données projet'!$E$12+1,1))</f>
        <v>407.73540492005355</v>
      </c>
      <c r="CE200" s="59">
        <f t="shared" si="207"/>
        <v>296.29416764204774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49.461493812872384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49.461493812872384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266.99999999999983</v>
      </c>
      <c r="CU200" s="17">
        <f>CT200*VLOOKUP('Données projet'!$B$13,Paramètres!$A$1:$I$89,3,0)*VLOOKUP('Données projet'!$B$13,Paramètres!$A$1:$I$89,5,0)</f>
        <v>212.42519999999985</v>
      </c>
      <c r="CV200" s="13">
        <f t="shared" si="173"/>
        <v>52.465198231787184</v>
      </c>
      <c r="CW200" s="20">
        <f t="shared" si="174"/>
        <v>461.35077692036231</v>
      </c>
      <c r="CX200" s="59">
        <f t="shared" si="196"/>
        <v>754.68411025369562</v>
      </c>
      <c r="CY200" s="59">
        <f ca="1">AVERAGE(OFFSET($CX$3,0,0,'Données projet'!$E$13+1,1))-AVERAGE(OFFSET($H$3,0,0,'Données projet'!$E$13+1,1))</f>
        <v>299.10536994156814</v>
      </c>
      <c r="CZ200" s="59">
        <f t="shared" si="208"/>
        <v>292.57799203101769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2.8376663929827761</v>
      </c>
      <c r="DG200" s="21">
        <f>EXP(-LN(2)/25)*DG199+(1-EXP(-LN(2)/25))/(LN(2)/25)*Calculateur!DB200*Calculateur!DD200*VLOOKUP('Données projet'!$B$13,Paramètres!$A$1:$I$89,3,0)*0.475*44/12</f>
        <v>0.32491392323642232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3.1625803162191986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266.99999999999983</v>
      </c>
      <c r="DP200" s="17">
        <f>DO200*VLOOKUP('Données projet'!$B$14,Paramètres!$A$1:$I$89,3,0)*VLOOKUP('Données projet'!$B$14,Paramètres!$A$1:$I$89,5,0)</f>
        <v>212.42519999999985</v>
      </c>
      <c r="DQ200" s="13">
        <f t="shared" si="176"/>
        <v>52.465198231787184</v>
      </c>
      <c r="DR200" s="20">
        <f t="shared" si="177"/>
        <v>461.35077692036231</v>
      </c>
      <c r="DS200" s="59">
        <f t="shared" si="197"/>
        <v>754.68411025369562</v>
      </c>
      <c r="DT200" s="59">
        <f ca="1">AVERAGE(OFFSET($DS$3,0,0,'Données projet'!$E$14+1,1))-AVERAGE(OFFSET($H$3,0,0,'Données projet'!$E$14+1,1))</f>
        <v>299.10536994156814</v>
      </c>
      <c r="DU200" s="59">
        <f t="shared" si="209"/>
        <v>292.57799203101769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2.8376663929827761</v>
      </c>
      <c r="EB200" s="21">
        <f>EXP(-LN(2)/25)*EB199+(1-EXP(-LN(2)/25))/(LN(2)/25)*Calculateur!DW200*Calculateur!DY200*VLOOKUP('Données projet'!$B$14,Paramètres!$A$1:$I$89,3,0)*0.475*44/12</f>
        <v>0.32491392323642232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3.1625803162191986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204.00000000000017</v>
      </c>
      <c r="EK200" s="17">
        <f>EJ200*VLOOKUP('Données projet'!$B$15,Paramètres!$A$1:$I$89,3,0)*VLOOKUP('Données projet'!$B$15,Paramètres!$A$1:$I$89,5,0)</f>
        <v>133.66080000000011</v>
      </c>
      <c r="EL200" s="13">
        <f t="shared" si="179"/>
        <v>34.840890682716783</v>
      </c>
      <c r="EM200" s="20">
        <f t="shared" si="180"/>
        <v>293.4737779390652</v>
      </c>
      <c r="EN200" s="59">
        <f t="shared" si="198"/>
        <v>586.80711127239852</v>
      </c>
      <c r="EO200" s="59">
        <f ca="1">AVERAGE(OFFSET($EN$3,0,0,'Données projet'!$E$15+1,1))-AVERAGE(OFFSET($H$3,0,0,'Données projet'!$E$15+1,1))</f>
        <v>230.58262378842818</v>
      </c>
      <c r="EP200" s="59">
        <f t="shared" si="210"/>
        <v>235.68746142880792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0.22943106202406363</v>
      </c>
      <c r="EW200" s="21">
        <f>EXP(-LN(2)/25)*EW199+(1-EXP(-LN(2)/25))/(LN(2)/25)*Calculateur!ER200*Calculateur!ET200*VLOOKUP('Données projet'!$B$15,Paramètres!$A$1:$I$89,3,0)*0.475*44/12</f>
        <v>0.55531482593090442</v>
      </c>
      <c r="EX200" s="21">
        <f>EXP(-LN(2)/2)*EX199+(1-EXP(-LN(2)/2))/(LN(2)/2)*ER200*EU200*VLOOKUP('Données projet'!$B$15,Paramètres!$A$1:$I$89,3,0)*0.475*44/12</f>
        <v>2.337144382047598E-16</v>
      </c>
      <c r="EY200" s="22">
        <f t="shared" si="181"/>
        <v>0.78474588795496825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234.00000000000003</v>
      </c>
      <c r="FF200" s="17">
        <f>FE200*VLOOKUP('Données projet'!$B$16,Paramètres!$A$1:$I$89,3,0)*VLOOKUP('Données projet'!$B$16,Paramètres!$A$1:$I$89,5,0)</f>
        <v>189.82080000000005</v>
      </c>
      <c r="FG200" s="13">
        <f t="shared" si="182"/>
        <v>47.500332100049796</v>
      </c>
      <c r="FH200" s="20">
        <f t="shared" si="183"/>
        <v>413.33430507425345</v>
      </c>
      <c r="FI200" s="59">
        <f t="shared" si="199"/>
        <v>706.66763840758676</v>
      </c>
      <c r="FJ200" s="59">
        <f ca="1">AVERAGE(OFFSET($FI$3,0,0,'Données projet'!$E$16+1,1))-AVERAGE(OFFSET($H$3,0,0,'Données projet'!$E$16+1,1))</f>
        <v>272.90535195666996</v>
      </c>
      <c r="FK200" s="59">
        <f t="shared" si="211"/>
        <v>222.25422164416898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0.56166304834833369</v>
      </c>
      <c r="FR200" s="21">
        <f>EXP(-LN(2)/25)*FR199+(1-EXP(-LN(2)/25))/(LN(2)/25)*Calculateur!FM200*Calculateur!FO200*VLOOKUP('Données projet'!$B$16,Paramètres!$A$1:$I$89,3,0)*0.475*44/12</f>
        <v>0.63397526101299218</v>
      </c>
      <c r="FS200" s="21">
        <f>EXP(-LN(2)/2)*FS199+(1-EXP(-LN(2)/2))/(LN(2)/2)*FM200*FP200*VLOOKUP('Données projet'!$B$16,Paramètres!$A$1:$I$89,3,0)*0.475*44/12</f>
        <v>1.0629637953687855E-16</v>
      </c>
      <c r="FT200" s="22">
        <f t="shared" si="184"/>
        <v>1.1956383093613259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293.33333333334531</v>
      </c>
      <c r="S201" s="59">
        <f ca="1">AVERAGE(OFFSET($R$3,0,0,'Données projet'!$E$9+1,1))-AVERAGE(OFFSET($H$3,0,0,'Données projet'!$E$9+1,1))</f>
        <v>384.05928630855732</v>
      </c>
      <c r="T201" s="59">
        <f t="shared" si="204"/>
        <v>279.93992813630513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304.99999999999983</v>
      </c>
      <c r="AJ201" s="13">
        <f>AI201*VLOOKUP('Données projet'!$B$10,Paramètres!$A$1:$I$89,3,0)*VLOOKUP('Données projet'!$B$10,Paramètres!$A$1:$I$89,5,0)</f>
        <v>275.96399999999983</v>
      </c>
      <c r="AK201" s="13">
        <f t="shared" si="164"/>
        <v>66.113366665488854</v>
      </c>
      <c r="AL201" s="20">
        <f t="shared" si="165"/>
        <v>595.78474694239264</v>
      </c>
      <c r="AM201" s="59">
        <f t="shared" si="193"/>
        <v>889.11808027572602</v>
      </c>
      <c r="AN201" s="59">
        <f ca="1">AVERAGE(OFFSET($AM$3,0,0,'Données projet'!$E$10+1,1))-AVERAGE(OFFSET($H$3,0,0,'Données projet'!$E$10+1,1))</f>
        <v>366.69125512029831</v>
      </c>
      <c r="AO201" s="59">
        <f t="shared" si="205"/>
        <v>513.80016421153414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5.8018841766010701E-2</v>
      </c>
      <c r="AV201" s="21">
        <f>EXP(-LN(2)/25)*AV200+(1-EXP(-LN(2)/25))/(LN(2)/25)*Calculateur!AQ201*Calculateur!AS201*VLOOKUP('Données projet'!$B$10,Paramètres!$A$1:$I$89,3,0)*0.475*44/12</f>
        <v>7.0034422801003055E-2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0.12805326456701377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212.28480000000002</v>
      </c>
      <c r="BF201" s="13">
        <f t="shared" si="167"/>
        <v>52.434557099704193</v>
      </c>
      <c r="BG201" s="20">
        <f t="shared" si="168"/>
        <v>461.05288028198476</v>
      </c>
      <c r="BH201" s="59">
        <f t="shared" si="194"/>
        <v>754.38621361531807</v>
      </c>
      <c r="BI201" s="59">
        <f ca="1">AVERAGE(OFFSET($BH$3,0,0,'Données projet'!$E$11+1,1))-AVERAGE(OFFSET($H$3,0,0,'Données projet'!$E$11+1,1))</f>
        <v>354.24684313982857</v>
      </c>
      <c r="BJ201" s="59">
        <f t="shared" si="206"/>
        <v>322.65043486962185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3.91310506943086</v>
      </c>
      <c r="BQ201" s="21">
        <f>EXP(-LN(2)/25)*BQ200+(1-EXP(-LN(2)/25))/(LN(2)/25)*Calculateur!BL201*Calculateur!BN201*VLOOKUP('Données projet'!$B$11,Paramètres!$A$1:$I$89,3,0)*0.475*44/12</f>
        <v>0.98372256019799664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4.8968276296288566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5.4978954722173515E-13</v>
      </c>
      <c r="CA201" s="13">
        <f t="shared" si="170"/>
        <v>6.7731340873355904E-12</v>
      </c>
      <c r="CB201" s="20">
        <f t="shared" si="171"/>
        <v>1.2754091996854009E-11</v>
      </c>
      <c r="CC201" s="59">
        <f t="shared" si="195"/>
        <v>293.33333333334605</v>
      </c>
      <c r="CD201" s="59">
        <f ca="1">AVERAGE(OFFSET($CC$3,0,0,'Données projet'!$E$12+1,1))-AVERAGE(OFFSET($H$3,0,0,'Données projet'!$E$12+1,1))</f>
        <v>407.73540492005355</v>
      </c>
      <c r="CE201" s="59">
        <f t="shared" si="207"/>
        <v>296.29416764204774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48.491584087734289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48.491584087734289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266.99999999999983</v>
      </c>
      <c r="CU201" s="17">
        <f>CT201*VLOOKUP('Données projet'!$B$13,Paramètres!$A$1:$I$89,3,0)*VLOOKUP('Données projet'!$B$13,Paramètres!$A$1:$I$89,5,0)</f>
        <v>212.42519999999985</v>
      </c>
      <c r="CV201" s="13">
        <f t="shared" si="173"/>
        <v>52.465198231787184</v>
      </c>
      <c r="CW201" s="20">
        <f t="shared" si="174"/>
        <v>461.35077692036231</v>
      </c>
      <c r="CX201" s="59">
        <f t="shared" si="196"/>
        <v>754.68411025369562</v>
      </c>
      <c r="CY201" s="59">
        <f ca="1">AVERAGE(OFFSET($CX$3,0,0,'Données projet'!$E$13+1,1))-AVERAGE(OFFSET($H$3,0,0,'Données projet'!$E$13+1,1))</f>
        <v>299.10536994156814</v>
      </c>
      <c r="CZ201" s="59">
        <f t="shared" si="208"/>
        <v>292.57799203101769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2.7820214858219807</v>
      </c>
      <c r="DG201" s="21">
        <f>EXP(-LN(2)/25)*DG200+(1-EXP(-LN(2)/25))/(LN(2)/25)*Calculateur!DB201*Calculateur!DD201*VLOOKUP('Données projet'!$B$13,Paramètres!$A$1:$I$89,3,0)*0.475*44/12</f>
        <v>0.31602913491904172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3.0980506207410223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266.99999999999983</v>
      </c>
      <c r="DP201" s="17">
        <f>DO201*VLOOKUP('Données projet'!$B$14,Paramètres!$A$1:$I$89,3,0)*VLOOKUP('Données projet'!$B$14,Paramètres!$A$1:$I$89,5,0)</f>
        <v>212.42519999999985</v>
      </c>
      <c r="DQ201" s="13">
        <f t="shared" si="176"/>
        <v>52.465198231787184</v>
      </c>
      <c r="DR201" s="20">
        <f t="shared" si="177"/>
        <v>461.35077692036231</v>
      </c>
      <c r="DS201" s="59">
        <f t="shared" si="197"/>
        <v>754.68411025369562</v>
      </c>
      <c r="DT201" s="59">
        <f ca="1">AVERAGE(OFFSET($DS$3,0,0,'Données projet'!$E$14+1,1))-AVERAGE(OFFSET($H$3,0,0,'Données projet'!$E$14+1,1))</f>
        <v>299.10536994156814</v>
      </c>
      <c r="DU201" s="59">
        <f t="shared" si="209"/>
        <v>292.57799203101769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2.7820214858219807</v>
      </c>
      <c r="EB201" s="21">
        <f>EXP(-LN(2)/25)*EB200+(1-EXP(-LN(2)/25))/(LN(2)/25)*Calculateur!DW201*Calculateur!DY201*VLOOKUP('Données projet'!$B$14,Paramètres!$A$1:$I$89,3,0)*0.475*44/12</f>
        <v>0.31602913491904172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3.0980506207410223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204.00000000000017</v>
      </c>
      <c r="EK201" s="17">
        <f>EJ201*VLOOKUP('Données projet'!$B$15,Paramètres!$A$1:$I$89,3,0)*VLOOKUP('Données projet'!$B$15,Paramètres!$A$1:$I$89,5,0)</f>
        <v>133.66080000000011</v>
      </c>
      <c r="EL201" s="13">
        <f t="shared" si="179"/>
        <v>34.840890682716783</v>
      </c>
      <c r="EM201" s="20">
        <f t="shared" si="180"/>
        <v>293.4737779390652</v>
      </c>
      <c r="EN201" s="59">
        <f t="shared" si="198"/>
        <v>586.80711127239852</v>
      </c>
      <c r="EO201" s="59">
        <f ca="1">AVERAGE(OFFSET($EN$3,0,0,'Données projet'!$E$15+1,1))-AVERAGE(OFFSET($H$3,0,0,'Données projet'!$E$15+1,1))</f>
        <v>230.58262378842818</v>
      </c>
      <c r="EP201" s="59">
        <f t="shared" si="210"/>
        <v>235.68746142880792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0.22493205883690173</v>
      </c>
      <c r="EW201" s="21">
        <f>EXP(-LN(2)/25)*EW200+(1-EXP(-LN(2)/25))/(LN(2)/25)*Calculateur!ER201*Calculateur!ET201*VLOOKUP('Données projet'!$B$15,Paramètres!$A$1:$I$89,3,0)*0.475*44/12</f>
        <v>0.5401297128130863</v>
      </c>
      <c r="EX201" s="21">
        <f>EXP(-LN(2)/2)*EX200+(1-EXP(-LN(2)/2))/(LN(2)/2)*ER201*EU201*VLOOKUP('Données projet'!$B$15,Paramètres!$A$1:$I$89,3,0)*0.475*44/12</f>
        <v>1.6526106411578997E-16</v>
      </c>
      <c r="EY201" s="22">
        <f t="shared" si="181"/>
        <v>0.76506177164998812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234.00000000000003</v>
      </c>
      <c r="FF201" s="17">
        <f>FE201*VLOOKUP('Données projet'!$B$16,Paramètres!$A$1:$I$89,3,0)*VLOOKUP('Données projet'!$B$16,Paramètres!$A$1:$I$89,5,0)</f>
        <v>189.82080000000005</v>
      </c>
      <c r="FG201" s="13">
        <f t="shared" si="182"/>
        <v>47.500332100049796</v>
      </c>
      <c r="FH201" s="20">
        <f t="shared" si="183"/>
        <v>413.33430507425345</v>
      </c>
      <c r="FI201" s="59">
        <f t="shared" si="199"/>
        <v>706.66763840758676</v>
      </c>
      <c r="FJ201" s="59">
        <f ca="1">AVERAGE(OFFSET($FI$3,0,0,'Données projet'!$E$16+1,1))-AVERAGE(OFFSET($H$3,0,0,'Données projet'!$E$16+1,1))</f>
        <v>272.90535195666996</v>
      </c>
      <c r="FK201" s="59">
        <f t="shared" si="211"/>
        <v>222.25422164416898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0.55064917855085538</v>
      </c>
      <c r="FR201" s="21">
        <f>EXP(-LN(2)/25)*FR200+(1-EXP(-LN(2)/25))/(LN(2)/25)*Calculateur!FM201*Calculateur!FO201*VLOOKUP('Données projet'!$B$16,Paramètres!$A$1:$I$89,3,0)*0.475*44/12</f>
        <v>0.61663917416128189</v>
      </c>
      <c r="FS201" s="21">
        <f>EXP(-LN(2)/2)*FS200+(1-EXP(-LN(2)/2))/(LN(2)/2)*FM201*FP201*VLOOKUP('Données projet'!$B$16,Paramètres!$A$1:$I$89,3,0)*0.475*44/12</f>
        <v>7.5162890786105791E-17</v>
      </c>
      <c r="FT201" s="22">
        <f t="shared" si="184"/>
        <v>1.1672883527121374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293.33333333334531</v>
      </c>
      <c r="S202" s="59">
        <f ca="1">AVERAGE(OFFSET($R$3,0,0,'Données projet'!$E$9+1,1))-AVERAGE(OFFSET($H$3,0,0,'Données projet'!$E$9+1,1))</f>
        <v>384.05928630855732</v>
      </c>
      <c r="T202" s="59">
        <f t="shared" si="204"/>
        <v>279.93992813630513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304.99999999999983</v>
      </c>
      <c r="AJ202" s="13">
        <f>AI202*VLOOKUP('Données projet'!$B$10,Paramètres!$A$1:$I$89,3,0)*VLOOKUP('Données projet'!$B$10,Paramètres!$A$1:$I$89,5,0)</f>
        <v>275.96399999999983</v>
      </c>
      <c r="AK202" s="13">
        <f t="shared" si="164"/>
        <v>66.113366665488854</v>
      </c>
      <c r="AL202" s="20">
        <f t="shared" si="165"/>
        <v>595.78474694239264</v>
      </c>
      <c r="AM202" s="59">
        <f t="shared" si="193"/>
        <v>889.11808027572602</v>
      </c>
      <c r="AN202" s="59">
        <f ca="1">AVERAGE(OFFSET($AM$3,0,0,'Données projet'!$E$10+1,1))-AVERAGE(OFFSET($H$3,0,0,'Données projet'!$E$10+1,1))</f>
        <v>366.69125512029831</v>
      </c>
      <c r="AO202" s="59">
        <f t="shared" si="205"/>
        <v>513.80016421153414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5.6881127666978434E-2</v>
      </c>
      <c r="AV202" s="21">
        <f>EXP(-LN(2)/25)*AV201+(1-EXP(-LN(2)/25))/(LN(2)/25)*Calculateur!AQ202*Calculateur!AS202*VLOOKUP('Données projet'!$B$10,Paramètres!$A$1:$I$89,3,0)*0.475*44/12</f>
        <v>6.8119327826559398E-2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0.12500045549353783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212.28480000000002</v>
      </c>
      <c r="BF202" s="13">
        <f t="shared" si="167"/>
        <v>52.434557099704193</v>
      </c>
      <c r="BG202" s="20">
        <f t="shared" si="168"/>
        <v>461.05288028198476</v>
      </c>
      <c r="BH202" s="59">
        <f t="shared" si="194"/>
        <v>754.38621361531807</v>
      </c>
      <c r="BI202" s="59">
        <f ca="1">AVERAGE(OFFSET($BH$3,0,0,'Données projet'!$E$11+1,1))-AVERAGE(OFFSET($H$3,0,0,'Données projet'!$E$11+1,1))</f>
        <v>354.24684313982857</v>
      </c>
      <c r="BJ202" s="59">
        <f t="shared" si="206"/>
        <v>322.65043486962185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3.8363714657777406</v>
      </c>
      <c r="BQ202" s="21">
        <f>EXP(-LN(2)/25)*BQ201+(1-EXP(-LN(2)/25))/(LN(2)/25)*Calculateur!BL202*Calculateur!BN202*VLOOKUP('Données projet'!$B$11,Paramètres!$A$1:$I$89,3,0)*0.475*44/12</f>
        <v>0.95682261505766131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4.7931940808354021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5.4978954722173515E-13</v>
      </c>
      <c r="CA202" s="13">
        <f t="shared" si="170"/>
        <v>6.7731340873355904E-12</v>
      </c>
      <c r="CB202" s="20">
        <f t="shared" si="171"/>
        <v>1.2754091996854009E-11</v>
      </c>
      <c r="CC202" s="59">
        <f t="shared" si="195"/>
        <v>293.33333333334605</v>
      </c>
      <c r="CD202" s="59">
        <f ca="1">AVERAGE(OFFSET($CC$3,0,0,'Données projet'!$E$12+1,1))-AVERAGE(OFFSET($H$3,0,0,'Données projet'!$E$12+1,1))</f>
        <v>407.73540492005355</v>
      </c>
      <c r="CE202" s="59">
        <f t="shared" si="207"/>
        <v>296.29416764204774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47.540693700719629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47.540693700719629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266.99999999999983</v>
      </c>
      <c r="CU202" s="17">
        <f>CT202*VLOOKUP('Données projet'!$B$13,Paramètres!$A$1:$I$89,3,0)*VLOOKUP('Données projet'!$B$13,Paramètres!$A$1:$I$89,5,0)</f>
        <v>212.42519999999985</v>
      </c>
      <c r="CV202" s="13">
        <f t="shared" si="173"/>
        <v>52.465198231787184</v>
      </c>
      <c r="CW202" s="20">
        <f t="shared" si="174"/>
        <v>461.35077692036231</v>
      </c>
      <c r="CX202" s="59">
        <f t="shared" si="196"/>
        <v>754.68411025369562</v>
      </c>
      <c r="CY202" s="59">
        <f ca="1">AVERAGE(OFFSET($CX$3,0,0,'Données projet'!$E$13+1,1))-AVERAGE(OFFSET($H$3,0,0,'Données projet'!$E$13+1,1))</f>
        <v>299.10536994156814</v>
      </c>
      <c r="CZ202" s="59">
        <f t="shared" si="208"/>
        <v>292.57799203101769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2.7274677413505666</v>
      </c>
      <c r="DG202" s="21">
        <f>EXP(-LN(2)/25)*DG201+(1-EXP(-LN(2)/25))/(LN(2)/25)*Calculateur!DB202*Calculateur!DD202*VLOOKUP('Données projet'!$B$13,Paramètres!$A$1:$I$89,3,0)*0.475*44/12</f>
        <v>0.3073873016054306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3.0348550429559973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266.99999999999983</v>
      </c>
      <c r="DP202" s="17">
        <f>DO202*VLOOKUP('Données projet'!$B$14,Paramètres!$A$1:$I$89,3,0)*VLOOKUP('Données projet'!$B$14,Paramètres!$A$1:$I$89,5,0)</f>
        <v>212.42519999999985</v>
      </c>
      <c r="DQ202" s="13">
        <f t="shared" si="176"/>
        <v>52.465198231787184</v>
      </c>
      <c r="DR202" s="20">
        <f t="shared" si="177"/>
        <v>461.35077692036231</v>
      </c>
      <c r="DS202" s="59">
        <f t="shared" si="197"/>
        <v>754.68411025369562</v>
      </c>
      <c r="DT202" s="59">
        <f ca="1">AVERAGE(OFFSET($DS$3,0,0,'Données projet'!$E$14+1,1))-AVERAGE(OFFSET($H$3,0,0,'Données projet'!$E$14+1,1))</f>
        <v>299.10536994156814</v>
      </c>
      <c r="DU202" s="59">
        <f t="shared" si="209"/>
        <v>292.57799203101769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2.7274677413505666</v>
      </c>
      <c r="EB202" s="21">
        <f>EXP(-LN(2)/25)*EB201+(1-EXP(-LN(2)/25))/(LN(2)/25)*Calculateur!DW202*Calculateur!DY202*VLOOKUP('Données projet'!$B$14,Paramètres!$A$1:$I$89,3,0)*0.475*44/12</f>
        <v>0.3073873016054306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3.0348550429559973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204.00000000000017</v>
      </c>
      <c r="EK202" s="17">
        <f>EJ202*VLOOKUP('Données projet'!$B$15,Paramètres!$A$1:$I$89,3,0)*VLOOKUP('Données projet'!$B$15,Paramètres!$A$1:$I$89,5,0)</f>
        <v>133.66080000000011</v>
      </c>
      <c r="EL202" s="13">
        <f t="shared" si="179"/>
        <v>34.840890682716783</v>
      </c>
      <c r="EM202" s="20">
        <f t="shared" si="180"/>
        <v>293.4737779390652</v>
      </c>
      <c r="EN202" s="59">
        <f t="shared" si="198"/>
        <v>586.80711127239852</v>
      </c>
      <c r="EO202" s="59">
        <f ca="1">AVERAGE(OFFSET($EN$3,0,0,'Données projet'!$E$15+1,1))-AVERAGE(OFFSET($H$3,0,0,'Données projet'!$E$15+1,1))</f>
        <v>230.58262378842818</v>
      </c>
      <c r="EP202" s="59">
        <f t="shared" si="210"/>
        <v>235.68746142880792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0.2205212783581191</v>
      </c>
      <c r="EW202" s="21">
        <f>EXP(-LN(2)/25)*EW201+(1-EXP(-LN(2)/25))/(LN(2)/25)*Calculateur!ER202*Calculateur!ET202*VLOOKUP('Données projet'!$B$15,Paramètres!$A$1:$I$89,3,0)*0.475*44/12</f>
        <v>0.5253598374120253</v>
      </c>
      <c r="EX202" s="21">
        <f>EXP(-LN(2)/2)*EX201+(1-EXP(-LN(2)/2))/(LN(2)/2)*ER202*EU202*VLOOKUP('Données projet'!$B$15,Paramètres!$A$1:$I$89,3,0)*0.475*44/12</f>
        <v>1.168572191023799E-16</v>
      </c>
      <c r="EY202" s="22">
        <f t="shared" si="181"/>
        <v>0.74588111577014449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234.00000000000003</v>
      </c>
      <c r="FF202" s="17">
        <f>FE202*VLOOKUP('Données projet'!$B$16,Paramètres!$A$1:$I$89,3,0)*VLOOKUP('Données projet'!$B$16,Paramètres!$A$1:$I$89,5,0)</f>
        <v>189.82080000000005</v>
      </c>
      <c r="FG202" s="13">
        <f t="shared" si="182"/>
        <v>47.500332100049796</v>
      </c>
      <c r="FH202" s="20">
        <f t="shared" si="183"/>
        <v>413.33430507425345</v>
      </c>
      <c r="FI202" s="59">
        <f t="shared" si="199"/>
        <v>706.66763840758676</v>
      </c>
      <c r="FJ202" s="59">
        <f ca="1">AVERAGE(OFFSET($FI$3,0,0,'Données projet'!$E$16+1,1))-AVERAGE(OFFSET($H$3,0,0,'Données projet'!$E$16+1,1))</f>
        <v>272.90535195666996</v>
      </c>
      <c r="FK202" s="59">
        <f t="shared" si="211"/>
        <v>222.25422164416898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0.53985128402230831</v>
      </c>
      <c r="FR202" s="21">
        <f>EXP(-LN(2)/25)*FR201+(1-EXP(-LN(2)/25))/(LN(2)/25)*Calculateur!FM202*Calculateur!FO202*VLOOKUP('Données projet'!$B$16,Paramètres!$A$1:$I$89,3,0)*0.475*44/12</f>
        <v>0.59977714351619682</v>
      </c>
      <c r="FS202" s="21">
        <f>EXP(-LN(2)/2)*FS201+(1-EXP(-LN(2)/2))/(LN(2)/2)*FM202*FP202*VLOOKUP('Données projet'!$B$16,Paramètres!$A$1:$I$89,3,0)*0.475*44/12</f>
        <v>5.3148189768439277E-17</v>
      </c>
      <c r="FT202" s="22">
        <f t="shared" si="184"/>
        <v>1.1396284275385051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293.33333333334531</v>
      </c>
      <c r="S203" s="59">
        <f ca="1">AVERAGE(OFFSET($R$3,0,0,'Données projet'!$E$9+1,1))-AVERAGE(OFFSET($H$3,0,0,'Données projet'!$E$9+1,1))</f>
        <v>384.05928630855732</v>
      </c>
      <c r="T203" s="59">
        <f t="shared" si="204"/>
        <v>279.93992813630513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304.99999999999983</v>
      </c>
      <c r="AJ203" s="13">
        <f>AI203*VLOOKUP('Données projet'!$B$10,Paramètres!$A$1:$I$89,3,0)*VLOOKUP('Données projet'!$B$10,Paramètres!$A$1:$I$89,5,0)</f>
        <v>275.96399999999983</v>
      </c>
      <c r="AK203" s="13">
        <f t="shared" si="164"/>
        <v>66.113366665488854</v>
      </c>
      <c r="AL203" s="20">
        <f t="shared" si="165"/>
        <v>595.78474694239264</v>
      </c>
      <c r="AM203" s="59">
        <f t="shared" si="193"/>
        <v>889.11808027572602</v>
      </c>
      <c r="AN203" s="59">
        <f ca="1">AVERAGE(OFFSET($AM$3,0,0,'Données projet'!$E$10+1,1))-AVERAGE(OFFSET($H$3,0,0,'Données projet'!$E$10+1,1))</f>
        <v>366.69125512029831</v>
      </c>
      <c r="AO203" s="59">
        <f t="shared" si="205"/>
        <v>513.80016421153414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5.576572344749111E-2</v>
      </c>
      <c r="AV203" s="21">
        <f>EXP(-LN(2)/25)*AV202+(1-EXP(-LN(2)/25))/(LN(2)/25)*Calculateur!AQ203*Calculateur!AS203*VLOOKUP('Données projet'!$B$10,Paramètres!$A$1:$I$89,3,0)*0.475*44/12</f>
        <v>6.6256601224902373E-2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0.12202232467239349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212.28480000000002</v>
      </c>
      <c r="BF203" s="13">
        <f t="shared" si="167"/>
        <v>52.434557099704193</v>
      </c>
      <c r="BG203" s="20">
        <f t="shared" si="168"/>
        <v>461.05288028198476</v>
      </c>
      <c r="BH203" s="59">
        <f t="shared" si="194"/>
        <v>754.38621361531807</v>
      </c>
      <c r="BI203" s="59">
        <f ca="1">AVERAGE(OFFSET($BH$3,0,0,'Données projet'!$E$11+1,1))-AVERAGE(OFFSET($H$3,0,0,'Données projet'!$E$11+1,1))</f>
        <v>354.24684313982857</v>
      </c>
      <c r="BJ203" s="59">
        <f t="shared" si="206"/>
        <v>322.65043486962185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3.7611425612893816</v>
      </c>
      <c r="BQ203" s="21">
        <f>EXP(-LN(2)/25)*BQ202+(1-EXP(-LN(2)/25))/(LN(2)/25)*Calculateur!BL203*Calculateur!BN203*VLOOKUP('Données projet'!$B$11,Paramètres!$A$1:$I$89,3,0)*0.475*44/12</f>
        <v>0.93065825033179506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4.6918008116211762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5.4978954722173515E-13</v>
      </c>
      <c r="CA203" s="13">
        <f t="shared" si="170"/>
        <v>6.7731340873355904E-12</v>
      </c>
      <c r="CB203" s="20">
        <f t="shared" si="171"/>
        <v>1.2754091996854009E-11</v>
      </c>
      <c r="CC203" s="59">
        <f t="shared" si="195"/>
        <v>293.33333333334605</v>
      </c>
      <c r="CD203" s="59">
        <f ca="1">AVERAGE(OFFSET($CC$3,0,0,'Données projet'!$E$12+1,1))-AVERAGE(OFFSET($H$3,0,0,'Données projet'!$E$12+1,1))</f>
        <v>407.73540492005355</v>
      </c>
      <c r="CE203" s="59">
        <f t="shared" si="207"/>
        <v>296.29416764204774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46.60844969420846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46.60844969420846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266.99999999999983</v>
      </c>
      <c r="CU203" s="17">
        <f>CT203*VLOOKUP('Données projet'!$B$13,Paramètres!$A$1:$I$89,3,0)*VLOOKUP('Données projet'!$B$13,Paramètres!$A$1:$I$89,5,0)</f>
        <v>212.42519999999985</v>
      </c>
      <c r="CV203" s="13">
        <f t="shared" si="173"/>
        <v>52.465198231787184</v>
      </c>
      <c r="CW203" s="20">
        <f t="shared" si="174"/>
        <v>461.35077692036231</v>
      </c>
      <c r="CX203" s="59">
        <f t="shared" si="196"/>
        <v>754.68411025369562</v>
      </c>
      <c r="CY203" s="59">
        <f ca="1">AVERAGE(OFFSET($CX$3,0,0,'Données projet'!$E$13+1,1))-AVERAGE(OFFSET($H$3,0,0,'Données projet'!$E$13+1,1))</f>
        <v>299.10536994156814</v>
      </c>
      <c r="CZ203" s="59">
        <f t="shared" si="208"/>
        <v>292.57799203101769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2.6739837625337382</v>
      </c>
      <c r="DG203" s="21">
        <f>EXP(-LN(2)/25)*DG202+(1-EXP(-LN(2)/25))/(LN(2)/25)*Calculateur!DB203*Calculateur!DD203*VLOOKUP('Données projet'!$B$13,Paramètres!$A$1:$I$89,3,0)*0.475*44/12</f>
        <v>0.29898177967823447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2.9729655422119725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266.99999999999983</v>
      </c>
      <c r="DP203" s="17">
        <f>DO203*VLOOKUP('Données projet'!$B$14,Paramètres!$A$1:$I$89,3,0)*VLOOKUP('Données projet'!$B$14,Paramètres!$A$1:$I$89,5,0)</f>
        <v>212.42519999999985</v>
      </c>
      <c r="DQ203" s="13">
        <f t="shared" si="176"/>
        <v>52.465198231787184</v>
      </c>
      <c r="DR203" s="20">
        <f t="shared" si="177"/>
        <v>461.35077692036231</v>
      </c>
      <c r="DS203" s="59">
        <f t="shared" si="197"/>
        <v>754.68411025369562</v>
      </c>
      <c r="DT203" s="59">
        <f ca="1">AVERAGE(OFFSET($DS$3,0,0,'Données projet'!$E$14+1,1))-AVERAGE(OFFSET($H$3,0,0,'Données projet'!$E$14+1,1))</f>
        <v>299.10536994156814</v>
      </c>
      <c r="DU203" s="59">
        <f t="shared" si="209"/>
        <v>292.57799203101769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2.6739837625337382</v>
      </c>
      <c r="EB203" s="21">
        <f>EXP(-LN(2)/25)*EB202+(1-EXP(-LN(2)/25))/(LN(2)/25)*Calculateur!DW203*Calculateur!DY203*VLOOKUP('Données projet'!$B$14,Paramètres!$A$1:$I$89,3,0)*0.475*44/12</f>
        <v>0.29898177967823447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2.9729655422119725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204.00000000000017</v>
      </c>
      <c r="EK203" s="17">
        <f>EJ203*VLOOKUP('Données projet'!$B$15,Paramètres!$A$1:$I$89,3,0)*VLOOKUP('Données projet'!$B$15,Paramètres!$A$1:$I$89,5,0)</f>
        <v>133.66080000000011</v>
      </c>
      <c r="EL203" s="13">
        <f t="shared" si="179"/>
        <v>34.840890682716783</v>
      </c>
      <c r="EM203" s="20">
        <f t="shared" si="180"/>
        <v>293.4737779390652</v>
      </c>
      <c r="EN203" s="59">
        <f t="shared" si="198"/>
        <v>586.80711127239852</v>
      </c>
      <c r="EO203" s="59">
        <f ca="1">AVERAGE(OFFSET($EN$3,0,0,'Données projet'!$E$15+1,1))-AVERAGE(OFFSET($H$3,0,0,'Données projet'!$E$15+1,1))</f>
        <v>230.58262378842818</v>
      </c>
      <c r="EP203" s="59">
        <f t="shared" si="210"/>
        <v>235.68746142880792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0.21619699059421496</v>
      </c>
      <c r="EW203" s="21">
        <f>EXP(-LN(2)/25)*EW202+(1-EXP(-LN(2)/25))/(LN(2)/25)*Calculateur!ER203*Calculateur!ET203*VLOOKUP('Données projet'!$B$15,Paramètres!$A$1:$I$89,3,0)*0.475*44/12</f>
        <v>0.51099384503052037</v>
      </c>
      <c r="EX203" s="21">
        <f>EXP(-LN(2)/2)*EX202+(1-EXP(-LN(2)/2))/(LN(2)/2)*ER203*EU203*VLOOKUP('Données projet'!$B$15,Paramètres!$A$1:$I$89,3,0)*0.475*44/12</f>
        <v>8.2630532057894986E-17</v>
      </c>
      <c r="EY203" s="22">
        <f t="shared" si="181"/>
        <v>0.72719083562473541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234.00000000000003</v>
      </c>
      <c r="FF203" s="17">
        <f>FE203*VLOOKUP('Données projet'!$B$16,Paramètres!$A$1:$I$89,3,0)*VLOOKUP('Données projet'!$B$16,Paramètres!$A$1:$I$89,5,0)</f>
        <v>189.82080000000005</v>
      </c>
      <c r="FG203" s="13">
        <f t="shared" si="182"/>
        <v>47.500332100049796</v>
      </c>
      <c r="FH203" s="20">
        <f t="shared" si="183"/>
        <v>413.33430507425345</v>
      </c>
      <c r="FI203" s="59">
        <f t="shared" si="199"/>
        <v>706.66763840758676</v>
      </c>
      <c r="FJ203" s="59">
        <f ca="1">AVERAGE(OFFSET($FI$3,0,0,'Données projet'!$E$16+1,1))-AVERAGE(OFFSET($H$3,0,0,'Données projet'!$E$16+1,1))</f>
        <v>272.90535195666996</v>
      </c>
      <c r="FK203" s="59">
        <f t="shared" si="211"/>
        <v>222.25422164416898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0.52926512961940075</v>
      </c>
      <c r="FR203" s="21">
        <f>EXP(-LN(2)/25)*FR202+(1-EXP(-LN(2)/25))/(LN(2)/25)*Calculateur!FM203*Calculateur!FO203*VLOOKUP('Données projet'!$B$16,Paramètres!$A$1:$I$89,3,0)*0.475*44/12</f>
        <v>0.58337620598583728</v>
      </c>
      <c r="FS203" s="21">
        <f>EXP(-LN(2)/2)*FS202+(1-EXP(-LN(2)/2))/(LN(2)/2)*FM203*FP203*VLOOKUP('Données projet'!$B$16,Paramètres!$A$1:$I$89,3,0)*0.475*44/12</f>
        <v>3.7581445393052896E-17</v>
      </c>
      <c r="FT203" s="22">
        <f t="shared" si="184"/>
        <v>1.112641335605238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2.0243974584998852</v>
      </c>
      <c r="BA205" s="82">
        <f>EXP(LN('Données projet'!B88)/'Données projet'!A88)</f>
        <v>1.4003603312913959</v>
      </c>
      <c r="BV205" s="82">
        <f>EXP(LN('Données projet'!B114)/'Données projet'!A114)</f>
        <v>1.1736311550444201</v>
      </c>
      <c r="CQ205" s="82">
        <f>EXP(LN('Données projet'!B140)/'Données projet'!A140)</f>
        <v>1.2721747796233518</v>
      </c>
      <c r="DL205" s="82">
        <f>EXP(LN('Données projet'!B166)/'Données projet'!A166)</f>
        <v>1.2721747796233518</v>
      </c>
      <c r="EG205" s="82">
        <f>EXP(LN('Données projet'!B192)/'Données projet'!A192)</f>
        <v>1.2457309396155174</v>
      </c>
      <c r="FB205" s="82">
        <f>EXP(LN('Données projet'!B218)/'Données projet'!A218)</f>
        <v>1.282970348825361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F20" sqref="F20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2.3218000000000001</v>
      </c>
      <c r="C6" s="147">
        <f ca="1">IF(OR('Données projet'!B9="",'Données projet'!C9="",'Données projet'!C9=0%),0,Calculateur!S3)</f>
        <v>384.05928630855732</v>
      </c>
      <c r="D6" s="147">
        <f>IF(OR('Données projet'!B9="",'Données projet'!C9="",'Données projet'!C9=0%),0,Calculateur!T3)</f>
        <v>279.93992813630513</v>
      </c>
      <c r="E6" s="147">
        <f ca="1">MIN(C6,D6)</f>
        <v>279.93992813630513</v>
      </c>
      <c r="F6" s="147">
        <f ca="1">E6*B6</f>
        <v>649.96452514687326</v>
      </c>
      <c r="G6" s="147">
        <f ca="1">F6*(100%-'Données projet'!$C$24)*(100%-'Données projet'!$C$25)*(100%-'Données projet'!$C$26)*(100%-'Données projet'!$C$27)</f>
        <v>584.96807263218591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584.96807263218591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Robinier faux-acacia</v>
      </c>
      <c r="B7" s="154">
        <f>'Données projet'!D10</f>
        <v>0.7904000000000001</v>
      </c>
      <c r="C7" s="147">
        <f ca="1">IF(OR('Données projet'!B10="",'Données projet'!C10="",'Données projet'!C10=0%),0,Calculateur!AN3)</f>
        <v>366.69125512029831</v>
      </c>
      <c r="D7" s="147">
        <f>IF(OR('Données projet'!B10="",'Données projet'!C10="",'Données projet'!C10=0%),0,Calculateur!AO3)</f>
        <v>513.80016421153414</v>
      </c>
      <c r="E7" s="147">
        <f t="shared" ref="E7:E15" ca="1" si="0">MIN(C7,D7)</f>
        <v>366.69125512029831</v>
      </c>
      <c r="F7" s="147">
        <f t="shared" ref="F7:F15" ca="1" si="1">E7*B7</f>
        <v>289.83276804708385</v>
      </c>
      <c r="G7" s="147">
        <f ca="1">F7*(100%-'Données projet'!$C$24)*(100%-'Données projet'!$C$25)*(100%-'Données projet'!$C$26)*(100%-'Données projet'!$C$27)</f>
        <v>260.84949124237545</v>
      </c>
      <c r="H7" s="155">
        <f>IF(OR('Données projet'!B10="",'Données projet'!C10="",'Données projet'!C10=0%),0,AVERAGE(Calculateur!$AX$3:$AX$33)*B7)</f>
        <v>0.34088246296665242</v>
      </c>
      <c r="I7" s="149">
        <f>H7*(100%-'Données projet'!$C$24)*(100%-'Données projet'!$C$25)*(100%-'Données projet'!$C$26)*(100%-'Données projet'!$C$27)</f>
        <v>0.30679421666998719</v>
      </c>
      <c r="J7" s="150">
        <f>IF(OR('Données projet'!B10="",'Données projet'!C10="",'Données projet'!C10=0%),0,SUM(Calculateur!$AQ$3:$AQ$33)*VLOOKUP('Données projet'!$B$10,Paramètres!$A$1:$I$89,9,0)*B7)</f>
        <v>20.155200000000004</v>
      </c>
      <c r="K7" s="151">
        <f>J7*(100%-'Données projet'!$C$24)*(100%-'Données projet'!$C$25)*(100%-'Données projet'!$C$26)*(100%-'Données projet'!$C$27)</f>
        <v>18.139680000000006</v>
      </c>
      <c r="L7" s="152">
        <f t="shared" ref="L7:L15" ca="1" si="2">G7+I7+K7</f>
        <v>279.29596545904542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rouge d'Amérique</v>
      </c>
      <c r="B8" s="154">
        <f>'Données projet'!D11</f>
        <v>0.7904000000000001</v>
      </c>
      <c r="C8" s="147">
        <f ca="1">IF(OR('Données projet'!B11="",'Données projet'!C11="",'Données projet'!C11=0%),0,Calculateur!BI3)</f>
        <v>354.24684313982857</v>
      </c>
      <c r="D8" s="147">
        <f>IF(OR('Données projet'!B11="",'Données projet'!C11="",'Données projet'!C11=0%),0,Calculateur!BJ3)</f>
        <v>322.65043486962185</v>
      </c>
      <c r="E8" s="147">
        <f t="shared" ca="1" si="0"/>
        <v>322.65043486962185</v>
      </c>
      <c r="F8" s="147">
        <f t="shared" ca="1" si="1"/>
        <v>255.02290372094913</v>
      </c>
      <c r="G8" s="147">
        <f ca="1">F8*(100%-'Données projet'!$C$24)*(100%-'Données projet'!$C$25)*(100%-'Données projet'!$C$26)*(100%-'Données projet'!$C$27)</f>
        <v>229.52061334885423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229.52061334885423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Alisier torminal</v>
      </c>
      <c r="B9" s="154">
        <f>'Données projet'!D12</f>
        <v>0.1482</v>
      </c>
      <c r="C9" s="147">
        <f ca="1">IF(OR('Données projet'!B12="",'Données projet'!C12="",'Données projet'!C12=0%),0,Calculateur!CD3)</f>
        <v>407.73540492005355</v>
      </c>
      <c r="D9" s="147">
        <f>IF(OR('Données projet'!B12="",'Données projet'!C12="",'Données projet'!C12=0%),0,Calculateur!CE3)</f>
        <v>296.29416764204774</v>
      </c>
      <c r="E9" s="147">
        <f t="shared" ca="1" si="0"/>
        <v>296.29416764204774</v>
      </c>
      <c r="F9" s="147">
        <f t="shared" ca="1" si="1"/>
        <v>43.910795644551477</v>
      </c>
      <c r="G9" s="147">
        <f ca="1">F9*(100%-'Données projet'!$C$24)*(100%-'Données projet'!$C$25)*(100%-'Données projet'!$C$26)*(100%-'Données projet'!$C$27)</f>
        <v>39.51971608009633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39.51971608009633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Erable sycomore</v>
      </c>
      <c r="B10" s="154">
        <f>'Données projet'!D13</f>
        <v>0.19760000000000003</v>
      </c>
      <c r="C10" s="147">
        <f ca="1">IF(OR('Données projet'!B13="",'Données projet'!C13="",'Données projet'!C13=0%),0,Calculateur!CY3)</f>
        <v>299.10536994156814</v>
      </c>
      <c r="D10" s="147">
        <f>IF(OR('Données projet'!B13="",'Données projet'!C13="",'Données projet'!C13=0%),0,Calculateur!CZ3)</f>
        <v>292.57799203101769</v>
      </c>
      <c r="E10" s="147">
        <f t="shared" ca="1" si="0"/>
        <v>292.57799203101769</v>
      </c>
      <c r="F10" s="147">
        <f t="shared" ca="1" si="1"/>
        <v>57.813411225329105</v>
      </c>
      <c r="G10" s="147">
        <f ca="1">F10*(100%-'Données projet'!$C$24)*(100%-'Données projet'!$C$25)*(100%-'Données projet'!$C$26)*(100%-'Données projet'!$C$27)</f>
        <v>52.032070102796197</v>
      </c>
      <c r="H10" s="155">
        <f>IF(OR('Données projet'!B13="",'Données projet'!C13="",'Données projet'!C13=0%),0,AVERAGE(Calculateur!$DI$3:$DI$33)*B10)</f>
        <v>5.9869874991036805E-2</v>
      </c>
      <c r="I10" s="149">
        <f>H10*(100%-'Données projet'!$C$24)*(100%-'Données projet'!$C$25)*(100%-'Données projet'!$C$26)*(100%-'Données projet'!$C$27)</f>
        <v>5.3882887491933124E-2</v>
      </c>
      <c r="J10" s="150">
        <f>IF(OR('Données projet'!B13="",'Données projet'!C13="",'Données projet'!C13=0%),0,SUM(Calculateur!$DB$3:$DB$33)*VLOOKUP('Données projet'!$B$13,Paramètres!$A$1:$I$89,9,0)*B10)</f>
        <v>4.8906000000000009</v>
      </c>
      <c r="K10" s="151">
        <f>J10*(100%-'Données projet'!$C$24)*(100%-'Données projet'!$C$25)*(100%-'Données projet'!$C$26)*(100%-'Données projet'!$C$27)</f>
        <v>4.4015400000000007</v>
      </c>
      <c r="L10" s="152">
        <f t="shared" ca="1" si="2"/>
        <v>56.487492990288132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Erable plane</v>
      </c>
      <c r="B11" s="154">
        <f>'Données projet'!D14</f>
        <v>0.19760000000000003</v>
      </c>
      <c r="C11" s="147">
        <f ca="1">IF(OR('Données projet'!B14="",'Données projet'!C14="",'Données projet'!C14=0%),0,Calculateur!DT3)</f>
        <v>299.10536994156814</v>
      </c>
      <c r="D11" s="147">
        <f>IF(OR('Données projet'!B14="",'Données projet'!C14="",'Données projet'!C14=0%),0,Calculateur!DU3)</f>
        <v>292.57799203101769</v>
      </c>
      <c r="E11" s="147">
        <f t="shared" ca="1" si="0"/>
        <v>292.57799203101769</v>
      </c>
      <c r="F11" s="147">
        <f t="shared" ca="1" si="1"/>
        <v>57.813411225329105</v>
      </c>
      <c r="G11" s="147">
        <f ca="1">F11*(100%-'Données projet'!$C$24)*(100%-'Données projet'!$C$25)*(100%-'Données projet'!$C$26)*(100%-'Données projet'!$C$27)</f>
        <v>52.032070102796197</v>
      </c>
      <c r="H11" s="155">
        <f>IF(OR('Données projet'!B14="",'Données projet'!C14="",'Données projet'!C14=0%),0,AVERAGE(Calculateur!$ED$3:$ED$33)*B11)</f>
        <v>5.9869874991036805E-2</v>
      </c>
      <c r="I11" s="149">
        <f>H11*(100%-'Données projet'!$C$24)*(100%-'Données projet'!$C$25)*(100%-'Données projet'!$C$26)*(100%-'Données projet'!$C$27)</f>
        <v>5.3882887491933124E-2</v>
      </c>
      <c r="J11" s="150">
        <f>IF(OR('Données projet'!B14="",'Données projet'!C14="",'Données projet'!C14=0%),0,SUM(Calculateur!$DW$3:$DW$33)*VLOOKUP('Données projet'!$B$14,Paramètres!$A$1:$I$89,9,0)*B11)</f>
        <v>4.8906000000000009</v>
      </c>
      <c r="K11" s="151">
        <f>J11*(100%-'Données projet'!$C$24)*(100%-'Données projet'!$C$25)*(100%-'Données projet'!$C$26)*(100%-'Données projet'!$C$27)</f>
        <v>4.4015400000000007</v>
      </c>
      <c r="L11" s="152">
        <f t="shared" ca="1" si="2"/>
        <v>56.487492990288132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Aulne glutineux</v>
      </c>
      <c r="B12" s="154">
        <f>'Données projet'!D15</f>
        <v>0.34580000000000005</v>
      </c>
      <c r="C12" s="147">
        <f ca="1">IF(OR('Données projet'!B15="",'Données projet'!C15="",'Données projet'!C15=0%),0,Calculateur!EO3)</f>
        <v>230.58262378842818</v>
      </c>
      <c r="D12" s="147">
        <f>IF(OR('Données projet'!B15="",'Données projet'!C15="",'Données projet'!C15=0%),0,Calculateur!EP3)</f>
        <v>235.68746142880792</v>
      </c>
      <c r="E12" s="147">
        <f t="shared" ca="1" si="0"/>
        <v>230.58262378842818</v>
      </c>
      <c r="F12" s="147">
        <f t="shared" ca="1" si="1"/>
        <v>79.735471306038477</v>
      </c>
      <c r="G12" s="147">
        <f ca="1">F12*(100%-'Données projet'!$C$24)*(100%-'Données projet'!$C$25)*(100%-'Données projet'!$C$26)*(100%-'Données projet'!$C$27)</f>
        <v>71.761924175434629</v>
      </c>
      <c r="H12" s="155">
        <f>IF(OR('Données projet'!B15="",'Données projet'!C15="",'Données projet'!C15=0%),0,AVERAGE(Calculateur!$EY$3:$EY$33)*B12)</f>
        <v>0.333908389093651</v>
      </c>
      <c r="I12" s="149">
        <f>H12*(100%-'Données projet'!$C$24)*(100%-'Données projet'!$C$25)*(100%-'Données projet'!$C$26)*(100%-'Données projet'!$C$27)</f>
        <v>0.30051755018428589</v>
      </c>
      <c r="J12" s="150">
        <f>IF(OR('Données projet'!B15="",'Données projet'!C15="",'Données projet'!C15=0%),0,SUM(Calculateur!$ER$3:$ER$33)*VLOOKUP('Données projet'!$B$15,Paramètres!$A$1:$I$89,9,0)*B12)</f>
        <v>4.4089500000000008</v>
      </c>
      <c r="K12" s="151">
        <f>J12*(100%-'Données projet'!$C$24)*(100%-'Données projet'!$C$25)*(100%-'Données projet'!$C$26)*(100%-'Données projet'!$C$27)</f>
        <v>3.968055000000001</v>
      </c>
      <c r="L12" s="152">
        <f t="shared" ca="1" si="2"/>
        <v>76.030496725618917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Bouleau verruqueux</v>
      </c>
      <c r="B13" s="154">
        <f>'Données projet'!D16</f>
        <v>0.1482</v>
      </c>
      <c r="C13" s="147">
        <f ca="1">IF(OR('Données projet'!B16="",'Données projet'!C16="",'Données projet'!C16=0%),0,Calculateur!FJ3)</f>
        <v>272.90535195666996</v>
      </c>
      <c r="D13" s="147">
        <f>IF(OR('Données projet'!B16="",'Données projet'!C16="",'Données projet'!C16=0%),0,Calculateur!FK3)</f>
        <v>222.25422164416898</v>
      </c>
      <c r="E13" s="147">
        <f t="shared" ca="1" si="0"/>
        <v>222.25422164416898</v>
      </c>
      <c r="F13" s="147">
        <f t="shared" ca="1" si="1"/>
        <v>32.938075647665841</v>
      </c>
      <c r="G13" s="147">
        <f ca="1">F13*(100%-'Données projet'!$C$24)*(100%-'Données projet'!$C$25)*(100%-'Données projet'!$C$26)*(100%-'Données projet'!$C$27)</f>
        <v>29.644268082899256</v>
      </c>
      <c r="H13" s="155">
        <f>IF(OR('Données projet'!B16="",'Données projet'!C16="",'Données projet'!C16=0%),0,AVERAGE(Calculateur!$FT$3:$FT$33)*B13)</f>
        <v>0.11215442276444372</v>
      </c>
      <c r="I13" s="149">
        <f>H13*(100%-'Données projet'!$C$24)*(100%-'Données projet'!$C$25)*(100%-'Données projet'!$C$26)*(100%-'Données projet'!$C$27)</f>
        <v>0.10093898048799935</v>
      </c>
      <c r="J13" s="150">
        <f>IF(OR('Données projet'!C16="",'Données projet'!C16=0%),0,SUM(Calculateur!$FM$3:$FM$33)*VLOOKUP('Données projet'!$B$16,Paramètres!$A$1:$I$89,9,0)*B13)</f>
        <v>1.3338000000000001</v>
      </c>
      <c r="K13" s="151">
        <f>J13*(100%-'Données projet'!$C$24)*(100%-'Données projet'!$C$25)*(100%-'Données projet'!$C$26)*(100%-'Données projet'!$C$27)</f>
        <v>1.20042</v>
      </c>
      <c r="L13" s="152">
        <f t="shared" ca="1" si="2"/>
        <v>30.945627063387256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1467.0313619638205</v>
      </c>
      <c r="G16" s="166">
        <f t="shared" ca="1" si="3"/>
        <v>1320.3282257674384</v>
      </c>
      <c r="H16" s="167">
        <f t="shared" si="3"/>
        <v>0.90668502480682078</v>
      </c>
      <c r="I16" s="167">
        <f t="shared" si="3"/>
        <v>0.81601652232613875</v>
      </c>
      <c r="J16" s="168">
        <f t="shared" si="3"/>
        <v>35.679150000000007</v>
      </c>
      <c r="K16" s="168">
        <f t="shared" si="3"/>
        <v>32.111235000000008</v>
      </c>
      <c r="L16" s="169">
        <f t="shared" ca="1" si="3"/>
        <v>1353.255477289764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Erable plane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Aulne glutineux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Bouleau verruqueux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3" zoomScale="80" zoomScaleNormal="80" workbookViewId="0">
      <selection activeCell="E18" sqref="E1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-3437.1411764289405</v>
      </c>
      <c r="U10" s="178">
        <f>'Données projet'!D9</f>
        <v>2.3218000000000001</v>
      </c>
      <c r="V10" s="177">
        <f>U10*T10</f>
        <v>-7980.3543834327147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-1036.8015415029156</v>
      </c>
      <c r="U11" s="178">
        <f>'Données projet'!D10</f>
        <v>0.7904000000000001</v>
      </c>
      <c r="V11" s="177">
        <f t="shared" ref="V11" si="0">U11*T11</f>
        <v>-819.48793840390465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1353.5349562368717</v>
      </c>
      <c r="U12" s="178">
        <f>'Données projet'!D11</f>
        <v>0.7904000000000001</v>
      </c>
      <c r="V12" s="177">
        <f t="shared" ref="V12:V19" si="1">U12*T12</f>
        <v>1069.8340294096236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260.85882357106021</v>
      </c>
      <c r="U13" s="178">
        <f>'Données projet'!D12</f>
        <v>0.1482</v>
      </c>
      <c r="V13" s="177">
        <f t="shared" si="1"/>
        <v>38.659277653231122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308.63718917749628</v>
      </c>
      <c r="U14" s="178">
        <f>'Données projet'!D13</f>
        <v>0.19760000000000003</v>
      </c>
      <c r="V14" s="177">
        <f t="shared" si="1"/>
        <v>60.986708581473273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plane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169.6371891774962</v>
      </c>
      <c r="U15" s="178">
        <f>'Données projet'!D14</f>
        <v>0.19760000000000003</v>
      </c>
      <c r="V15" s="177">
        <f t="shared" si="1"/>
        <v>33.520308581473252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0</v>
      </c>
      <c r="O16" s="23"/>
      <c r="P16" s="23"/>
      <c r="Q16" s="234"/>
      <c r="R16" s="23"/>
      <c r="S16" s="36" t="str">
        <f>B200</f>
        <v>Aulne glutineux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110.81766639197207</v>
      </c>
      <c r="U16" s="178">
        <f>'Données projet'!D15</f>
        <v>0.34580000000000005</v>
      </c>
      <c r="V16" s="177">
        <f t="shared" si="1"/>
        <v>38.320749038343948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>
        <f>(660+3071)/8+4616</f>
        <v>5082.375</v>
      </c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Bouleau verruqueux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-598.59719416759879</v>
      </c>
      <c r="U17" s="178">
        <f>'Données projet'!D16</f>
        <v>0.1482</v>
      </c>
      <c r="V17" s="177">
        <f t="shared" si="1"/>
        <v>-88.712104175638146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7172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-41551.233352748124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4978.617812679111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50</v>
      </c>
      <c r="Q25" s="234"/>
      <c r="R25" s="23"/>
      <c r="S25" s="186" t="s">
        <v>319</v>
      </c>
      <c r="T25" s="303">
        <f ca="1">T23-T24</f>
        <v>-46529.851165427237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1007.8173709876742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47.846889952153113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45.786497561869012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43.814830202745469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41.928067179660744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40.122552325034206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38.394786913908341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36.741422884122812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35.159256348442895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33.645221386069757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32.196384101502161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30.809936939236522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29.483193243288543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28.213582050993818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26.998643110998877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>
        <f>(660+3071)/8+1071</f>
        <v>1537.375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25.836022115788396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24.723466139510439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23.658819272258793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22.640018442352915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21.665089418519536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20.732142984229228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5</v>
      </c>
      <c r="B54" s="181">
        <f>'Données projet'!D62</f>
        <v>6</v>
      </c>
      <c r="C54" s="191">
        <v>10</v>
      </c>
      <c r="D54" s="179">
        <f>B54*C54</f>
        <v>60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19.839371276774379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10</v>
      </c>
      <c r="B55" s="181">
        <f>'Données projet'!D63</f>
        <v>29</v>
      </c>
      <c r="C55" s="191">
        <v>10</v>
      </c>
      <c r="D55" s="179">
        <f t="shared" ref="D55:D73" si="4">B55*C55</f>
        <v>290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18.985044283994625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15</v>
      </c>
      <c r="B56" s="181">
        <f>'Données projet'!D64</f>
        <v>23</v>
      </c>
      <c r="C56" s="191">
        <v>15</v>
      </c>
      <c r="D56" s="179">
        <f t="shared" si="4"/>
        <v>345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18.167506491860888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20</v>
      </c>
      <c r="B57" s="181">
        <f>'Données projet'!D65</f>
        <v>19</v>
      </c>
      <c r="C57" s="191">
        <v>15</v>
      </c>
      <c r="D57" s="179">
        <f t="shared" si="4"/>
        <v>285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17.385173676421903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25</v>
      </c>
      <c r="B58" s="181">
        <f>'Données projet'!D66</f>
        <v>14</v>
      </c>
      <c r="C58" s="191">
        <v>50</v>
      </c>
      <c r="D58" s="179">
        <f t="shared" si="4"/>
        <v>700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16.63652983389656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30</v>
      </c>
      <c r="B59" s="181">
        <f>'Données projet'!D67</f>
        <v>11</v>
      </c>
      <c r="C59" s="191">
        <v>50</v>
      </c>
      <c r="D59" s="179">
        <f t="shared" si="4"/>
        <v>550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15.920124242963219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35</v>
      </c>
      <c r="B60" s="181">
        <f>'Données projet'!D68</f>
        <v>9</v>
      </c>
      <c r="C60" s="191">
        <v>50</v>
      </c>
      <c r="D60" s="179">
        <f t="shared" si="4"/>
        <v>450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15.234568653553319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40</v>
      </c>
      <c r="B61" s="181">
        <f>'Données projet'!D69</f>
        <v>7</v>
      </c>
      <c r="C61" s="191">
        <v>50</v>
      </c>
      <c r="D61" s="179">
        <f t="shared" si="4"/>
        <v>350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14.578534596701745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45</v>
      </c>
      <c r="B62" s="181">
        <f>'Données projet'!D70</f>
        <v>7</v>
      </c>
      <c r="C62" s="191">
        <v>50</v>
      </c>
      <c r="D62" s="179">
        <f t="shared" si="4"/>
        <v>350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13.950750810240901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13.35000077535015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12.775120359186744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12.224995559030384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11.698560343569747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11.194794587148085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10.712722092964674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10.251408701401605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9.8099604798101474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9.3875219902489473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8.9832746318171743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8.5964350543705041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8.2262536405459379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7.8720130531540082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7.5330268451234534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7.2086381293047408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6.8982183055547752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>
        <f>(660+3071)/8+942</f>
        <v>1408.375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0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 t="str">
        <f>'Données projet'!D90</f>
        <v>54</v>
      </c>
      <c r="C87" s="191">
        <v>10</v>
      </c>
      <c r="D87" s="179">
        <f t="shared" si="6"/>
        <v>540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 t="str">
        <f>'Données projet'!D91</f>
        <v>26</v>
      </c>
      <c r="C88" s="191">
        <v>10</v>
      </c>
      <c r="D88" s="179">
        <f t="shared" si="6"/>
        <v>260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 t="str">
        <f>'Données projet'!D92</f>
        <v>27</v>
      </c>
      <c r="C89" s="191">
        <v>50</v>
      </c>
      <c r="D89" s="179">
        <f t="shared" si="6"/>
        <v>1350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 t="str">
        <f>'Données projet'!D93</f>
        <v>27</v>
      </c>
      <c r="C90" s="191">
        <v>50</v>
      </c>
      <c r="D90" s="179">
        <f t="shared" si="6"/>
        <v>1350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 t="str">
        <f>'Données projet'!D94</f>
        <v>27</v>
      </c>
      <c r="C91" s="191">
        <v>50</v>
      </c>
      <c r="D91" s="179">
        <f t="shared" si="6"/>
        <v>1350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 t="str">
        <f>'Données projet'!D95</f>
        <v>26</v>
      </c>
      <c r="C92" s="191">
        <v>100</v>
      </c>
      <c r="D92" s="179">
        <f t="shared" si="6"/>
        <v>2600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 t="str">
        <f>'Données projet'!D96</f>
        <v>24</v>
      </c>
      <c r="C93" s="191">
        <v>100</v>
      </c>
      <c r="D93" s="179">
        <f t="shared" si="6"/>
        <v>2400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 t="str">
        <f>'Données projet'!D97</f>
        <v>23</v>
      </c>
      <c r="C94" s="191">
        <v>150</v>
      </c>
      <c r="D94" s="179">
        <f t="shared" si="6"/>
        <v>3450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 t="str">
        <f>'Données projet'!D98</f>
        <v>21</v>
      </c>
      <c r="C95" s="191">
        <v>150</v>
      </c>
      <c r="D95" s="179">
        <f t="shared" si="6"/>
        <v>3150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 t="str">
        <f>'Données projet'!D99</f>
        <v>20</v>
      </c>
      <c r="C96" s="191">
        <v>150</v>
      </c>
      <c r="D96" s="179">
        <f t="shared" si="6"/>
        <v>3000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 t="str">
        <f>'Données projet'!D100</f>
        <v>18</v>
      </c>
      <c r="C97" s="191">
        <v>200</v>
      </c>
      <c r="D97" s="179">
        <f t="shared" si="6"/>
        <v>3600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 t="str">
        <f>'Données projet'!D101</f>
        <v>16</v>
      </c>
      <c r="C98" s="191">
        <v>200</v>
      </c>
      <c r="D98" s="179">
        <f t="shared" si="6"/>
        <v>3200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 t="str">
        <f>'Données projet'!D102</f>
        <v>15</v>
      </c>
      <c r="C99" s="191">
        <v>200</v>
      </c>
      <c r="D99" s="179">
        <f t="shared" si="6"/>
        <v>3000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 t="str">
        <f>'Données projet'!D103</f>
        <v>14</v>
      </c>
      <c r="C100" s="191">
        <v>200</v>
      </c>
      <c r="D100" s="179">
        <f t="shared" si="6"/>
        <v>2800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 t="str">
        <f>'Données projet'!D104</f>
        <v>12</v>
      </c>
      <c r="C101" s="191">
        <v>200</v>
      </c>
      <c r="D101" s="179">
        <f t="shared" si="6"/>
        <v>2400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95</v>
      </c>
      <c r="B102" s="181" t="str">
        <f>'Données projet'!D105</f>
        <v>12</v>
      </c>
      <c r="C102" s="191">
        <v>200</v>
      </c>
      <c r="D102" s="179">
        <f t="shared" si="6"/>
        <v>2400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100</v>
      </c>
      <c r="B103" s="181" t="str">
        <f>'Données projet'!D106</f>
        <v>12</v>
      </c>
      <c r="C103" s="191">
        <v>200</v>
      </c>
      <c r="D103" s="179">
        <f t="shared" si="6"/>
        <v>2400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>
        <f>(660+3071)/8+918</f>
        <v>1384.375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35</v>
      </c>
      <c r="B117" s="181">
        <f>'Données projet'!D115</f>
        <v>60.602564102564102</v>
      </c>
      <c r="C117" s="191">
        <v>10</v>
      </c>
      <c r="D117" s="179">
        <f t="shared" ref="D117:D135" si="8">B117*C117</f>
        <v>606.02564102564099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41</v>
      </c>
      <c r="B118" s="181">
        <f>'Données projet'!D116</f>
        <v>38.512820512820511</v>
      </c>
      <c r="C118" s="191">
        <v>10</v>
      </c>
      <c r="D118" s="179">
        <f t="shared" si="8"/>
        <v>385.12820512820508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48</v>
      </c>
      <c r="B119" s="181">
        <f>'Données projet'!D117</f>
        <v>48.025641025641022</v>
      </c>
      <c r="C119" s="191">
        <v>50</v>
      </c>
      <c r="D119" s="179">
        <f t="shared" si="8"/>
        <v>2401.2820512820513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55</v>
      </c>
      <c r="B120" s="181">
        <f>'Données projet'!D118</f>
        <v>45.147435897435898</v>
      </c>
      <c r="C120" s="191">
        <v>50</v>
      </c>
      <c r="D120" s="179">
        <f t="shared" si="8"/>
        <v>2257.3717948717949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63</v>
      </c>
      <c r="B121" s="181">
        <f>'Données projet'!D119</f>
        <v>41.724358974358978</v>
      </c>
      <c r="C121" s="191">
        <v>50</v>
      </c>
      <c r="D121" s="179">
        <f t="shared" si="8"/>
        <v>2086.2179487179487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71</v>
      </c>
      <c r="B122" s="181">
        <f>'Données projet'!D120</f>
        <v>39.935897435897431</v>
      </c>
      <c r="C122" s="191">
        <v>100</v>
      </c>
      <c r="D122" s="179">
        <f t="shared" si="8"/>
        <v>3993.5897435897432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80</v>
      </c>
      <c r="B123" s="181">
        <f>'Données projet'!D121</f>
        <v>45.608974358974358</v>
      </c>
      <c r="C123" s="191">
        <v>100</v>
      </c>
      <c r="D123" s="179">
        <f t="shared" si="8"/>
        <v>4560.8974358974356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89</v>
      </c>
      <c r="B124" s="181">
        <f>'Données projet'!D122</f>
        <v>49.391025641025635</v>
      </c>
      <c r="C124" s="191">
        <v>150</v>
      </c>
      <c r="D124" s="179">
        <f t="shared" si="8"/>
        <v>7408.6538461538457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99</v>
      </c>
      <c r="B125" s="181">
        <f>'Données projet'!D123</f>
        <v>48.019230769230766</v>
      </c>
      <c r="C125" s="191">
        <v>150</v>
      </c>
      <c r="D125" s="179">
        <f t="shared" si="8"/>
        <v>7202.8846153846152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109</v>
      </c>
      <c r="B126" s="181">
        <f>'Données projet'!D124</f>
        <v>51.28846153846154</v>
      </c>
      <c r="C126" s="191">
        <v>150</v>
      </c>
      <c r="D126" s="179">
        <f t="shared" si="8"/>
        <v>7693.2692307692314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119</v>
      </c>
      <c r="B127" s="181">
        <f>'Données projet'!D125</f>
        <v>150.02564102564102</v>
      </c>
      <c r="C127" s="191">
        <v>200</v>
      </c>
      <c r="D127" s="179">
        <f t="shared" si="8"/>
        <v>30005.128205128203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123</v>
      </c>
      <c r="B128" s="181">
        <f>'Données projet'!D126</f>
        <v>77.17307692307692</v>
      </c>
      <c r="C128" s="191">
        <v>200</v>
      </c>
      <c r="D128" s="179">
        <f t="shared" si="8"/>
        <v>15434.615384615385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127</v>
      </c>
      <c r="B129" s="181">
        <f>'Données projet'!D127</f>
        <v>49.916666666666671</v>
      </c>
      <c r="C129" s="191">
        <v>200</v>
      </c>
      <c r="D129" s="179">
        <f t="shared" si="8"/>
        <v>9983.3333333333339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131</v>
      </c>
      <c r="B130" s="181">
        <f>'Données projet'!D128</f>
        <v>110.91025641025641</v>
      </c>
      <c r="C130" s="191">
        <v>200</v>
      </c>
      <c r="D130" s="179">
        <f t="shared" si="8"/>
        <v>22182.051282051281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>
        <f>(660+3071)/8+266</f>
        <v>732.375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15</v>
      </c>
      <c r="C147" s="191">
        <v>10</v>
      </c>
      <c r="D147" s="182">
        <f>B147*C147</f>
        <v>150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28</v>
      </c>
      <c r="C148" s="191">
        <v>10</v>
      </c>
      <c r="D148" s="182">
        <f t="shared" ref="D148:D166" si="10">B148*C148</f>
        <v>280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28</v>
      </c>
      <c r="C149" s="191">
        <v>15</v>
      </c>
      <c r="D149" s="182">
        <f t="shared" si="10"/>
        <v>420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28</v>
      </c>
      <c r="C150" s="191">
        <v>15</v>
      </c>
      <c r="D150" s="182">
        <f t="shared" si="10"/>
        <v>420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35</v>
      </c>
      <c r="B151" s="175">
        <f>'Données projet'!D144</f>
        <v>28</v>
      </c>
      <c r="C151" s="191">
        <v>50</v>
      </c>
      <c r="D151" s="182">
        <f t="shared" si="10"/>
        <v>1400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40</v>
      </c>
      <c r="B152" s="175">
        <f>'Données projet'!D145</f>
        <v>28</v>
      </c>
      <c r="C152" s="191">
        <v>50</v>
      </c>
      <c r="D152" s="182">
        <f t="shared" si="10"/>
        <v>1400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45</v>
      </c>
      <c r="B153" s="175">
        <f>'Données projet'!D146</f>
        <v>22</v>
      </c>
      <c r="C153" s="191">
        <v>50</v>
      </c>
      <c r="D153" s="182">
        <f t="shared" si="10"/>
        <v>1100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50</v>
      </c>
      <c r="B154" s="175">
        <f>'Données projet'!D147</f>
        <v>17</v>
      </c>
      <c r="C154" s="191">
        <v>50</v>
      </c>
      <c r="D154" s="182">
        <f t="shared" si="10"/>
        <v>850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55</v>
      </c>
      <c r="B155" s="175">
        <f>'Données projet'!D148</f>
        <v>13</v>
      </c>
      <c r="C155" s="191">
        <v>50</v>
      </c>
      <c r="D155" s="182">
        <f t="shared" si="10"/>
        <v>650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60</v>
      </c>
      <c r="B156" s="175">
        <f>'Données projet'!D149</f>
        <v>12</v>
      </c>
      <c r="C156" s="191">
        <v>50</v>
      </c>
      <c r="D156" s="182">
        <f t="shared" si="10"/>
        <v>600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65</v>
      </c>
      <c r="B157" s="175">
        <f>'Données projet'!D150</f>
        <v>11</v>
      </c>
      <c r="C157" s="191">
        <v>50</v>
      </c>
      <c r="D157" s="182">
        <f t="shared" si="10"/>
        <v>550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70</v>
      </c>
      <c r="B158" s="175">
        <f>'Données projet'!D151</f>
        <v>10</v>
      </c>
      <c r="C158" s="191">
        <v>50</v>
      </c>
      <c r="D158" s="182">
        <f t="shared" si="10"/>
        <v>500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75</v>
      </c>
      <c r="B159" s="175">
        <f>'Données projet'!D152</f>
        <v>9</v>
      </c>
      <c r="C159" s="191">
        <v>50</v>
      </c>
      <c r="D159" s="182">
        <f t="shared" si="10"/>
        <v>450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80</v>
      </c>
      <c r="B160" s="175">
        <f>'Données projet'!D153</f>
        <v>8</v>
      </c>
      <c r="C160" s="191">
        <v>50</v>
      </c>
      <c r="D160" s="182">
        <f t="shared" si="10"/>
        <v>400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>Erable plane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>
        <f>(660+3071)/8+405</f>
        <v>871.375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15</v>
      </c>
      <c r="B178" s="181">
        <f>'Données projet'!D166</f>
        <v>15</v>
      </c>
      <c r="C178" s="193">
        <v>10</v>
      </c>
      <c r="D178" s="179">
        <f>B178*C178</f>
        <v>150</v>
      </c>
      <c r="E178" s="193">
        <v>150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20</v>
      </c>
      <c r="B179" s="181">
        <f>'Données projet'!D167</f>
        <v>28</v>
      </c>
      <c r="C179" s="193">
        <v>10</v>
      </c>
      <c r="D179" s="179">
        <f t="shared" ref="D179:D197" si="11">B179*C179</f>
        <v>280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25</v>
      </c>
      <c r="B180" s="181">
        <f>'Données projet'!D168</f>
        <v>28</v>
      </c>
      <c r="C180" s="193">
        <v>15</v>
      </c>
      <c r="D180" s="179">
        <f t="shared" si="11"/>
        <v>420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30</v>
      </c>
      <c r="B181" s="181">
        <f>'Données projet'!D169</f>
        <v>28</v>
      </c>
      <c r="C181" s="193">
        <v>15</v>
      </c>
      <c r="D181" s="179">
        <f t="shared" si="11"/>
        <v>420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35</v>
      </c>
      <c r="B182" s="181">
        <f>'Données projet'!D170</f>
        <v>28</v>
      </c>
      <c r="C182" s="193">
        <v>50</v>
      </c>
      <c r="D182" s="179">
        <f t="shared" si="11"/>
        <v>1400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40</v>
      </c>
      <c r="B183" s="181">
        <f>'Données projet'!D171</f>
        <v>28</v>
      </c>
      <c r="C183" s="193">
        <v>50</v>
      </c>
      <c r="D183" s="179">
        <f t="shared" si="11"/>
        <v>1400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45</v>
      </c>
      <c r="B184" s="181">
        <f>'Données projet'!D172</f>
        <v>22</v>
      </c>
      <c r="C184" s="193">
        <v>50</v>
      </c>
      <c r="D184" s="179">
        <f t="shared" si="11"/>
        <v>1100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50</v>
      </c>
      <c r="B185" s="181">
        <f>'Données projet'!D173</f>
        <v>17</v>
      </c>
      <c r="C185" s="193">
        <v>50</v>
      </c>
      <c r="D185" s="179">
        <f t="shared" si="11"/>
        <v>850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55</v>
      </c>
      <c r="B186" s="181">
        <f>'Données projet'!D174</f>
        <v>13</v>
      </c>
      <c r="C186" s="193">
        <v>50</v>
      </c>
      <c r="D186" s="179">
        <f t="shared" si="11"/>
        <v>650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60</v>
      </c>
      <c r="B187" s="181">
        <f>'Données projet'!D175</f>
        <v>12</v>
      </c>
      <c r="C187" s="193">
        <v>50</v>
      </c>
      <c r="D187" s="179">
        <f t="shared" si="11"/>
        <v>600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65</v>
      </c>
      <c r="B188" s="181">
        <f>'Données projet'!D176</f>
        <v>11</v>
      </c>
      <c r="C188" s="193">
        <v>50</v>
      </c>
      <c r="D188" s="179">
        <f t="shared" si="11"/>
        <v>550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70</v>
      </c>
      <c r="B189" s="181">
        <f>'Données projet'!D177</f>
        <v>10</v>
      </c>
      <c r="C189" s="193">
        <v>50</v>
      </c>
      <c r="D189" s="179">
        <f t="shared" si="11"/>
        <v>500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75</v>
      </c>
      <c r="B190" s="181">
        <f>'Données projet'!D178</f>
        <v>9</v>
      </c>
      <c r="C190" s="193">
        <v>50</v>
      </c>
      <c r="D190" s="179">
        <f t="shared" si="11"/>
        <v>450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80</v>
      </c>
      <c r="B191" s="181">
        <f>'Données projet'!D179</f>
        <v>8</v>
      </c>
      <c r="C191" s="193">
        <v>50</v>
      </c>
      <c r="D191" s="179">
        <f t="shared" si="11"/>
        <v>400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>Aulne glutineux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>
        <f>(660+3071)/8+390</f>
        <v>856.375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10</v>
      </c>
      <c r="B209" s="181">
        <f>'Données projet'!D192</f>
        <v>1</v>
      </c>
      <c r="C209" s="193">
        <v>10</v>
      </c>
      <c r="D209" s="179">
        <f>B209*C209</f>
        <v>10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15</v>
      </c>
      <c r="B210" s="181">
        <f>'Données projet'!D193</f>
        <v>3</v>
      </c>
      <c r="C210" s="193">
        <v>10</v>
      </c>
      <c r="D210" s="179">
        <f t="shared" ref="D210:D228" si="12">B210*C210</f>
        <v>30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20</v>
      </c>
      <c r="B211" s="181">
        <f>'Données projet'!D194</f>
        <v>9</v>
      </c>
      <c r="C211" s="193">
        <v>15</v>
      </c>
      <c r="D211" s="179">
        <f t="shared" si="12"/>
        <v>135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25</v>
      </c>
      <c r="B212" s="181">
        <f>'Données projet'!D195</f>
        <v>18</v>
      </c>
      <c r="C212" s="193">
        <v>15</v>
      </c>
      <c r="D212" s="179">
        <f t="shared" si="12"/>
        <v>270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30</v>
      </c>
      <c r="B213" s="181">
        <f>'Données projet'!D196</f>
        <v>20</v>
      </c>
      <c r="C213" s="193">
        <v>50</v>
      </c>
      <c r="D213" s="179">
        <f t="shared" si="12"/>
        <v>1000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35</v>
      </c>
      <c r="B214" s="181">
        <f>'Données projet'!D197</f>
        <v>21</v>
      </c>
      <c r="C214" s="193">
        <v>50</v>
      </c>
      <c r="D214" s="179">
        <f t="shared" si="12"/>
        <v>1050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40</v>
      </c>
      <c r="B215" s="181">
        <f>'Données projet'!D198</f>
        <v>22</v>
      </c>
      <c r="C215" s="193">
        <v>50</v>
      </c>
      <c r="D215" s="179">
        <f t="shared" si="12"/>
        <v>1100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45</v>
      </c>
      <c r="B216" s="181">
        <f>'Données projet'!D199</f>
        <v>22</v>
      </c>
      <c r="C216" s="193">
        <v>50</v>
      </c>
      <c r="D216" s="179">
        <f t="shared" si="12"/>
        <v>1100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50</v>
      </c>
      <c r="B217" s="181">
        <f>'Données projet'!D200</f>
        <v>21</v>
      </c>
      <c r="C217" s="193">
        <v>50</v>
      </c>
      <c r="D217" s="179">
        <f t="shared" si="12"/>
        <v>1050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55</v>
      </c>
      <c r="B218" s="181">
        <f>'Données projet'!D201</f>
        <v>20</v>
      </c>
      <c r="C218" s="193">
        <v>50</v>
      </c>
      <c r="D218" s="179">
        <f t="shared" si="12"/>
        <v>1000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60</v>
      </c>
      <c r="B219" s="181">
        <f>'Données projet'!D202</f>
        <v>19</v>
      </c>
      <c r="C219" s="193">
        <v>50</v>
      </c>
      <c r="D219" s="179">
        <f t="shared" si="12"/>
        <v>950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65</v>
      </c>
      <c r="B220" s="181">
        <f>'Données projet'!D203</f>
        <v>18</v>
      </c>
      <c r="C220" s="193">
        <v>50</v>
      </c>
      <c r="D220" s="179">
        <f t="shared" si="12"/>
        <v>900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70</v>
      </c>
      <c r="B221" s="181">
        <f>'Données projet'!D204</f>
        <v>17</v>
      </c>
      <c r="C221" s="193">
        <v>50</v>
      </c>
      <c r="D221" s="179">
        <f t="shared" si="12"/>
        <v>850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75</v>
      </c>
      <c r="B222" s="181">
        <f>'Données projet'!D205</f>
        <v>16</v>
      </c>
      <c r="C222" s="193">
        <v>50</v>
      </c>
      <c r="D222" s="179">
        <f t="shared" si="12"/>
        <v>800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80</v>
      </c>
      <c r="B223" s="181">
        <f>'Données projet'!D206</f>
        <v>15</v>
      </c>
      <c r="C223" s="193">
        <v>50</v>
      </c>
      <c r="D223" s="179">
        <f t="shared" si="12"/>
        <v>750</v>
      </c>
      <c r="E223" s="193">
        <v>150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85</v>
      </c>
      <c r="B224" s="181">
        <f>'Données projet'!D207</f>
        <v>14</v>
      </c>
      <c r="C224" s="193">
        <v>50</v>
      </c>
      <c r="D224" s="179">
        <f t="shared" si="12"/>
        <v>700</v>
      </c>
      <c r="E224" s="193">
        <v>150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90</v>
      </c>
      <c r="B225" s="181">
        <f>'Données projet'!D208</f>
        <v>13</v>
      </c>
      <c r="C225" s="193">
        <v>50</v>
      </c>
      <c r="D225" s="179">
        <f t="shared" si="12"/>
        <v>650</v>
      </c>
      <c r="E225" s="193">
        <v>150</v>
      </c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>Bouleau verruqueux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>
        <f>(660+3071)/8+549</f>
        <v>1015.375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15</v>
      </c>
      <c r="B240" s="181">
        <f>'Données projet'!D218</f>
        <v>0</v>
      </c>
      <c r="C240" s="193">
        <v>0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20</v>
      </c>
      <c r="B241" s="181">
        <f>'Données projet'!D219</f>
        <v>15</v>
      </c>
      <c r="C241" s="193">
        <v>10</v>
      </c>
      <c r="D241" s="179">
        <f t="shared" ref="D241:D259" si="13">B241*C241</f>
        <v>150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25</v>
      </c>
      <c r="B242" s="181">
        <f>'Données projet'!D220</f>
        <v>10</v>
      </c>
      <c r="C242" s="193">
        <v>10</v>
      </c>
      <c r="D242" s="179">
        <f t="shared" si="13"/>
        <v>100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30</v>
      </c>
      <c r="B243" s="181">
        <f>'Données projet'!D221</f>
        <v>11</v>
      </c>
      <c r="C243" s="193">
        <v>15</v>
      </c>
      <c r="D243" s="179">
        <f t="shared" si="13"/>
        <v>165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35</v>
      </c>
      <c r="B244" s="181">
        <f>'Données projet'!D222</f>
        <v>12</v>
      </c>
      <c r="C244" s="193">
        <v>15</v>
      </c>
      <c r="D244" s="179">
        <f t="shared" si="13"/>
        <v>180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40</v>
      </c>
      <c r="B245" s="181">
        <f>'Données projet'!D223</f>
        <v>13</v>
      </c>
      <c r="C245" s="193">
        <v>50</v>
      </c>
      <c r="D245" s="179">
        <f t="shared" si="13"/>
        <v>650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45</v>
      </c>
      <c r="B246" s="181">
        <f>'Données projet'!D224</f>
        <v>14</v>
      </c>
      <c r="C246" s="193">
        <v>50</v>
      </c>
      <c r="D246" s="179">
        <f t="shared" si="13"/>
        <v>700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50</v>
      </c>
      <c r="B247" s="181">
        <f>'Données projet'!D225</f>
        <v>14</v>
      </c>
      <c r="C247" s="193">
        <v>50</v>
      </c>
      <c r="D247" s="179">
        <f t="shared" si="13"/>
        <v>700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55</v>
      </c>
      <c r="B248" s="181">
        <f>'Données projet'!D226</f>
        <v>14</v>
      </c>
      <c r="C248" s="193">
        <v>50</v>
      </c>
      <c r="D248" s="179">
        <f t="shared" si="13"/>
        <v>700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60</v>
      </c>
      <c r="B249" s="181">
        <f>'Données projet'!D227</f>
        <v>14</v>
      </c>
      <c r="C249" s="193">
        <v>50</v>
      </c>
      <c r="D249" s="179">
        <f t="shared" si="13"/>
        <v>700</v>
      </c>
      <c r="E249" s="193">
        <v>150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65</v>
      </c>
      <c r="B250" s="181">
        <f>'Données projet'!D228</f>
        <v>14</v>
      </c>
      <c r="C250" s="193">
        <v>50</v>
      </c>
      <c r="D250" s="179">
        <f t="shared" si="13"/>
        <v>700</v>
      </c>
      <c r="E250" s="193">
        <v>150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70</v>
      </c>
      <c r="B251" s="181">
        <f>'Données projet'!D229</f>
        <v>14</v>
      </c>
      <c r="C251" s="193">
        <v>50</v>
      </c>
      <c r="D251" s="179">
        <f t="shared" si="13"/>
        <v>700</v>
      </c>
      <c r="E251" s="193">
        <v>150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75</v>
      </c>
      <c r="B252" s="181">
        <f>'Données projet'!D230</f>
        <v>14</v>
      </c>
      <c r="C252" s="193">
        <v>50</v>
      </c>
      <c r="D252" s="179">
        <f t="shared" si="13"/>
        <v>700</v>
      </c>
      <c r="E252" s="193">
        <v>150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80</v>
      </c>
      <c r="B253" s="181">
        <f>'Données projet'!D231</f>
        <v>13</v>
      </c>
      <c r="C253" s="193">
        <v>50</v>
      </c>
      <c r="D253" s="179">
        <f t="shared" si="13"/>
        <v>650</v>
      </c>
      <c r="E253" s="193">
        <v>150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85</v>
      </c>
      <c r="B254" s="181">
        <f>'Données projet'!D232</f>
        <v>13</v>
      </c>
      <c r="C254" s="193">
        <v>50</v>
      </c>
      <c r="D254" s="179">
        <f t="shared" si="13"/>
        <v>650</v>
      </c>
      <c r="E254" s="193">
        <v>150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90</v>
      </c>
      <c r="B255" s="181">
        <f>'Données projet'!D233</f>
        <v>12</v>
      </c>
      <c r="C255" s="193">
        <v>50</v>
      </c>
      <c r="D255" s="179">
        <f t="shared" si="13"/>
        <v>600</v>
      </c>
      <c r="E255" s="193">
        <v>150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9B14999-2CBB-469C-87AA-CC625DB76F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2025-02-14T09:59:47Z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