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wnloads\Boisement Naudet_Parleboscq (40)\Dossier d_instruction\"/>
    </mc:Choice>
  </mc:AlternateContent>
  <xr:revisionPtr revIDLastSave="0" documentId="13_ncr:1_{08C1438A-0C2D-457B-A795-4386783D1FB7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<sst xmlns="http://schemas.openxmlformats.org/spreadsheetml/2006/main" count="1185" uniqueCount="330">
  <si>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</si>
  <si>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</si>
  <si>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</si>
  <si>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</si>
  <si>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</si>
  <si>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</si>
  <si>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</si>
  <si>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</si>
  <si>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</si>
  <si>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</si>
  <si>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</si>
  <si>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</si>
  <si>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</si>
  <si>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</si>
  <si>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</si>
  <si>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</si>
  <si>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</si>
  <si>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</si>
  <si>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</si>
  <si>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</si>
  <si>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</si>
  <si>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</si>
  <si>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</si>
  <si>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</si>
  <si>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</si>
  <si>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</si>
  <si>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</si>
  <si>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</si>
  <si>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</si>
  <si>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</si>
  <si>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</si>
  <si>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</si>
  <si>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</si>
  <si>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</si>
  <si>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</si>
  <si>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</si>
  <si>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</si>
  <si>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</si>
  <si>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</si>
  <si>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</si>
  <si>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</si>
  <si>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</si>
  <si>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</si>
  <si>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</si>
  <si>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</si>
  <si>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</si>
  <si>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</si>
  <si>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</si>
  <si>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</si>
  <si>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</si>
  <si>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</si>
  <si>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</si>
  <si>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</si>
  <si>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</si>
  <si>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</si>
  <si>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</si>
  <si>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</si>
  <si>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</si>
  <si>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</si>
  <si>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</si>
  <si>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</si>
  <si>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</si>
  <si>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</si>
  <si>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</si>
  <si>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</si>
  <si>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</si>
  <si>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</si>
  <si>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</si>
  <si>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</si>
  <si>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</si>
  <si>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</si>
  <si>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</si>
  <si>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</si>
  <si>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</si>
  <si>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</si>
  <si>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</si>
  <si>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</si>
  <si>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</si>
  <si>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</si>
  <si>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</si>
  <si>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</si>
  <si>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</si>
  <si>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</si>
  <si>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</si>
  <si>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</si>
  <si>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</si>
  <si>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</si>
  <si>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</si>
  <si>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</si>
  <si>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</si>
  <si>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</si>
  <si>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</si>
  <si>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</si>
  <si>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</si>
  <si>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</si>
  <si>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</si>
  <si>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</si>
  <si>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</si>
  <si>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</si>
  <si>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</si>
  <si>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</si>
  <si>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</si>
  <si>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</si>
  <si>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</si>
  <si>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</si>
  <si>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</si>
  <si>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</si>
  <si>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</si>
  <si>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</si>
  <si>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</si>
  <si>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</si>
  <si>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</si>
  <si>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</si>
  <si>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</si>
  <si>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</si>
  <si>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</si>
  <si>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</si>
  <si>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</si>
  <si>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</si>
  <si>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</si>
  <si>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</si>
  <si>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</si>
  <si>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</si>
  <si>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</si>
  <si>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</si>
  <si>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</si>
  <si>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</si>
  <si>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</si>
  <si>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</si>
  <si>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</si>
  <si>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</si>
  <si>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</si>
  <si>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</si>
  <si>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</si>
  <si>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</si>
  <si>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</si>
  <si>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</si>
  <si>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</si>
  <si>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</si>
  <si>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</si>
  <si>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</si>
  <si>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</si>
  <si>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</si>
  <si>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</si>
  <si>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</si>
  <si>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</si>
  <si>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</si>
  <si>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</si>
  <si>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</si>
  <si>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</si>
  <si>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</si>
  <si>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</si>
  <si>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</si>
  <si>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</si>
  <si>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</si>
  <si>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</si>
  <si>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</si>
  <si>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</si>
  <si>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</si>
  <si>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</si>
  <si>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</si>
  <si>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</si>
  <si>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</si>
  <si>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</si>
  <si>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</si>
  <si>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</si>
  <si>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</si>
  <si>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</si>
  <si>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</si>
  <si>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</si>
  <si>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</si>
  <si>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</si>
  <si>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</si>
  <si>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</si>
  <si>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</si>
  <si>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</si>
  <si>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</si>
  <si>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</si>
  <si>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</si>
  <si>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</si>
  <si>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</si>
  <si>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</si>
  <si>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</si>
  <si>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</si>
  <si>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</si>
  <si>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</si>
  <si>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</si>
  <si>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</si>
  <si>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</si>
  <si>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</si>
  <si>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</si>
  <si>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</si>
  <si>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</si>
  <si>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</si>
  <si>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</si>
  <si>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</si>
  <si>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</si>
  <si>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</si>
  <si>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</si>
  <si>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</si>
  <si>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</si>
  <si>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</si>
  <si>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</si>
  <si>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</si>
  <si>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</si>
  <si>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</si>
  <si>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</si>
  <si>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</si>
  <si>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</si>
  <si>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</si>
  <si>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</si>
  <si>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</si>
  <si>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</si>
  <si>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</si>
  <si>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</si>
  <si>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</si>
  <si>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</si>
  <si>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</si>
  <si>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</si>
  <si>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</si>
  <si>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</si>
  <si>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</si>
  <si>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</si>
  <si>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</si>
  <si>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</si>
  <si>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</si>
  <si>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</si>
  <si>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</si>
  <si>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</si>
  <si>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</si>
  <si>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</si>
  <si>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</si>
  <si>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</si>
  <si>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</si>
  <si>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</si>
  <si>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</si>
  <si>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</si>
  <si>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</si>
  <si>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</si>
  <si>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</si>
  <si>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</si>
  <si>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</si>
  <si>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</si>
  <si>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</si>
  <si>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</si>
  <si>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</si>
  <si>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</si>
  <si>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</si>
  <si>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</si>
  <si>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</si>
  <si>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</si>
  <si>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</si>
  <si>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</si>
  <si>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</si>
  <si>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</si>
  <si>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</si>
  <si>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</si>
  <si>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</si>
  <si>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</si>
  <si>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</si>
  <si>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</si>
  <si>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</si>
  <si>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</si>
  <si>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</si>
  <si>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</si>
  <si>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</si>
  <si>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</si>
  <si>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</si>
  <si>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</si>
  <si>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</si>
  <si>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</si>
  <si>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</si>
  <si>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</si>
  <si>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</si>
  <si>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</si>
  <si>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</si>
  <si>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</si>
  <si>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</si>
  <si>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</si>
  <si>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</si>
  <si>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</si>
  <si>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</si>
  <si>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</si>
  <si>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</si>
  <si>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</si>
  <si>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</si>
  <si>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</si>
  <si>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</si>
  <si>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</si>
  <si>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</si>
  <si>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</si>
  <si>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</si>
  <si>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</si>
  <si>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</si>
  <si>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</si>
  <si>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</si>
  <si>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</si>
  <si>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</si>
  <si>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</si>
  <si>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</si>
  <si>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</si>
  <si>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</si>
  <si>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</si>
  <si>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</si>
  <si>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</si>
  <si>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</si>
  <si>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</si>
  <si>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</si>
  <si>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</si>
  <si>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</si>
  <si>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</si>
  <si>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</si>
  <si>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</si>
  <si>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</si>
  <si>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</si>
  <si>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</si>
  <si>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</si>
  <si>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</si>
  <si>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</si>
  <si>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</si>
  <si>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</si>
  <si>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</si>
  <si>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</si>
  <si>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</si>
  <si>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</si>
  <si>
    <t>Classe 1/5</t>
  </si>
  <si>
    <t>équivalence peuplier Albedo - îlot 2</t>
  </si>
  <si>
    <t>îlot 2</t>
  </si>
  <si>
    <t>îlot 1</t>
  </si>
  <si>
    <t>équivalence peuplier Dano - îlot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</si>
</sst>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5" fillId="0" borderId="0" xfId="0" applyFon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1.8807855723271203</c:v>
                </c:pt>
                <c:pt idx="2">
                  <c:v>3.0657680328814667</c:v>
                </c:pt>
                <c:pt idx="3">
                  <c:v>5.0010774211664097</c:v>
                </c:pt>
                <c:pt idx="4">
                  <c:v>8.1640327643389909</c:v>
                </c:pt>
                <c:pt idx="5">
                  <c:v>13.336905920637804</c:v>
                </c:pt>
                <c:pt idx="6">
                  <c:v>21.802520022526707</c:v>
                </c:pt>
                <c:pt idx="7">
                  <c:v>35.665755227846866</c:v>
                </c:pt>
                <c:pt idx="8">
                  <c:v>58.382270569279349</c:v>
                </c:pt>
                <c:pt idx="9">
                  <c:v>95.628410585718214</c:v>
                </c:pt>
                <c:pt idx="10">
                  <c:v>129.62071281147163</c:v>
                </c:pt>
                <c:pt idx="11">
                  <c:v>163.39566693544896</c:v>
                </c:pt>
                <c:pt idx="12">
                  <c:v>197.00485363092116</c:v>
                </c:pt>
                <c:pt idx="13">
                  <c:v>230.48062342230324</c:v>
                </c:pt>
                <c:pt idx="14">
                  <c:v>263.84510369616982</c:v>
                </c:pt>
                <c:pt idx="15">
                  <c:v>270.50613619318756</c:v>
                </c:pt>
                <c:pt idx="16">
                  <c:v>277.16347820899153</c:v>
                </c:pt>
                <c:pt idx="17">
                  <c:v>283.81723100751759</c:v>
                </c:pt>
                <c:pt idx="18">
                  <c:v>290.46749071109713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2.0282064215212832</c:v>
                </c:pt>
                <c:pt idx="2">
                  <c:v>3.3064559951213863</c:v>
                </c:pt>
                <c:pt idx="3">
                  <c:v>5.3943173936551103</c:v>
                </c:pt>
                <c:pt idx="4">
                  <c:v>8.8069584868535866</c:v>
                </c:pt>
                <c:pt idx="5">
                  <c:v>14.3887603470726</c:v>
                </c:pt>
                <c:pt idx="6">
                  <c:v>23.524522792203253</c:v>
                </c:pt>
                <c:pt idx="7">
                  <c:v>38.486650591638238</c:v>
                </c:pt>
                <c:pt idx="8">
                  <c:v>63.006150014862165</c:v>
                </c:pt>
                <c:pt idx="9">
                  <c:v>103.21215765049799</c:v>
                </c:pt>
                <c:pt idx="10">
                  <c:v>139.90830728473193</c:v>
                </c:pt>
                <c:pt idx="11">
                  <c:v>176.37151745189419</c:v>
                </c:pt>
                <c:pt idx="12">
                  <c:v>212.65706894093469</c:v>
                </c:pt>
                <c:pt idx="13">
                  <c:v>248.79963292613616</c:v>
                </c:pt>
                <c:pt idx="14">
                  <c:v>284.82292409188864</c:v>
                </c:pt>
                <c:pt idx="15">
                  <c:v>292.01486774046913</c:v>
                </c:pt>
                <c:pt idx="16">
                  <c:v>299.20285617287749</c:v>
                </c:pt>
                <c:pt idx="17">
                  <c:v>306.38699791717039</c:v>
                </c:pt>
                <c:pt idx="18">
                  <c:v>313.56739599097097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2.0282064215212832</c:v>
                </c:pt>
                <c:pt idx="2">
                  <c:v>3.3064559951213863</c:v>
                </c:pt>
                <c:pt idx="3">
                  <c:v>5.3943173936551103</c:v>
                </c:pt>
                <c:pt idx="4">
                  <c:v>8.8069584868535866</c:v>
                </c:pt>
                <c:pt idx="5">
                  <c:v>14.3887603470726</c:v>
                </c:pt>
                <c:pt idx="6">
                  <c:v>23.524522792203253</c:v>
                </c:pt>
                <c:pt idx="7">
                  <c:v>38.486650591638238</c:v>
                </c:pt>
                <c:pt idx="8">
                  <c:v>63.006150014862165</c:v>
                </c:pt>
                <c:pt idx="9">
                  <c:v>103.21215765049799</c:v>
                </c:pt>
                <c:pt idx="10">
                  <c:v>139.90830728473193</c:v>
                </c:pt>
                <c:pt idx="11">
                  <c:v>176.37151745189419</c:v>
                </c:pt>
                <c:pt idx="12">
                  <c:v>212.65706894093469</c:v>
                </c:pt>
                <c:pt idx="13">
                  <c:v>248.79963292613616</c:v>
                </c:pt>
                <c:pt idx="14">
                  <c:v>284.82292409188864</c:v>
                </c:pt>
                <c:pt idx="15">
                  <c:v>292.01486779145256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1.8807855723271203</c:v>
                </c:pt>
                <c:pt idx="2">
                  <c:v>3.0657680328814667</c:v>
                </c:pt>
                <c:pt idx="3">
                  <c:v>5.0010774211664097</c:v>
                </c:pt>
                <c:pt idx="4">
                  <c:v>8.1640327643389909</c:v>
                </c:pt>
                <c:pt idx="5">
                  <c:v>13.336905920637804</c:v>
                </c:pt>
                <c:pt idx="6">
                  <c:v>21.802520022526707</c:v>
                </c:pt>
                <c:pt idx="7">
                  <c:v>35.665755227846866</c:v>
                </c:pt>
                <c:pt idx="8">
                  <c:v>58.382270569279349</c:v>
                </c:pt>
                <c:pt idx="9">
                  <c:v>95.628410585718214</c:v>
                </c:pt>
                <c:pt idx="10">
                  <c:v>129.62071281147163</c:v>
                </c:pt>
                <c:pt idx="11">
                  <c:v>163.39566693544896</c:v>
                </c:pt>
                <c:pt idx="12">
                  <c:v>197.00485363092116</c:v>
                </c:pt>
                <c:pt idx="13">
                  <c:v>230.48062342230324</c:v>
                </c:pt>
                <c:pt idx="14">
                  <c:v>263.84510369616982</c:v>
                </c:pt>
                <c:pt idx="15">
                  <c:v>270.50613624040716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7" t="s">
        <v>291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</row>
    <row r="13" spans="2:13" ht="15" customHeight="1" x14ac:dyDescent="0.3">
      <c r="B13" s="267"/>
      <c r="C13" s="267"/>
      <c r="D13" s="267"/>
      <c r="E13" s="267"/>
      <c r="F13" s="267"/>
      <c r="G13" s="267"/>
      <c r="H13" s="267"/>
      <c r="I13" s="267"/>
      <c r="J13" s="267"/>
      <c r="K13" s="267"/>
      <c r="L13" s="267"/>
      <c r="M13" s="267"/>
    </row>
    <row r="14" spans="2:13" ht="15" customHeight="1" x14ac:dyDescent="0.3">
      <c r="B14" s="267"/>
      <c r="C14" s="267"/>
      <c r="D14" s="267"/>
      <c r="E14" s="267"/>
      <c r="F14" s="267"/>
      <c r="G14" s="267"/>
      <c r="H14" s="267"/>
      <c r="I14" s="267"/>
      <c r="J14" s="267"/>
      <c r="K14" s="267"/>
      <c r="L14" s="267"/>
      <c r="M14" s="267"/>
    </row>
    <row r="15" spans="2:13" ht="18.75" customHeight="1" x14ac:dyDescent="0.3">
      <c r="B15" s="267"/>
      <c r="C15" s="267"/>
      <c r="D15" s="267"/>
      <c r="E15" s="267"/>
      <c r="F15" s="267"/>
      <c r="G15" s="267"/>
      <c r="H15" s="267"/>
      <c r="I15" s="267"/>
      <c r="J15" s="267"/>
      <c r="K15" s="267"/>
      <c r="L15" s="267"/>
      <c r="M15" s="267"/>
    </row>
    <row r="16" spans="2:13" ht="18.75" customHeight="1" x14ac:dyDescent="0.3">
      <c r="B16" s="267"/>
      <c r="C16" s="267"/>
      <c r="D16" s="267"/>
      <c r="E16" s="267"/>
      <c r="F16" s="267"/>
      <c r="G16" s="267"/>
      <c r="H16" s="267"/>
      <c r="I16" s="267"/>
      <c r="J16" s="267"/>
      <c r="K16" s="267"/>
      <c r="L16" s="267"/>
      <c r="M16" s="267"/>
    </row>
    <row r="18" spans="2:13" ht="12" customHeight="1" x14ac:dyDescent="0.3">
      <c r="B18" s="267" t="s">
        <v>292</v>
      </c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</row>
    <row r="19" spans="2:13" ht="12" customHeight="1" x14ac:dyDescent="0.3">
      <c r="B19" s="267"/>
      <c r="C19" s="267"/>
      <c r="D19" s="267"/>
      <c r="E19" s="267"/>
      <c r="F19" s="267"/>
      <c r="G19" s="267"/>
      <c r="H19" s="267"/>
      <c r="I19" s="267"/>
      <c r="J19" s="267"/>
      <c r="K19" s="267"/>
      <c r="L19" s="267"/>
      <c r="M19" s="267"/>
    </row>
    <row r="20" spans="2:13" ht="12" customHeight="1" x14ac:dyDescent="0.3"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</row>
    <row r="21" spans="2:13" ht="12" customHeight="1" x14ac:dyDescent="0.3">
      <c r="B21" s="267"/>
      <c r="C21" s="267"/>
      <c r="D21" s="267"/>
      <c r="E21" s="267"/>
      <c r="F21" s="267"/>
      <c r="G21" s="267"/>
      <c r="H21" s="267"/>
      <c r="I21" s="267"/>
      <c r="J21" s="267"/>
      <c r="K21" s="267"/>
      <c r="L21" s="267"/>
      <c r="M21" s="267"/>
    </row>
    <row r="22" spans="2:13" ht="12" customHeight="1" x14ac:dyDescent="0.3"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</row>
    <row r="23" spans="2:13" ht="12" customHeight="1" x14ac:dyDescent="0.3">
      <c r="B23" s="267"/>
      <c r="C23" s="267"/>
      <c r="D23" s="267"/>
      <c r="E23" s="267"/>
      <c r="F23" s="267"/>
      <c r="G23" s="267"/>
      <c r="H23" s="267"/>
      <c r="I23" s="267"/>
      <c r="J23" s="267"/>
      <c r="K23" s="267"/>
      <c r="L23" s="267"/>
      <c r="M23" s="267"/>
    </row>
    <row r="24" spans="2:13" ht="12" customHeight="1" x14ac:dyDescent="0.3"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</row>
    <row r="25" spans="2:13" ht="12" customHeight="1" x14ac:dyDescent="0.3"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</row>
    <row r="26" spans="2:13" ht="12" customHeight="1" x14ac:dyDescent="0.3"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</row>
    <row r="27" spans="2:13" ht="12" customHeight="1" x14ac:dyDescent="0.3"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</row>
    <row r="28" spans="2:13" ht="12" customHeight="1" x14ac:dyDescent="0.3"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2:13" ht="12" customHeight="1" x14ac:dyDescent="0.3">
      <c r="B29" s="267"/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</row>
    <row r="30" spans="2:13" ht="12" customHeight="1" x14ac:dyDescent="0.3"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  <row r="31" spans="2:13" ht="12" customHeight="1" x14ac:dyDescent="0.3">
      <c r="B31" s="267"/>
      <c r="C31" s="267"/>
      <c r="D31" s="267"/>
      <c r="E31" s="267"/>
      <c r="F31" s="267"/>
      <c r="G31" s="267"/>
      <c r="H31" s="267"/>
      <c r="I31" s="267"/>
      <c r="J31" s="267"/>
      <c r="K31" s="267"/>
      <c r="L31" s="267"/>
      <c r="M31" s="26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" zoomScaleNormal="100" workbookViewId="0">
      <selection activeCell="C15" sqref="C1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8" t="s">
        <v>190</v>
      </c>
      <c r="D1" s="268"/>
      <c r="E1" s="26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3" t="s">
        <v>192</v>
      </c>
      <c r="C3" s="274"/>
      <c r="D3" s="274"/>
      <c r="E3" s="274"/>
      <c r="F3" s="275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8" t="s">
        <v>231</v>
      </c>
      <c r="B5" s="278"/>
      <c r="C5" s="24">
        <v>6.4</v>
      </c>
      <c r="D5" s="279" t="s">
        <v>229</v>
      </c>
      <c r="E5" s="280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7" t="s">
        <v>226</v>
      </c>
      <c r="B7" s="277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H8" s="266" t="s">
        <v>329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111</v>
      </c>
      <c r="C9" s="264">
        <v>0.37519142419601836</v>
      </c>
      <c r="D9" s="33">
        <f t="shared" ref="D9:D18" si="0">C9*$C$5</f>
        <v>2.4012251148545176</v>
      </c>
      <c r="E9" s="265">
        <v>18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116</v>
      </c>
      <c r="C10" s="264">
        <v>0.12480857580398162</v>
      </c>
      <c r="D10" s="33">
        <f t="shared" si="0"/>
        <v>0.79877488514548245</v>
      </c>
      <c r="E10" s="265">
        <v>18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325</v>
      </c>
      <c r="H10" s="23" t="s">
        <v>328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116</v>
      </c>
      <c r="C11" s="264">
        <v>0.20290964777947931</v>
      </c>
      <c r="D11" s="33">
        <f t="shared" si="0"/>
        <v>1.2986217457886677</v>
      </c>
      <c r="E11" s="265">
        <v>15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325</v>
      </c>
      <c r="H11" s="23" t="s">
        <v>327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111</v>
      </c>
      <c r="C12" s="264">
        <v>0.29709035222052066</v>
      </c>
      <c r="D12" s="33">
        <f t="shared" si="0"/>
        <v>1.9013782542113322</v>
      </c>
      <c r="E12" s="265">
        <v>15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325</v>
      </c>
      <c r="H12" s="23" t="s">
        <v>326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6.4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6" t="s">
        <v>232</v>
      </c>
      <c r="B22" s="27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7" t="s">
        <v>227</v>
      </c>
      <c r="B30" s="277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I-214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9" t="s">
        <v>186</v>
      </c>
      <c r="D34" s="269"/>
      <c r="E34" s="270" t="s">
        <v>187</v>
      </c>
      <c r="F34" s="271"/>
      <c r="G34" s="271"/>
      <c r="H34" s="272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9</v>
      </c>
      <c r="B36" s="259">
        <v>96.153846150000007</v>
      </c>
      <c r="C36" s="259"/>
      <c r="D36" s="259"/>
      <c r="E36" s="260"/>
      <c r="F36" s="260"/>
      <c r="G36" s="260"/>
      <c r="H36" s="260"/>
      <c r="I36" s="49">
        <f>IFERROR(B36/A36,"")</f>
        <v>10.683760683333334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14</v>
      </c>
      <c r="B37" s="259">
        <v>272.43589739999999</v>
      </c>
      <c r="C37" s="259"/>
      <c r="D37" s="259"/>
      <c r="E37" s="260"/>
      <c r="F37" s="260"/>
      <c r="G37" s="260"/>
      <c r="H37" s="260"/>
      <c r="I37" s="53">
        <f t="shared" ref="I37:I55" si="1">IF(A37&lt;&gt;0,(B37-(B36-D36))/(A37-A36),"")</f>
        <v>35.256410250000002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18</v>
      </c>
      <c r="B38" s="259">
        <v>300.64102559999998</v>
      </c>
      <c r="C38" s="259" t="s">
        <v>324</v>
      </c>
      <c r="D38" s="259">
        <v>300.64102559999998</v>
      </c>
      <c r="E38" s="260">
        <v>0.77</v>
      </c>
      <c r="F38" s="260">
        <v>0.21</v>
      </c>
      <c r="G38" s="260">
        <v>0</v>
      </c>
      <c r="H38" s="260">
        <v>0</v>
      </c>
      <c r="I38" s="53">
        <f t="shared" si="1"/>
        <v>7.0512820499999975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/>
      <c r="B39" s="259"/>
      <c r="C39" s="259"/>
      <c r="D39" s="259"/>
      <c r="E39" s="260"/>
      <c r="F39" s="260"/>
      <c r="G39" s="260"/>
      <c r="H39" s="260"/>
      <c r="I39" s="49" t="str">
        <f t="shared" si="1"/>
        <v/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/>
      <c r="B40" s="259"/>
      <c r="C40" s="259"/>
      <c r="D40" s="259"/>
      <c r="E40" s="260"/>
      <c r="F40" s="260"/>
      <c r="G40" s="260"/>
      <c r="H40" s="260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/>
      <c r="B41" s="259"/>
      <c r="C41" s="259"/>
      <c r="D41" s="259"/>
      <c r="E41" s="260"/>
      <c r="F41" s="260"/>
      <c r="G41" s="260"/>
      <c r="H41" s="260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/>
      <c r="B42" s="259"/>
      <c r="C42" s="259"/>
      <c r="D42" s="259"/>
      <c r="E42" s="260"/>
      <c r="F42" s="260"/>
      <c r="G42" s="260"/>
      <c r="H42" s="260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/>
      <c r="B43" s="259"/>
      <c r="C43" s="259"/>
      <c r="D43" s="259"/>
      <c r="E43" s="260"/>
      <c r="F43" s="260"/>
      <c r="G43" s="260"/>
      <c r="H43" s="260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/>
      <c r="B44" s="259"/>
      <c r="C44" s="259"/>
      <c r="D44" s="259"/>
      <c r="E44" s="260"/>
      <c r="F44" s="260"/>
      <c r="G44" s="260"/>
      <c r="H44" s="260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Peuplier Polargo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9" t="s">
        <v>186</v>
      </c>
      <c r="D60" s="269"/>
      <c r="E60" s="270" t="s">
        <v>187</v>
      </c>
      <c r="F60" s="271"/>
      <c r="G60" s="271"/>
      <c r="H60" s="272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9</v>
      </c>
      <c r="B62" s="261">
        <v>96.153846150000007</v>
      </c>
      <c r="C62" s="261"/>
      <c r="D62" s="261"/>
      <c r="E62" s="260"/>
      <c r="F62" s="260"/>
      <c r="G62" s="260"/>
      <c r="H62" s="260"/>
      <c r="I62" s="53">
        <f>IFERROR(B62/A62,"")</f>
        <v>10.683760683333334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14</v>
      </c>
      <c r="B63" s="261">
        <v>272.43589739999999</v>
      </c>
      <c r="C63" s="261"/>
      <c r="D63" s="261"/>
      <c r="E63" s="260"/>
      <c r="F63" s="260"/>
      <c r="G63" s="260"/>
      <c r="H63" s="260"/>
      <c r="I63" s="49">
        <f>IF(A63&lt;&gt;0,(B63-(B62-D62))/(A63-A62),"")</f>
        <v>35.256410250000002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18</v>
      </c>
      <c r="B64" s="261">
        <v>300.64102559999998</v>
      </c>
      <c r="C64" s="261" t="s">
        <v>324</v>
      </c>
      <c r="D64" s="261">
        <v>300.64102559999998</v>
      </c>
      <c r="E64" s="260">
        <v>0.77</v>
      </c>
      <c r="F64" s="260">
        <v>0.21</v>
      </c>
      <c r="G64" s="260">
        <v>0</v>
      </c>
      <c r="H64" s="260">
        <v>0</v>
      </c>
      <c r="I64" s="49">
        <f>IF(A64&lt;&gt;0,(B64-(B63-D63))/(A64-A63),"")</f>
        <v>7.0512820499999975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/>
      <c r="B65" s="261"/>
      <c r="C65" s="261"/>
      <c r="D65" s="261"/>
      <c r="E65" s="260"/>
      <c r="F65" s="260"/>
      <c r="G65" s="260"/>
      <c r="H65" s="260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/>
      <c r="B66" s="261"/>
      <c r="C66" s="261"/>
      <c r="D66" s="261"/>
      <c r="E66" s="260"/>
      <c r="F66" s="260"/>
      <c r="G66" s="260"/>
      <c r="H66" s="260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/>
      <c r="B67" s="261"/>
      <c r="C67" s="261"/>
      <c r="D67" s="261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/>
      <c r="B68" s="261"/>
      <c r="C68" s="261"/>
      <c r="D68" s="261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/>
      <c r="B71" s="261"/>
      <c r="C71" s="261"/>
      <c r="D71" s="261"/>
      <c r="E71" s="260"/>
      <c r="F71" s="260"/>
      <c r="G71" s="260"/>
      <c r="H71" s="260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/>
      <c r="B72" s="261"/>
      <c r="C72" s="261"/>
      <c r="D72" s="261"/>
      <c r="E72" s="260"/>
      <c r="F72" s="260"/>
      <c r="G72" s="260"/>
      <c r="H72" s="260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/>
      <c r="B73" s="261"/>
      <c r="C73" s="261"/>
      <c r="D73" s="261"/>
      <c r="E73" s="260"/>
      <c r="F73" s="260"/>
      <c r="G73" s="260"/>
      <c r="H73" s="260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Peuplier Polargo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9" t="s">
        <v>186</v>
      </c>
      <c r="D86" s="269"/>
      <c r="E86" s="270" t="s">
        <v>187</v>
      </c>
      <c r="F86" s="271"/>
      <c r="G86" s="271"/>
      <c r="H86" s="272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9</v>
      </c>
      <c r="B88" s="261">
        <v>96.153846150000007</v>
      </c>
      <c r="C88" s="261"/>
      <c r="D88" s="261"/>
      <c r="E88" s="260"/>
      <c r="F88" s="260"/>
      <c r="G88" s="260"/>
      <c r="H88" s="260"/>
      <c r="I88" s="53">
        <f>IFERROR(B88/A88,"")</f>
        <v>10.683760683333334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14</v>
      </c>
      <c r="B89" s="261">
        <v>272.43589739999999</v>
      </c>
      <c r="C89" s="261"/>
      <c r="D89" s="261"/>
      <c r="E89" s="260"/>
      <c r="F89" s="260"/>
      <c r="G89" s="260"/>
      <c r="H89" s="260"/>
      <c r="I89" s="53">
        <f t="shared" ref="I89:I107" si="3">IF(A89&lt;&gt;0,(B89-(B88-D88))/(A89-A88),"")</f>
        <v>35.256410250000002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15</v>
      </c>
      <c r="B90" s="261">
        <v>279.48717950000002</v>
      </c>
      <c r="C90" s="261" t="s">
        <v>324</v>
      </c>
      <c r="D90" s="261">
        <v>279.48717950000002</v>
      </c>
      <c r="E90" s="260">
        <v>0.77</v>
      </c>
      <c r="F90" s="260">
        <v>0.21</v>
      </c>
      <c r="G90" s="260">
        <v>0</v>
      </c>
      <c r="H90" s="260">
        <v>0</v>
      </c>
      <c r="I90" s="53">
        <f t="shared" si="3"/>
        <v>7.0512821000000372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Peuplier I-214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9" t="s">
        <v>186</v>
      </c>
      <c r="D112" s="269"/>
      <c r="E112" s="270" t="s">
        <v>187</v>
      </c>
      <c r="F112" s="271"/>
      <c r="G112" s="271"/>
      <c r="H112" s="272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9</v>
      </c>
      <c r="B114" s="261">
        <v>96.153846150000007</v>
      </c>
      <c r="C114" s="261"/>
      <c r="D114" s="261"/>
      <c r="E114" s="260"/>
      <c r="F114" s="260"/>
      <c r="G114" s="260"/>
      <c r="H114" s="260"/>
      <c r="I114" s="53">
        <f>IFERROR(B114/A114,"")</f>
        <v>10.683760683333334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14</v>
      </c>
      <c r="B115" s="261">
        <v>272.43589739999999</v>
      </c>
      <c r="C115" s="261"/>
      <c r="D115" s="261"/>
      <c r="E115" s="260"/>
      <c r="F115" s="260"/>
      <c r="G115" s="260"/>
      <c r="H115" s="260"/>
      <c r="I115" s="53">
        <f t="shared" ref="I115:I133" si="4">IF(A115&lt;&gt;0,(B115-(B114-D114))/(A115-A114),"")</f>
        <v>35.256410250000002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15</v>
      </c>
      <c r="B116" s="261">
        <v>279.48717950000002</v>
      </c>
      <c r="C116" s="261" t="s">
        <v>324</v>
      </c>
      <c r="D116" s="261">
        <v>279.48717950000002</v>
      </c>
      <c r="E116" s="260">
        <v>0.77</v>
      </c>
      <c r="F116" s="260">
        <v>0.21</v>
      </c>
      <c r="G116" s="260">
        <v>0</v>
      </c>
      <c r="H116" s="260">
        <v>0</v>
      </c>
      <c r="I116" s="53">
        <f t="shared" si="4"/>
        <v>7.0512821000000372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9" t="s">
        <v>186</v>
      </c>
      <c r="D138" s="269"/>
      <c r="E138" s="270" t="s">
        <v>187</v>
      </c>
      <c r="F138" s="271"/>
      <c r="G138" s="271"/>
      <c r="H138" s="272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9" t="s">
        <v>186</v>
      </c>
      <c r="D164" s="269"/>
      <c r="E164" s="270" t="s">
        <v>187</v>
      </c>
      <c r="F164" s="271"/>
      <c r="G164" s="271"/>
      <c r="H164" s="272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9" t="s">
        <v>186</v>
      </c>
      <c r="D190" s="269"/>
      <c r="E190" s="270" t="s">
        <v>187</v>
      </c>
      <c r="F190" s="271"/>
      <c r="G190" s="271"/>
      <c r="H190" s="272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9" t="s">
        <v>186</v>
      </c>
      <c r="D216" s="269"/>
      <c r="E216" s="270" t="s">
        <v>187</v>
      </c>
      <c r="F216" s="271"/>
      <c r="G216" s="271"/>
      <c r="H216" s="272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9" t="s">
        <v>186</v>
      </c>
      <c r="D242" s="269"/>
      <c r="E242" s="270" t="s">
        <v>187</v>
      </c>
      <c r="F242" s="271"/>
      <c r="G242" s="271"/>
      <c r="H242" s="272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9" t="s">
        <v>186</v>
      </c>
      <c r="D268" s="269"/>
      <c r="E268" s="270" t="s">
        <v>187</v>
      </c>
      <c r="F268" s="271"/>
      <c r="G268" s="271"/>
      <c r="H268" s="272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2" t="s">
        <v>191</v>
      </c>
      <c r="C2" s="283"/>
      <c r="D2" s="283"/>
      <c r="E2" s="283"/>
      <c r="F2" s="283"/>
      <c r="G2" s="28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1"/>
      <c r="C4" s="281"/>
      <c r="D4" s="281"/>
      <c r="E4" s="281"/>
      <c r="F4" s="281"/>
      <c r="G4" s="28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8" t="s">
        <v>176</v>
      </c>
      <c r="C1" s="289"/>
      <c r="D1" s="289"/>
      <c r="E1" s="289"/>
      <c r="F1" s="289"/>
      <c r="G1" s="289"/>
      <c r="H1" s="290"/>
      <c r="I1" s="285" t="str">
        <f>IF('Données projet'!$B$9="","",'Données projet'!$B$9)</f>
        <v>Peuplier I-214</v>
      </c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7"/>
      <c r="AD1" s="286" t="str">
        <f>IF('Données projet'!$B$10="","",'Données projet'!$B$10)</f>
        <v>Peuplier Polargo</v>
      </c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7"/>
      <c r="AY1" s="285" t="str">
        <f>IF('Données projet'!$B$11="","",'Données projet'!$B$11)</f>
        <v>Peuplier Polargo</v>
      </c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7"/>
      <c r="BT1" s="285" t="str">
        <f>IF('Données projet'!$B$12="","",'Données projet'!$B$12)</f>
        <v>Peuplier I-214</v>
      </c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7"/>
      <c r="CO1" s="285" t="str">
        <f>IF('Données projet'!$B$13="","",'Données projet'!$B$13)</f>
        <v/>
      </c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7"/>
      <c r="DJ1" s="285" t="str">
        <f>IF('Données projet'!$B$14="","",'Données projet'!$B$14)</f>
        <v/>
      </c>
      <c r="DK1" s="286"/>
      <c r="DL1" s="286"/>
      <c r="DM1" s="286"/>
      <c r="DN1" s="286"/>
      <c r="DO1" s="286"/>
      <c r="DP1" s="286"/>
      <c r="DQ1" s="286"/>
      <c r="DR1" s="286"/>
      <c r="DS1" s="286"/>
      <c r="DT1" s="286"/>
      <c r="DU1" s="286"/>
      <c r="DV1" s="286"/>
      <c r="DW1" s="286"/>
      <c r="DX1" s="286"/>
      <c r="DY1" s="286"/>
      <c r="DZ1" s="286"/>
      <c r="EA1" s="286"/>
      <c r="EB1" s="286"/>
      <c r="EC1" s="286"/>
      <c r="ED1" s="287"/>
      <c r="EE1" s="285" t="str">
        <f>IF('Données projet'!$B$15="","",'Données projet'!$B$15)</f>
        <v/>
      </c>
      <c r="EF1" s="286"/>
      <c r="EG1" s="286"/>
      <c r="EH1" s="286"/>
      <c r="EI1" s="286"/>
      <c r="EJ1" s="286"/>
      <c r="EK1" s="286"/>
      <c r="EL1" s="286"/>
      <c r="EM1" s="286"/>
      <c r="EN1" s="286"/>
      <c r="EO1" s="286"/>
      <c r="EP1" s="286"/>
      <c r="EQ1" s="286"/>
      <c r="ER1" s="286"/>
      <c r="ES1" s="286"/>
      <c r="ET1" s="286"/>
      <c r="EU1" s="286"/>
      <c r="EV1" s="286"/>
      <c r="EW1" s="286"/>
      <c r="EX1" s="286"/>
      <c r="EY1" s="287"/>
      <c r="EZ1" s="285" t="str">
        <f>IF('Données projet'!$B$16="","",'Données projet'!$B$16)</f>
        <v/>
      </c>
      <c r="FA1" s="286"/>
      <c r="FB1" s="286"/>
      <c r="FC1" s="286"/>
      <c r="FD1" s="286"/>
      <c r="FE1" s="286"/>
      <c r="FF1" s="286"/>
      <c r="FG1" s="286"/>
      <c r="FH1" s="286"/>
      <c r="FI1" s="286"/>
      <c r="FJ1" s="286"/>
      <c r="FK1" s="286"/>
      <c r="FL1" s="286"/>
      <c r="FM1" s="286"/>
      <c r="FN1" s="286"/>
      <c r="FO1" s="286"/>
      <c r="FP1" s="286"/>
      <c r="FQ1" s="286"/>
      <c r="FR1" s="286"/>
      <c r="FS1" s="286"/>
      <c r="FT1" s="287"/>
      <c r="FU1" s="285" t="str">
        <f>IF('Données projet'!$B$17="","",'Données projet'!$B$17)</f>
        <v/>
      </c>
      <c r="FV1" s="286"/>
      <c r="FW1" s="286"/>
      <c r="FX1" s="286"/>
      <c r="FY1" s="286"/>
      <c r="FZ1" s="286"/>
      <c r="GA1" s="286"/>
      <c r="GB1" s="286"/>
      <c r="GC1" s="286"/>
      <c r="GD1" s="286"/>
      <c r="GE1" s="286"/>
      <c r="GF1" s="286"/>
      <c r="GG1" s="286"/>
      <c r="GH1" s="286"/>
      <c r="GI1" s="286"/>
      <c r="GJ1" s="286"/>
      <c r="GK1" s="286"/>
      <c r="GL1" s="286"/>
      <c r="GM1" s="286"/>
      <c r="GN1" s="286"/>
      <c r="GO1" s="287"/>
      <c r="GP1" s="285" t="str">
        <f>IF('Données projet'!$B$18="","",'Données projet'!$B$18)</f>
        <v/>
      </c>
      <c r="GQ1" s="286"/>
      <c r="GR1" s="286"/>
      <c r="GS1" s="286"/>
      <c r="GT1" s="286"/>
      <c r="GU1" s="286"/>
      <c r="GV1" s="286"/>
      <c r="GW1" s="286"/>
      <c r="GX1" s="286"/>
      <c r="GY1" s="286"/>
      <c r="GZ1" s="286"/>
      <c r="HA1" s="286"/>
      <c r="HB1" s="286"/>
      <c r="HC1" s="286"/>
      <c r="HD1" s="286"/>
      <c r="HE1" s="286"/>
      <c r="HF1" s="286"/>
      <c r="HG1" s="286"/>
      <c r="HH1" s="286"/>
      <c r="HI1" s="286"/>
      <c r="HJ1" s="287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256.66666666666669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134.64362224914908</v>
      </c>
      <c r="T3" s="59">
        <f>IF('Données projet'!E9&gt;30,$R$33-$H$33,LOOKUP('Données projet'!$E$9,$A$3:$A$203,R3:R203)-LOOKUP('Données projet'!$E$9,$A$3:$A$203,$H$3:$H$203))</f>
        <v>312.46749071109713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144.46767095844729</v>
      </c>
      <c r="AO3" s="59">
        <f>IF('Données projet'!E10&gt;30,$AM$33-$H$33,LOOKUP('Données projet'!$E$10,$A$3:$A$203,AM3:AM203)-LOOKUP('Données projet'!$E$10,$A$3:$A$203,$H$3:$H$203))</f>
        <v>335.56739599097097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110.21219780294564</v>
      </c>
      <c r="BJ3" s="59">
        <f>IF('Données projet'!E11&gt;30,$BH$33-$H$33,LOOKUP('Données projet'!$E$11,$A$3:$A$203,BH3:BH203)-LOOKUP('Données projet'!$E$11,$A$3:$A$203,$H$3:$H$203))</f>
        <v>310.34820112478593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102.77795559500703</v>
      </c>
      <c r="CE3" s="59">
        <f>IF('Données projet'!E12&gt;30,$CC$33-$H$33,LOOKUP('Données projet'!$E$12,$A$3:$A$203,CC3:CC203)-LOOKUP('Données projet'!$E$12,$A$3:$A$203,$H$3:$H$203))</f>
        <v>288.83946957374047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6">
        <f t="shared" ref="H4:H67" si="1">(B4+E4+F4)*44/12+(C4+D4)*0.475*44/12</f>
        <v>256.66666666666669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10.683760683333334</v>
      </c>
      <c r="N4" s="13">
        <f>IF('Données projet'!$A$36&gt;35,N3+M4-V3,IF(A4&lt;'Données projet'!$A$36,$K$205^A4,IF(A4='Données projet'!$A$36,'Données projet'!$B$36,N3+M4-V3)))</f>
        <v>1.660847009958063</v>
      </c>
      <c r="O4" s="13">
        <f>N4*VLOOKUP('Données projet'!$B$9,Paramètres!$A$1:$I$89,3,0)*VLOOKUP('Données projet'!$B$9,Paramètres!$A$1:$I$89,5,0)</f>
        <v>0.73063981662075106</v>
      </c>
      <c r="P4" s="13">
        <f>EXP(-1.0587+0.8836*LN(O4)+0.284)</f>
        <v>0.34923706701204527</v>
      </c>
      <c r="Q4" s="20">
        <f t="shared" ref="Q4:Q34" si="2">(O4+P4)*0.475*44/12</f>
        <v>1.8807855723271203</v>
      </c>
      <c r="R4" s="59">
        <f t="shared" si="0"/>
        <v>259.76967446121597</v>
      </c>
      <c r="S4" s="59">
        <f ca="1">AVERAGE(OFFSET($R$3,0,0,'Données projet'!$E$9+1,1))-AVERAGE(OFFSET($H$3,0,0,'Données projet'!$E$9+1,1))</f>
        <v>134.64362224914908</v>
      </c>
      <c r="T4" s="59">
        <f>$T$3</f>
        <v>312.46749071109713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10.683760683333334</v>
      </c>
      <c r="AI4" s="13">
        <f>IF('Données projet'!$A$62&gt;35,AI3+AH4-AQ3,IF(A4&lt;'Données projet'!$A$62,$AF$205^A4,IF(A4='Données projet'!$A$62,'Données projet'!$B$62,AI3+AH4-AQ3)))</f>
        <v>1.660847009958063</v>
      </c>
      <c r="AJ4" s="13">
        <f>AI4*VLOOKUP('Données projet'!$B$10,Paramètres!$A$1:$I$89,3,0)*VLOOKUP('Données projet'!$B$10,Paramètres!$A$1:$I$89,5,0)</f>
        <v>0.7902310073380463</v>
      </c>
      <c r="AK4" s="13">
        <f>EXP(-1.0587+0.8836*LN(AJ4)+0.284)</f>
        <v>0.37428942607130294</v>
      </c>
      <c r="AL4" s="20">
        <f t="shared" ref="AL4:AL67" si="4">(AJ4+AK4)*0.475*44/12</f>
        <v>2.0282064215212832</v>
      </c>
      <c r="AM4" s="59">
        <f t="shared" ref="AM4:AM67" si="5">AL4+(AD4+AE4)*44/12</f>
        <v>259.91709531041016</v>
      </c>
      <c r="AN4" s="59">
        <f ca="1">AVERAGE(OFFSET($AM$3,0,0,'Données projet'!$E$10+1,1))-AVERAGE(OFFSET($H$3,0,0,'Données projet'!$E$10+1,1))</f>
        <v>144.46767095844729</v>
      </c>
      <c r="AO4" s="59">
        <f>$AO$3</f>
        <v>335.56739599097097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10.683760683333334</v>
      </c>
      <c r="BD4" s="12">
        <f>IF('Données projet'!$A$88&gt;35,BD3+BC4-BL3,IF(A4&lt;'Données projet'!$A$88,$BA$205^A4,IF(A4='Données projet'!$A$88,'Données projet'!$B$88,BD3+BC4-BL3)))</f>
        <v>1.660847009958063</v>
      </c>
      <c r="BE4" s="13">
        <f>BD4*VLOOKUP('Données projet'!$B$11,Paramètres!$A$1:$I$89,3,0)*VLOOKUP('Données projet'!$B$11,Paramètres!$A$1:$I$89,5,0)</f>
        <v>0.7902310073380463</v>
      </c>
      <c r="BF4" s="13">
        <f>EXP(-1.0587+0.8836*LN(BE4)+0.284)</f>
        <v>0.37428942607130294</v>
      </c>
      <c r="BG4" s="20">
        <f t="shared" ref="BG4:BG67" si="7">(BE4+BF4)*0.475*44/12</f>
        <v>2.0282064215212832</v>
      </c>
      <c r="BH4" s="59">
        <f t="shared" ref="BH4:BH67" si="8">BG4+(AY4+AZ4)*44/12</f>
        <v>259.91709531041016</v>
      </c>
      <c r="BI4" s="59">
        <f ca="1">AVERAGE(OFFSET($BH$3,0,0,'Données projet'!$E$11+1,1))-AVERAGE(OFFSET($H$3,0,0,'Données projet'!$E$11+1,1))</f>
        <v>110.21219780294564</v>
      </c>
      <c r="BJ4" s="59">
        <f>$BJ$3</f>
        <v>310.34820112478593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10.683760683333334</v>
      </c>
      <c r="BY4" s="12">
        <f>IF('Données projet'!$A$114&gt;35,BY3+BX4-CG3,IF(A4&lt;'Données projet'!$A$114,$BV$205^A4,IF(A4='Données projet'!$A$114,'Données projet'!$B$114,BY3+BX4-CG3)))</f>
        <v>1.660847009958063</v>
      </c>
      <c r="BZ4" s="13">
        <f>BY4*VLOOKUP('Données projet'!$B$12,Paramètres!$A$1:$I$89,3,0)*VLOOKUP('Données projet'!$B$12,Paramètres!$A$1:$I$89,5,0)</f>
        <v>0.73063981662075106</v>
      </c>
      <c r="CA4" s="13">
        <f>EXP(-1.0587+0.8836*LN(BZ4)+0.284)</f>
        <v>0.34923706701204527</v>
      </c>
      <c r="CB4" s="20">
        <f t="shared" ref="CB4:CB67" si="10">(BZ4+CA4)*0.475*44/12</f>
        <v>1.8807855723271203</v>
      </c>
      <c r="CC4" s="59">
        <f t="shared" ref="CC4:CC67" si="11">CB4+(BT4+BU4)*44/12</f>
        <v>259.76967446121597</v>
      </c>
      <c r="CD4" s="59">
        <f ca="1">AVERAGE(OFFSET($CC$3,0,0,'Données projet'!$E$12+1,1))-AVERAGE(OFFSET($H$3,0,0,'Données projet'!$E$12+1,1))</f>
        <v>102.77795559500703</v>
      </c>
      <c r="CE4" s="59">
        <f>$CE$3</f>
        <v>288.83946957374047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6">
        <f t="shared" si="1"/>
        <v>256.66666666666669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10.683760683333334</v>
      </c>
      <c r="N5" s="13">
        <f>IF('Données projet'!$A$36&gt;35,N4+M5-V4,IF(A5&lt;'Données projet'!$A$36,$K$205^A5,IF(A5='Données projet'!$A$36,'Données projet'!$B$36,N4+M5-V4)))</f>
        <v>2.7584127904866382</v>
      </c>
      <c r="O5" s="13">
        <f>N5*VLOOKUP('Données projet'!$B$9,Paramètres!$A$1:$I$89,3,0)*VLOOKUP('Données projet'!$B$9,Paramètres!$A$1:$I$89,5,0)</f>
        <v>1.2134809547908818</v>
      </c>
      <c r="P5" s="13">
        <f t="shared" ref="P5:P68" si="33">EXP(-1.0587+0.8836*LN(O5)+0.284)</f>
        <v>0.54676863346641957</v>
      </c>
      <c r="Q5" s="20">
        <f t="shared" si="2"/>
        <v>3.0657680328814667</v>
      </c>
      <c r="R5" s="59">
        <f t="shared" si="0"/>
        <v>262.17687914399261</v>
      </c>
      <c r="S5" s="59">
        <f ca="1">AVERAGE(OFFSET($R$3,0,0,'Données projet'!$E$9+1,1))-AVERAGE(OFFSET($H$3,0,0,'Données projet'!$E$9+1,1))</f>
        <v>134.64362224914908</v>
      </c>
      <c r="T5" s="59">
        <f t="shared" ref="T5:T68" si="34">$T$3</f>
        <v>312.46749071109713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10.683760683333334</v>
      </c>
      <c r="AI5" s="13">
        <f>IF('Données projet'!$A$62&gt;35,AI4+AH5-AQ4,IF(A5&lt;'Données projet'!$A$62,$AF$205^A5,IF(A5='Données projet'!$A$62,'Données projet'!$B$62,AI4+AH5-AQ4)))</f>
        <v>2.7584127904866382</v>
      </c>
      <c r="AJ5" s="13">
        <f>AI5*VLOOKUP('Données projet'!$B$10,Paramètres!$A$1:$I$89,3,0)*VLOOKUP('Données projet'!$B$10,Paramètres!$A$1:$I$89,5,0)</f>
        <v>1.3124528057135425</v>
      </c>
      <c r="AK5" s="13">
        <f t="shared" ref="AK5:AK68" si="35">EXP(-1.0587+0.8836*LN(AJ5)+0.284)</f>
        <v>0.58599082784897627</v>
      </c>
      <c r="AL5" s="20">
        <f t="shared" si="4"/>
        <v>3.3064559951213863</v>
      </c>
      <c r="AM5" s="59">
        <f t="shared" si="5"/>
        <v>262.41756710623253</v>
      </c>
      <c r="AN5" s="59">
        <f ca="1">AVERAGE(OFFSET($AM$3,0,0,'Données projet'!$E$10+1,1))-AVERAGE(OFFSET($H$3,0,0,'Données projet'!$E$10+1,1))</f>
        <v>144.46767095844729</v>
      </c>
      <c r="AO5" s="59">
        <f t="shared" ref="AO5:AO68" si="36">$AO$3</f>
        <v>335.56739599097097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10.683760683333334</v>
      </c>
      <c r="BD5" s="12">
        <f>IF('Données projet'!$A$88&gt;35,BD4+BC5-BL4,IF(A5&lt;'Données projet'!$A$88,$BA$205^A5,IF(A5='Données projet'!$A$88,'Données projet'!$B$88,BD4+BC5-BL4)))</f>
        <v>2.7584127904866382</v>
      </c>
      <c r="BE5" s="13">
        <f>BD5*VLOOKUP('Données projet'!$B$11,Paramètres!$A$1:$I$89,3,0)*VLOOKUP('Données projet'!$B$11,Paramètres!$A$1:$I$89,5,0)</f>
        <v>1.3124528057135425</v>
      </c>
      <c r="BF5" s="13">
        <f t="shared" ref="BF5:BF68" si="37">EXP(-1.0587+0.8836*LN(BE5)+0.284)</f>
        <v>0.58599082784897627</v>
      </c>
      <c r="BG5" s="20">
        <f t="shared" si="7"/>
        <v>3.3064559951213863</v>
      </c>
      <c r="BH5" s="59">
        <f t="shared" si="8"/>
        <v>262.41756710623253</v>
      </c>
      <c r="BI5" s="59">
        <f ca="1">AVERAGE(OFFSET($BH$3,0,0,'Données projet'!$E$11+1,1))-AVERAGE(OFFSET($H$3,0,0,'Données projet'!$E$11+1,1))</f>
        <v>110.21219780294564</v>
      </c>
      <c r="BJ5" s="59">
        <f t="shared" ref="BJ5:BJ68" si="38">$BJ$3</f>
        <v>310.34820112478593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10.683760683333334</v>
      </c>
      <c r="BY5" s="12">
        <f>IF('Données projet'!$A$114&gt;35,BY4+BX5-CG4,IF(A5&lt;'Données projet'!$A$114,$BV$205^A5,IF(A5='Données projet'!$A$114,'Données projet'!$B$114,BY4+BX5-CG4)))</f>
        <v>2.7584127904866382</v>
      </c>
      <c r="BZ5" s="13">
        <f>BY5*VLOOKUP('Données projet'!$B$12,Paramètres!$A$1:$I$89,3,0)*VLOOKUP('Données projet'!$B$12,Paramètres!$A$1:$I$89,5,0)</f>
        <v>1.2134809547908818</v>
      </c>
      <c r="CA5" s="13">
        <f t="shared" ref="CA5:CA68" si="39">EXP(-1.0587+0.8836*LN(BZ5)+0.284)</f>
        <v>0.54676863346641957</v>
      </c>
      <c r="CB5" s="20">
        <f t="shared" si="10"/>
        <v>3.0657680328814667</v>
      </c>
      <c r="CC5" s="59">
        <f t="shared" si="11"/>
        <v>262.17687914399261</v>
      </c>
      <c r="CD5" s="59">
        <f ca="1">AVERAGE(OFFSET($CC$3,0,0,'Données projet'!$E$12+1,1))-AVERAGE(OFFSET($H$3,0,0,'Données projet'!$E$12+1,1))</f>
        <v>102.77795559500703</v>
      </c>
      <c r="CE5" s="59">
        <f t="shared" ref="CE5:CE68" si="40">$CE$3</f>
        <v>288.83946957374047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6">
        <f t="shared" si="1"/>
        <v>256.66666666666669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10.683760683333334</v>
      </c>
      <c r="N6" s="13">
        <f>IF('Données projet'!$A$36&gt;35,N5+M6-V5,IF(A6&lt;'Données projet'!$A$36,$K$205^A6,IF(A6='Données projet'!$A$36,'Données projet'!$B$36,N5+M6-V5)))</f>
        <v>4.5813016353098099</v>
      </c>
      <c r="O6" s="13">
        <f>N6*VLOOKUP('Données projet'!$B$9,Paramètres!$A$1:$I$89,3,0)*VLOOKUP('Données projet'!$B$9,Paramètres!$A$1:$I$89,5,0)</f>
        <v>2.0154062154054917</v>
      </c>
      <c r="P6" s="13">
        <f t="shared" si="33"/>
        <v>0.85602579674747081</v>
      </c>
      <c r="Q6" s="20">
        <f t="shared" si="2"/>
        <v>5.0010774211664097</v>
      </c>
      <c r="R6" s="59">
        <f t="shared" si="0"/>
        <v>265.33441075449974</v>
      </c>
      <c r="S6" s="59">
        <f ca="1">AVERAGE(OFFSET($R$3,0,0,'Données projet'!$E$9+1,1))-AVERAGE(OFFSET($H$3,0,0,'Données projet'!$E$9+1,1))</f>
        <v>134.64362224914908</v>
      </c>
      <c r="T6" s="59">
        <f t="shared" si="34"/>
        <v>312.46749071109713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10.683760683333334</v>
      </c>
      <c r="AI6" s="13">
        <f>IF('Données projet'!$A$62&gt;35,AI5+AH6-AQ5,IF(A6&lt;'Données projet'!$A$62,$AF$205^A6,IF(A6='Données projet'!$A$62,'Données projet'!$B$62,AI5+AH6-AQ5)))</f>
        <v>4.5813016353098099</v>
      </c>
      <c r="AJ6" s="13">
        <f>AI6*VLOOKUP('Données projet'!$B$10,Paramètres!$A$1:$I$89,3,0)*VLOOKUP('Données projet'!$B$10,Paramètres!$A$1:$I$89,5,0)</f>
        <v>2.1797833180804078</v>
      </c>
      <c r="AK6" s="13">
        <f t="shared" si="35"/>
        <v>0.91743241033400957</v>
      </c>
      <c r="AL6" s="20">
        <f t="shared" si="4"/>
        <v>5.3943173936551103</v>
      </c>
      <c r="AM6" s="59">
        <f t="shared" si="5"/>
        <v>265.72765072698843</v>
      </c>
      <c r="AN6" s="59">
        <f ca="1">AVERAGE(OFFSET($AM$3,0,0,'Données projet'!$E$10+1,1))-AVERAGE(OFFSET($H$3,0,0,'Données projet'!$E$10+1,1))</f>
        <v>144.46767095844729</v>
      </c>
      <c r="AO6" s="59">
        <f t="shared" si="36"/>
        <v>335.56739599097097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10.683760683333334</v>
      </c>
      <c r="BD6" s="12">
        <f>IF('Données projet'!$A$88&gt;35,BD5+BC6-BL5,IF(A6&lt;'Données projet'!$A$88,$BA$205^A6,IF(A6='Données projet'!$A$88,'Données projet'!$B$88,BD5+BC6-BL5)))</f>
        <v>4.5813016353098099</v>
      </c>
      <c r="BE6" s="13">
        <f>BD6*VLOOKUP('Données projet'!$B$11,Paramètres!$A$1:$I$89,3,0)*VLOOKUP('Données projet'!$B$11,Paramètres!$A$1:$I$89,5,0)</f>
        <v>2.1797833180804078</v>
      </c>
      <c r="BF6" s="13">
        <f t="shared" si="37"/>
        <v>0.91743241033400957</v>
      </c>
      <c r="BG6" s="20">
        <f t="shared" si="7"/>
        <v>5.3943173936551103</v>
      </c>
      <c r="BH6" s="59">
        <f t="shared" si="8"/>
        <v>265.72765072698843</v>
      </c>
      <c r="BI6" s="59">
        <f ca="1">AVERAGE(OFFSET($BH$3,0,0,'Données projet'!$E$11+1,1))-AVERAGE(OFFSET($H$3,0,0,'Données projet'!$E$11+1,1))</f>
        <v>110.21219780294564</v>
      </c>
      <c r="BJ6" s="59">
        <f t="shared" si="38"/>
        <v>310.34820112478593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10.683760683333334</v>
      </c>
      <c r="BY6" s="12">
        <f>IF('Données projet'!$A$114&gt;35,BY5+BX6-CG5,IF(A6&lt;'Données projet'!$A$114,$BV$205^A6,IF(A6='Données projet'!$A$114,'Données projet'!$B$114,BY5+BX6-CG5)))</f>
        <v>4.5813016353098099</v>
      </c>
      <c r="BZ6" s="13">
        <f>BY6*VLOOKUP('Données projet'!$B$12,Paramètres!$A$1:$I$89,3,0)*VLOOKUP('Données projet'!$B$12,Paramètres!$A$1:$I$89,5,0)</f>
        <v>2.0154062154054917</v>
      </c>
      <c r="CA6" s="13">
        <f t="shared" si="39"/>
        <v>0.85602579674747081</v>
      </c>
      <c r="CB6" s="20">
        <f t="shared" si="10"/>
        <v>5.0010774211664097</v>
      </c>
      <c r="CC6" s="59">
        <f t="shared" si="11"/>
        <v>265.33441075449974</v>
      </c>
      <c r="CD6" s="59">
        <f ca="1">AVERAGE(OFFSET($CC$3,0,0,'Données projet'!$E$12+1,1))-AVERAGE(OFFSET($H$3,0,0,'Données projet'!$E$12+1,1))</f>
        <v>102.77795559500703</v>
      </c>
      <c r="CE6" s="59">
        <f t="shared" si="40"/>
        <v>288.83946957374047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6">
        <f t="shared" si="1"/>
        <v>256.66666666666669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10.683760683333334</v>
      </c>
      <c r="N7" s="13">
        <f>IF('Données projet'!$A$36&gt;35,N6+M7-V6,IF(A7&lt;'Données projet'!$A$36,$K$205^A7,IF(A7='Données projet'!$A$36,'Données projet'!$B$36,N6+M7-V6)))</f>
        <v>7.6088411227202828</v>
      </c>
      <c r="O7" s="13">
        <f>N7*VLOOKUP('Données projet'!$B$9,Paramètres!$A$1:$I$89,3,0)*VLOOKUP('Données projet'!$B$9,Paramètres!$A$1:$I$89,5,0)</f>
        <v>3.3472813867071065</v>
      </c>
      <c r="P7" s="13">
        <f t="shared" si="33"/>
        <v>1.3402015401860954</v>
      </c>
      <c r="Q7" s="20">
        <f t="shared" si="2"/>
        <v>8.1640327643389909</v>
      </c>
      <c r="R7" s="59">
        <f t="shared" si="0"/>
        <v>269.71958831989451</v>
      </c>
      <c r="S7" s="59">
        <f ca="1">AVERAGE(OFFSET($R$3,0,0,'Données projet'!$E$9+1,1))-AVERAGE(OFFSET($H$3,0,0,'Données projet'!$E$9+1,1))</f>
        <v>134.64362224914908</v>
      </c>
      <c r="T7" s="59">
        <f t="shared" si="34"/>
        <v>312.46749071109713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10.683760683333334</v>
      </c>
      <c r="AI7" s="13">
        <f>IF('Données projet'!$A$62&gt;35,AI6+AH7-AQ6,IF(A7&lt;'Données projet'!$A$62,$AF$205^A7,IF(A7='Données projet'!$A$62,'Données projet'!$B$62,AI6+AH7-AQ6)))</f>
        <v>7.6088411227202828</v>
      </c>
      <c r="AJ7" s="13">
        <f>AI7*VLOOKUP('Données projet'!$B$10,Paramètres!$A$1:$I$89,3,0)*VLOOKUP('Données projet'!$B$10,Paramètres!$A$1:$I$89,5,0)</f>
        <v>3.620286606190311</v>
      </c>
      <c r="AK7" s="13">
        <f t="shared" si="35"/>
        <v>1.4363402762136614</v>
      </c>
      <c r="AL7" s="20">
        <f t="shared" si="4"/>
        <v>8.8069584868535866</v>
      </c>
      <c r="AM7" s="59">
        <f t="shared" si="5"/>
        <v>270.36251404240915</v>
      </c>
      <c r="AN7" s="59">
        <f ca="1">AVERAGE(OFFSET($AM$3,0,0,'Données projet'!$E$10+1,1))-AVERAGE(OFFSET($H$3,0,0,'Données projet'!$E$10+1,1))</f>
        <v>144.46767095844729</v>
      </c>
      <c r="AO7" s="59">
        <f t="shared" si="36"/>
        <v>335.56739599097097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10.683760683333334</v>
      </c>
      <c r="BD7" s="12">
        <f>IF('Données projet'!$A$88&gt;35,BD6+BC7-BL6,IF(A7&lt;'Données projet'!$A$88,$BA$205^A7,IF(A7='Données projet'!$A$88,'Données projet'!$B$88,BD6+BC7-BL6)))</f>
        <v>7.6088411227202828</v>
      </c>
      <c r="BE7" s="13">
        <f>BD7*VLOOKUP('Données projet'!$B$11,Paramètres!$A$1:$I$89,3,0)*VLOOKUP('Données projet'!$B$11,Paramètres!$A$1:$I$89,5,0)</f>
        <v>3.620286606190311</v>
      </c>
      <c r="BF7" s="13">
        <f t="shared" si="37"/>
        <v>1.4363402762136614</v>
      </c>
      <c r="BG7" s="20">
        <f t="shared" si="7"/>
        <v>8.8069584868535866</v>
      </c>
      <c r="BH7" s="59">
        <f t="shared" si="8"/>
        <v>270.36251404240915</v>
      </c>
      <c r="BI7" s="59">
        <f ca="1">AVERAGE(OFFSET($BH$3,0,0,'Données projet'!$E$11+1,1))-AVERAGE(OFFSET($H$3,0,0,'Données projet'!$E$11+1,1))</f>
        <v>110.21219780294564</v>
      </c>
      <c r="BJ7" s="59">
        <f t="shared" si="38"/>
        <v>310.34820112478593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10.683760683333334</v>
      </c>
      <c r="BY7" s="12">
        <f>IF('Données projet'!$A$114&gt;35,BY6+BX7-CG6,IF(A7&lt;'Données projet'!$A$114,$BV$205^A7,IF(A7='Données projet'!$A$114,'Données projet'!$B$114,BY6+BX7-CG6)))</f>
        <v>7.6088411227202828</v>
      </c>
      <c r="BZ7" s="13">
        <f>BY7*VLOOKUP('Données projet'!$B$12,Paramètres!$A$1:$I$89,3,0)*VLOOKUP('Données projet'!$B$12,Paramètres!$A$1:$I$89,5,0)</f>
        <v>3.3472813867071065</v>
      </c>
      <c r="CA7" s="13">
        <f t="shared" si="39"/>
        <v>1.3402015401860954</v>
      </c>
      <c r="CB7" s="20">
        <f t="shared" si="10"/>
        <v>8.1640327643389909</v>
      </c>
      <c r="CC7" s="59">
        <f t="shared" si="11"/>
        <v>269.71958831989451</v>
      </c>
      <c r="CD7" s="59">
        <f ca="1">AVERAGE(OFFSET($CC$3,0,0,'Données projet'!$E$12+1,1))-AVERAGE(OFFSET($H$3,0,0,'Données projet'!$E$12+1,1))</f>
        <v>102.77795559500703</v>
      </c>
      <c r="CE7" s="59">
        <f t="shared" si="40"/>
        <v>288.83946957374047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6">
        <f t="shared" si="1"/>
        <v>256.66666666666669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10.683760683333334</v>
      </c>
      <c r="N8" s="13">
        <f>IF('Données projet'!$A$36&gt;35,N7+M8-V7,IF(A8&lt;'Données projet'!$A$36,$K$205^A8,IF(A8='Données projet'!$A$36,'Données projet'!$B$36,N7+M8-V7)))</f>
        <v>12.637121027915933</v>
      </c>
      <c r="O8" s="13">
        <f>N8*VLOOKUP('Données projet'!$B$9,Paramètres!$A$1:$I$89,3,0)*VLOOKUP('Données projet'!$B$9,Paramètres!$A$1:$I$89,5,0)</f>
        <v>5.5593222826007773</v>
      </c>
      <c r="P8" s="13">
        <f t="shared" si="33"/>
        <v>2.0982313560429389</v>
      </c>
      <c r="Q8" s="20">
        <f t="shared" si="2"/>
        <v>13.336905920637804</v>
      </c>
      <c r="R8" s="59">
        <f t="shared" si="0"/>
        <v>276.11468369841555</v>
      </c>
      <c r="S8" s="59">
        <f ca="1">AVERAGE(OFFSET($R$3,0,0,'Données projet'!$E$9+1,1))-AVERAGE(OFFSET($H$3,0,0,'Données projet'!$E$9+1,1))</f>
        <v>134.64362224914908</v>
      </c>
      <c r="T8" s="59">
        <f t="shared" si="34"/>
        <v>312.46749071109713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10.683760683333334</v>
      </c>
      <c r="AI8" s="13">
        <f>IF('Données projet'!$A$62&gt;35,AI7+AH8-AQ7,IF(A8&lt;'Données projet'!$A$62,$AF$205^A8,IF(A8='Données projet'!$A$62,'Données projet'!$B$62,AI7+AH8-AQ7)))</f>
        <v>12.637121027915933</v>
      </c>
      <c r="AJ8" s="13">
        <f>AI8*VLOOKUP('Données projet'!$B$10,Paramètres!$A$1:$I$89,3,0)*VLOOKUP('Données projet'!$B$10,Paramètres!$A$1:$I$89,5,0)</f>
        <v>6.0127421850824012</v>
      </c>
      <c r="AK8" s="13">
        <f t="shared" si="35"/>
        <v>2.2487470094090458</v>
      </c>
      <c r="AL8" s="20">
        <f t="shared" si="4"/>
        <v>14.3887603470726</v>
      </c>
      <c r="AM8" s="59">
        <f t="shared" si="5"/>
        <v>277.16653812485038</v>
      </c>
      <c r="AN8" s="59">
        <f ca="1">AVERAGE(OFFSET($AM$3,0,0,'Données projet'!$E$10+1,1))-AVERAGE(OFFSET($H$3,0,0,'Données projet'!$E$10+1,1))</f>
        <v>144.46767095844729</v>
      </c>
      <c r="AO8" s="59">
        <f t="shared" si="36"/>
        <v>335.56739599097097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10.683760683333334</v>
      </c>
      <c r="BD8" s="12">
        <f>IF('Données projet'!$A$88&gt;35,BD7+BC8-BL7,IF(A8&lt;'Données projet'!$A$88,$BA$205^A8,IF(A8='Données projet'!$A$88,'Données projet'!$B$88,BD7+BC8-BL7)))</f>
        <v>12.637121027915933</v>
      </c>
      <c r="BE8" s="13">
        <f>BD8*VLOOKUP('Données projet'!$B$11,Paramètres!$A$1:$I$89,3,0)*VLOOKUP('Données projet'!$B$11,Paramètres!$A$1:$I$89,5,0)</f>
        <v>6.0127421850824012</v>
      </c>
      <c r="BF8" s="13">
        <f t="shared" si="37"/>
        <v>2.2487470094090458</v>
      </c>
      <c r="BG8" s="20">
        <f t="shared" si="7"/>
        <v>14.3887603470726</v>
      </c>
      <c r="BH8" s="59">
        <f t="shared" si="8"/>
        <v>277.16653812485038</v>
      </c>
      <c r="BI8" s="59">
        <f ca="1">AVERAGE(OFFSET($BH$3,0,0,'Données projet'!$E$11+1,1))-AVERAGE(OFFSET($H$3,0,0,'Données projet'!$E$11+1,1))</f>
        <v>110.21219780294564</v>
      </c>
      <c r="BJ8" s="59">
        <f t="shared" si="38"/>
        <v>310.34820112478593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10.683760683333334</v>
      </c>
      <c r="BY8" s="12">
        <f>IF('Données projet'!$A$114&gt;35,BY7+BX8-CG7,IF(A8&lt;'Données projet'!$A$114,$BV$205^A8,IF(A8='Données projet'!$A$114,'Données projet'!$B$114,BY7+BX8-CG7)))</f>
        <v>12.637121027915933</v>
      </c>
      <c r="BZ8" s="13">
        <f>BY8*VLOOKUP('Données projet'!$B$12,Paramètres!$A$1:$I$89,3,0)*VLOOKUP('Données projet'!$B$12,Paramètres!$A$1:$I$89,5,0)</f>
        <v>5.5593222826007773</v>
      </c>
      <c r="CA8" s="13">
        <f t="shared" si="39"/>
        <v>2.0982313560429389</v>
      </c>
      <c r="CB8" s="20">
        <f t="shared" si="10"/>
        <v>13.336905920637804</v>
      </c>
      <c r="CC8" s="59">
        <f t="shared" si="11"/>
        <v>276.11468369841555</v>
      </c>
      <c r="CD8" s="59">
        <f ca="1">AVERAGE(OFFSET($CC$3,0,0,'Données projet'!$E$12+1,1))-AVERAGE(OFFSET($H$3,0,0,'Données projet'!$E$12+1,1))</f>
        <v>102.77795559500703</v>
      </c>
      <c r="CE8" s="59">
        <f t="shared" si="40"/>
        <v>288.83946957374047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6">
        <f t="shared" si="1"/>
        <v>256.66666666666669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10.683760683333334</v>
      </c>
      <c r="N9" s="13">
        <f>IF('Données projet'!$A$36&gt;35,N8+M9-V8,IF(A9&lt;'Données projet'!$A$36,$K$205^A9,IF(A9='Données projet'!$A$36,'Données projet'!$B$36,N8+M9-V8)))</f>
        <v>20.98832467369234</v>
      </c>
      <c r="O9" s="13">
        <f>N9*VLOOKUP('Données projet'!$B$9,Paramètres!$A$1:$I$89,3,0)*VLOOKUP('Données projet'!$B$9,Paramètres!$A$1:$I$89,5,0)</f>
        <v>9.2331837904507346</v>
      </c>
      <c r="P9" s="13">
        <f t="shared" si="33"/>
        <v>3.2850095239186663</v>
      </c>
      <c r="Q9" s="20">
        <f t="shared" si="2"/>
        <v>21.802520022526707</v>
      </c>
      <c r="R9" s="59">
        <f t="shared" si="0"/>
        <v>285.80252002252672</v>
      </c>
      <c r="S9" s="59">
        <f ca="1">AVERAGE(OFFSET($R$3,0,0,'Données projet'!$E$9+1,1))-AVERAGE(OFFSET($H$3,0,0,'Données projet'!$E$9+1,1))</f>
        <v>134.64362224914908</v>
      </c>
      <c r="T9" s="59">
        <f t="shared" si="34"/>
        <v>312.46749071109713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10.683760683333334</v>
      </c>
      <c r="AI9" s="13">
        <f>IF('Données projet'!$A$62&gt;35,AI8+AH9-AQ8,IF(A9&lt;'Données projet'!$A$62,$AF$205^A9,IF(A9='Données projet'!$A$62,'Données projet'!$B$62,AI8+AH9-AQ8)))</f>
        <v>20.98832467369234</v>
      </c>
      <c r="AJ9" s="13">
        <f>AI9*VLOOKUP('Données projet'!$B$10,Paramètres!$A$1:$I$89,3,0)*VLOOKUP('Données projet'!$B$10,Paramètres!$A$1:$I$89,5,0)</f>
        <v>9.9862448797428147</v>
      </c>
      <c r="AK9" s="13">
        <f t="shared" si="35"/>
        <v>3.5206581588427848</v>
      </c>
      <c r="AL9" s="20">
        <f t="shared" si="4"/>
        <v>23.524522792203253</v>
      </c>
      <c r="AM9" s="59">
        <f t="shared" si="5"/>
        <v>287.52452279220324</v>
      </c>
      <c r="AN9" s="59">
        <f ca="1">AVERAGE(OFFSET($AM$3,0,0,'Données projet'!$E$10+1,1))-AVERAGE(OFFSET($H$3,0,0,'Données projet'!$E$10+1,1))</f>
        <v>144.46767095844729</v>
      </c>
      <c r="AO9" s="59">
        <f t="shared" si="36"/>
        <v>335.56739599097097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10.683760683333334</v>
      </c>
      <c r="BD9" s="12">
        <f>IF('Données projet'!$A$88&gt;35,BD8+BC9-BL8,IF(A9&lt;'Données projet'!$A$88,$BA$205^A9,IF(A9='Données projet'!$A$88,'Données projet'!$B$88,BD8+BC9-BL8)))</f>
        <v>20.98832467369234</v>
      </c>
      <c r="BE9" s="13">
        <f>BD9*VLOOKUP('Données projet'!$B$11,Paramètres!$A$1:$I$89,3,0)*VLOOKUP('Données projet'!$B$11,Paramètres!$A$1:$I$89,5,0)</f>
        <v>9.9862448797428147</v>
      </c>
      <c r="BF9" s="13">
        <f t="shared" si="37"/>
        <v>3.5206581588427848</v>
      </c>
      <c r="BG9" s="20">
        <f t="shared" si="7"/>
        <v>23.524522792203253</v>
      </c>
      <c r="BH9" s="59">
        <f t="shared" si="8"/>
        <v>287.52452279220324</v>
      </c>
      <c r="BI9" s="59">
        <f ca="1">AVERAGE(OFFSET($BH$3,0,0,'Données projet'!$E$11+1,1))-AVERAGE(OFFSET($H$3,0,0,'Données projet'!$E$11+1,1))</f>
        <v>110.21219780294564</v>
      </c>
      <c r="BJ9" s="59">
        <f t="shared" si="38"/>
        <v>310.34820112478593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10.683760683333334</v>
      </c>
      <c r="BY9" s="12">
        <f>IF('Données projet'!$A$114&gt;35,BY8+BX9-CG8,IF(A9&lt;'Données projet'!$A$114,$BV$205^A9,IF(A9='Données projet'!$A$114,'Données projet'!$B$114,BY8+BX9-CG8)))</f>
        <v>20.98832467369234</v>
      </c>
      <c r="BZ9" s="13">
        <f>BY9*VLOOKUP('Données projet'!$B$12,Paramètres!$A$1:$I$89,3,0)*VLOOKUP('Données projet'!$B$12,Paramètres!$A$1:$I$89,5,0)</f>
        <v>9.2331837904507346</v>
      </c>
      <c r="CA9" s="13">
        <f t="shared" si="39"/>
        <v>3.2850095239186663</v>
      </c>
      <c r="CB9" s="20">
        <f t="shared" si="10"/>
        <v>21.802520022526707</v>
      </c>
      <c r="CC9" s="59">
        <f t="shared" si="11"/>
        <v>285.80252002252672</v>
      </c>
      <c r="CD9" s="59">
        <f ca="1">AVERAGE(OFFSET($CC$3,0,0,'Données projet'!$E$12+1,1))-AVERAGE(OFFSET($H$3,0,0,'Données projet'!$E$12+1,1))</f>
        <v>102.77795559500703</v>
      </c>
      <c r="CE9" s="59">
        <f t="shared" si="40"/>
        <v>288.83946957374047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6">
        <f t="shared" si="1"/>
        <v>256.66666666666669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10.683760683333334</v>
      </c>
      <c r="N10" s="13">
        <f>IF('Données projet'!$A$36&gt;35,N9+M10-V9,IF(A10&lt;'Données projet'!$A$36,$K$205^A10,IF(A10='Données projet'!$A$36,'Données projet'!$B$36,N9+M10-V9)))</f>
        <v>34.858396278330964</v>
      </c>
      <c r="O10" s="13">
        <f>N10*VLOOKUP('Données projet'!$B$9,Paramètres!$A$1:$I$89,3,0)*VLOOKUP('Données projet'!$B$9,Paramètres!$A$1:$I$89,5,0)</f>
        <v>15.334905690763357</v>
      </c>
      <c r="P10" s="13">
        <f t="shared" si="33"/>
        <v>5.1430398946032652</v>
      </c>
      <c r="Q10" s="20">
        <f t="shared" si="2"/>
        <v>35.665755227846866</v>
      </c>
      <c r="R10" s="59">
        <f t="shared" si="0"/>
        <v>300.88797745006912</v>
      </c>
      <c r="S10" s="59">
        <f ca="1">AVERAGE(OFFSET($R$3,0,0,'Données projet'!$E$9+1,1))-AVERAGE(OFFSET($H$3,0,0,'Données projet'!$E$9+1,1))</f>
        <v>134.64362224914908</v>
      </c>
      <c r="T10" s="59">
        <f t="shared" si="34"/>
        <v>312.46749071109713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10.683760683333334</v>
      </c>
      <c r="AI10" s="13">
        <f>IF('Données projet'!$A$62&gt;35,AI9+AH10-AQ9,IF(A10&lt;'Données projet'!$A$62,$AF$205^A10,IF(A10='Données projet'!$A$62,'Données projet'!$B$62,AI9+AH10-AQ9)))</f>
        <v>34.858396278330964</v>
      </c>
      <c r="AJ10" s="13">
        <f>AI10*VLOOKUP('Données projet'!$B$10,Paramètres!$A$1:$I$89,3,0)*VLOOKUP('Données projet'!$B$10,Paramètres!$A$1:$I$89,5,0)</f>
        <v>16.585624949229874</v>
      </c>
      <c r="AK10" s="13">
        <f t="shared" si="35"/>
        <v>5.511973476591125</v>
      </c>
      <c r="AL10" s="20">
        <f t="shared" si="4"/>
        <v>38.486650591638238</v>
      </c>
      <c r="AM10" s="59">
        <f t="shared" si="5"/>
        <v>303.70887281386047</v>
      </c>
      <c r="AN10" s="59">
        <f ca="1">AVERAGE(OFFSET($AM$3,0,0,'Données projet'!$E$10+1,1))-AVERAGE(OFFSET($H$3,0,0,'Données projet'!$E$10+1,1))</f>
        <v>144.46767095844729</v>
      </c>
      <c r="AO10" s="59">
        <f t="shared" si="36"/>
        <v>335.56739599097097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10.683760683333334</v>
      </c>
      <c r="BD10" s="12">
        <f>IF('Données projet'!$A$88&gt;35,BD9+BC10-BL9,IF(A10&lt;'Données projet'!$A$88,$BA$205^A10,IF(A10='Données projet'!$A$88,'Données projet'!$B$88,BD9+BC10-BL9)))</f>
        <v>34.858396278330964</v>
      </c>
      <c r="BE10" s="13">
        <f>BD10*VLOOKUP('Données projet'!$B$11,Paramètres!$A$1:$I$89,3,0)*VLOOKUP('Données projet'!$B$11,Paramètres!$A$1:$I$89,5,0)</f>
        <v>16.585624949229874</v>
      </c>
      <c r="BF10" s="13">
        <f t="shared" si="37"/>
        <v>5.511973476591125</v>
      </c>
      <c r="BG10" s="20">
        <f t="shared" si="7"/>
        <v>38.486650591638238</v>
      </c>
      <c r="BH10" s="59">
        <f t="shared" si="8"/>
        <v>303.70887281386047</v>
      </c>
      <c r="BI10" s="59">
        <f ca="1">AVERAGE(OFFSET($BH$3,0,0,'Données projet'!$E$11+1,1))-AVERAGE(OFFSET($H$3,0,0,'Données projet'!$E$11+1,1))</f>
        <v>110.21219780294564</v>
      </c>
      <c r="BJ10" s="59">
        <f t="shared" si="38"/>
        <v>310.34820112478593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10.683760683333334</v>
      </c>
      <c r="BY10" s="12">
        <f>IF('Données projet'!$A$114&gt;35,BY9+BX10-CG9,IF(A10&lt;'Données projet'!$A$114,$BV$205^A10,IF(A10='Données projet'!$A$114,'Données projet'!$B$114,BY9+BX10-CG9)))</f>
        <v>34.858396278330964</v>
      </c>
      <c r="BZ10" s="13">
        <f>BY10*VLOOKUP('Données projet'!$B$12,Paramètres!$A$1:$I$89,3,0)*VLOOKUP('Données projet'!$B$12,Paramètres!$A$1:$I$89,5,0)</f>
        <v>15.334905690763357</v>
      </c>
      <c r="CA10" s="13">
        <f t="shared" si="39"/>
        <v>5.1430398946032652</v>
      </c>
      <c r="CB10" s="20">
        <f t="shared" si="10"/>
        <v>35.665755227846866</v>
      </c>
      <c r="CC10" s="59">
        <f t="shared" si="11"/>
        <v>300.88797745006912</v>
      </c>
      <c r="CD10" s="59">
        <f ca="1">AVERAGE(OFFSET($CC$3,0,0,'Données projet'!$E$12+1,1))-AVERAGE(OFFSET($H$3,0,0,'Données projet'!$E$12+1,1))</f>
        <v>102.77795559500703</v>
      </c>
      <c r="CE10" s="59">
        <f t="shared" si="40"/>
        <v>288.83946957374047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6">
        <f t="shared" si="1"/>
        <v>256.66666666666669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10.683760683333334</v>
      </c>
      <c r="N11" s="13">
        <f>IF('Données projet'!$A$36&gt;35,N10+M11-V10,IF(A11&lt;'Données projet'!$A$36,$K$205^A11,IF(A11='Données projet'!$A$36,'Données projet'!$B$36,N10+M11-V10)))</f>
        <v>57.894463230799253</v>
      </c>
      <c r="O11" s="13">
        <f>N11*VLOOKUP('Données projet'!$B$9,Paramètres!$A$1:$I$89,3,0)*VLOOKUP('Données projet'!$B$9,Paramètres!$A$1:$I$89,5,0)</f>
        <v>25.468932264493208</v>
      </c>
      <c r="P11" s="13">
        <f t="shared" si="33"/>
        <v>8.0519886365284279</v>
      </c>
      <c r="Q11" s="20">
        <f t="shared" si="2"/>
        <v>58.382270569279349</v>
      </c>
      <c r="R11" s="59">
        <f t="shared" si="0"/>
        <v>324.8267150137238</v>
      </c>
      <c r="S11" s="59">
        <f ca="1">AVERAGE(OFFSET($R$3,0,0,'Données projet'!$E$9+1,1))-AVERAGE(OFFSET($H$3,0,0,'Données projet'!$E$9+1,1))</f>
        <v>134.64362224914908</v>
      </c>
      <c r="T11" s="59">
        <f t="shared" si="34"/>
        <v>312.46749071109713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10.683760683333334</v>
      </c>
      <c r="AI11" s="13">
        <f>IF('Données projet'!$A$62&gt;35,AI10+AH11-AQ10,IF(A11&lt;'Données projet'!$A$62,$AF$205^A11,IF(A11='Données projet'!$A$62,'Données projet'!$B$62,AI10+AH11-AQ10)))</f>
        <v>57.894463230799253</v>
      </c>
      <c r="AJ11" s="13">
        <f>AI11*VLOOKUP('Données projet'!$B$10,Paramètres!$A$1:$I$89,3,0)*VLOOKUP('Données projet'!$B$10,Paramètres!$A$1:$I$89,5,0)</f>
        <v>27.546185605214287</v>
      </c>
      <c r="AK11" s="13">
        <f t="shared" si="35"/>
        <v>8.6295943076252364</v>
      </c>
      <c r="AL11" s="20">
        <f t="shared" si="4"/>
        <v>63.006150014862165</v>
      </c>
      <c r="AM11" s="59">
        <f t="shared" si="5"/>
        <v>329.45059445930661</v>
      </c>
      <c r="AN11" s="59">
        <f ca="1">AVERAGE(OFFSET($AM$3,0,0,'Données projet'!$E$10+1,1))-AVERAGE(OFFSET($H$3,0,0,'Données projet'!$E$10+1,1))</f>
        <v>144.46767095844729</v>
      </c>
      <c r="AO11" s="59">
        <f t="shared" si="36"/>
        <v>335.56739599097097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10.683760683333334</v>
      </c>
      <c r="BD11" s="12">
        <f>IF('Données projet'!$A$88&gt;35,BD10+BC11-BL10,IF(A11&lt;'Données projet'!$A$88,$BA$205^A11,IF(A11='Données projet'!$A$88,'Données projet'!$B$88,BD10+BC11-BL10)))</f>
        <v>57.894463230799253</v>
      </c>
      <c r="BE11" s="13">
        <f>BD11*VLOOKUP('Données projet'!$B$11,Paramètres!$A$1:$I$89,3,0)*VLOOKUP('Données projet'!$B$11,Paramètres!$A$1:$I$89,5,0)</f>
        <v>27.546185605214287</v>
      </c>
      <c r="BF11" s="13">
        <f t="shared" si="37"/>
        <v>8.6295943076252364</v>
      </c>
      <c r="BG11" s="20">
        <f t="shared" si="7"/>
        <v>63.006150014862165</v>
      </c>
      <c r="BH11" s="59">
        <f t="shared" si="8"/>
        <v>329.45059445930661</v>
      </c>
      <c r="BI11" s="59">
        <f ca="1">AVERAGE(OFFSET($BH$3,0,0,'Données projet'!$E$11+1,1))-AVERAGE(OFFSET($H$3,0,0,'Données projet'!$E$11+1,1))</f>
        <v>110.21219780294564</v>
      </c>
      <c r="BJ11" s="59">
        <f t="shared" si="38"/>
        <v>310.34820112478593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10.683760683333334</v>
      </c>
      <c r="BY11" s="12">
        <f>IF('Données projet'!$A$114&gt;35,BY10+BX11-CG10,IF(A11&lt;'Données projet'!$A$114,$BV$205^A11,IF(A11='Données projet'!$A$114,'Données projet'!$B$114,BY10+BX11-CG10)))</f>
        <v>57.894463230799253</v>
      </c>
      <c r="BZ11" s="13">
        <f>BY11*VLOOKUP('Données projet'!$B$12,Paramètres!$A$1:$I$89,3,0)*VLOOKUP('Données projet'!$B$12,Paramètres!$A$1:$I$89,5,0)</f>
        <v>25.468932264493208</v>
      </c>
      <c r="CA11" s="13">
        <f t="shared" si="39"/>
        <v>8.0519886365284279</v>
      </c>
      <c r="CB11" s="20">
        <f t="shared" si="10"/>
        <v>58.382270569279349</v>
      </c>
      <c r="CC11" s="59">
        <f t="shared" si="11"/>
        <v>324.8267150137238</v>
      </c>
      <c r="CD11" s="59">
        <f ca="1">AVERAGE(OFFSET($CC$3,0,0,'Données projet'!$E$12+1,1))-AVERAGE(OFFSET($H$3,0,0,'Données projet'!$E$12+1,1))</f>
        <v>102.77795559500703</v>
      </c>
      <c r="CE11" s="59">
        <f t="shared" si="40"/>
        <v>288.83946957374047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6">
        <f t="shared" si="1"/>
        <v>256.66666666666669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96.153846150000007</v>
      </c>
      <c r="L12" s="12">
        <f>VLOOKUP(A12,'Données projet'!$A$35:$I$55,9,0)</f>
        <v>10.683760683333334</v>
      </c>
      <c r="M12" s="12">
        <f t="array" ref="M12">INDEX(L:L,MIN(IF(ISNUMBER(L12:L208),ROW(L12:L208),"")))</f>
        <v>10.683760683333334</v>
      </c>
      <c r="N12" s="13">
        <f>IF('Données projet'!$A$36&gt;35,N11+M12-V11,IF(A12&lt;'Données projet'!$A$36,$K$205^A12,IF(A12='Données projet'!$A$36,'Données projet'!$B$36,N11+M12-V11)))</f>
        <v>96.153846150000007</v>
      </c>
      <c r="O12" s="13">
        <f>N12*VLOOKUP('Données projet'!$B$9,Paramètres!$A$1:$I$89,3,0)*VLOOKUP('Données projet'!$B$9,Paramètres!$A$1:$I$89,5,0)</f>
        <v>42.299999998307996</v>
      </c>
      <c r="P12" s="13">
        <f t="shared" si="33"/>
        <v>12.60626445282208</v>
      </c>
      <c r="Q12" s="20">
        <f t="shared" si="2"/>
        <v>95.628410585718214</v>
      </c>
      <c r="R12" s="59">
        <f t="shared" si="0"/>
        <v>363.29507725238489</v>
      </c>
      <c r="S12" s="59">
        <f ca="1">AVERAGE(OFFSET($R$3,0,0,'Données projet'!$E$9+1,1))-AVERAGE(OFFSET($H$3,0,0,'Données projet'!$E$9+1,1))</f>
        <v>134.64362224914908</v>
      </c>
      <c r="T12" s="59">
        <f t="shared" si="34"/>
        <v>312.46749071109713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96.153846150000007</v>
      </c>
      <c r="AG12" s="12">
        <f>VLOOKUP(A12,'Données projet'!$A$61:$I$81,9,0)</f>
        <v>10.683760683333334</v>
      </c>
      <c r="AH12" s="12">
        <f t="array" ref="AH12">INDEX(AG:AG,MIN(IF(ISNUMBER(AG12:AG208),ROW(AG12:AG208),"")))</f>
        <v>10.683760683333334</v>
      </c>
      <c r="AI12" s="13">
        <f>IF('Données projet'!$A$62&gt;35,AI11+AH12-AQ11,IF(A12&lt;'Données projet'!$A$62,$AF$205^A12,IF(A12='Données projet'!$A$62,'Données projet'!$B$62,AI11+AH12-AQ11)))</f>
        <v>96.153846150000007</v>
      </c>
      <c r="AJ12" s="13">
        <f>AI12*VLOOKUP('Données projet'!$B$10,Paramètres!$A$1:$I$89,3,0)*VLOOKUP('Données projet'!$B$10,Paramètres!$A$1:$I$89,5,0)</f>
        <v>45.749999998170004</v>
      </c>
      <c r="AK12" s="13">
        <f t="shared" si="35"/>
        <v>13.510568987761854</v>
      </c>
      <c r="AL12" s="20">
        <f t="shared" si="4"/>
        <v>103.21215765049799</v>
      </c>
      <c r="AM12" s="59">
        <f t="shared" si="5"/>
        <v>370.87882431716469</v>
      </c>
      <c r="AN12" s="59">
        <f ca="1">AVERAGE(OFFSET($AM$3,0,0,'Données projet'!$E$10+1,1))-AVERAGE(OFFSET($H$3,0,0,'Données projet'!$E$10+1,1))</f>
        <v>144.46767095844729</v>
      </c>
      <c r="AO12" s="59">
        <f t="shared" si="36"/>
        <v>335.56739599097097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96.153846150000007</v>
      </c>
      <c r="BB12" s="12">
        <f>VLOOKUP(A12,'Données projet'!$A$87:$I$107,9,0)</f>
        <v>10.683760683333334</v>
      </c>
      <c r="BC12" s="12">
        <f t="array" ref="BC12">INDEX(BB:BB,MIN(IF(ISNUMBER(BB12:BB208),ROW(BB12:BB208),"")))</f>
        <v>10.683760683333334</v>
      </c>
      <c r="BD12" s="12">
        <f>IF('Données projet'!$A$88&gt;35,BD11+BC12-BL11,IF(A12&lt;'Données projet'!$A$88,$BA$205^A12,IF(A12='Données projet'!$A$88,'Données projet'!$B$88,BD11+BC12-BL11)))</f>
        <v>96.153846150000007</v>
      </c>
      <c r="BE12" s="13">
        <f>BD12*VLOOKUP('Données projet'!$B$11,Paramètres!$A$1:$I$89,3,0)*VLOOKUP('Données projet'!$B$11,Paramètres!$A$1:$I$89,5,0)</f>
        <v>45.749999998170004</v>
      </c>
      <c r="BF12" s="13">
        <f t="shared" si="37"/>
        <v>13.510568987761854</v>
      </c>
      <c r="BG12" s="20">
        <f t="shared" si="7"/>
        <v>103.21215765049799</v>
      </c>
      <c r="BH12" s="59">
        <f t="shared" si="8"/>
        <v>370.87882431716469</v>
      </c>
      <c r="BI12" s="59">
        <f ca="1">AVERAGE(OFFSET($BH$3,0,0,'Données projet'!$E$11+1,1))-AVERAGE(OFFSET($H$3,0,0,'Données projet'!$E$11+1,1))</f>
        <v>110.21219780294564</v>
      </c>
      <c r="BJ12" s="59">
        <f t="shared" si="38"/>
        <v>310.34820112478593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>
        <f>VLOOKUP(A12,'Données projet'!$A$113:$I$133,2,0)</f>
        <v>96.153846150000007</v>
      </c>
      <c r="BW12" s="12">
        <f>VLOOKUP(A12,'Données projet'!$A$113:$I$133,9,0)</f>
        <v>10.683760683333334</v>
      </c>
      <c r="BX12" s="12">
        <f t="array" ref="BX12">INDEX(BW:BW,MIN(IF(ISNUMBER(BW12:BW208),ROW(BW12:BW208),"")))</f>
        <v>10.683760683333334</v>
      </c>
      <c r="BY12" s="12">
        <f>IF('Données projet'!$A$114&gt;35,BY11+BX12-CG11,IF(A12&lt;'Données projet'!$A$114,$BV$205^A12,IF(A12='Données projet'!$A$114,'Données projet'!$B$114,BY11+BX12-CG11)))</f>
        <v>96.153846150000007</v>
      </c>
      <c r="BZ12" s="13">
        <f>BY12*VLOOKUP('Données projet'!$B$12,Paramètres!$A$1:$I$89,3,0)*VLOOKUP('Données projet'!$B$12,Paramètres!$A$1:$I$89,5,0)</f>
        <v>42.299999998307996</v>
      </c>
      <c r="CA12" s="13">
        <f t="shared" si="39"/>
        <v>12.60626445282208</v>
      </c>
      <c r="CB12" s="20">
        <f t="shared" si="10"/>
        <v>95.628410585718214</v>
      </c>
      <c r="CC12" s="59">
        <f t="shared" si="11"/>
        <v>363.29507725238489</v>
      </c>
      <c r="CD12" s="59">
        <f ca="1">AVERAGE(OFFSET($CC$3,0,0,'Données projet'!$E$12+1,1))-AVERAGE(OFFSET($H$3,0,0,'Données projet'!$E$12+1,1))</f>
        <v>102.77795559500703</v>
      </c>
      <c r="CE12" s="59">
        <f t="shared" si="40"/>
        <v>288.83946957374047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6">
        <f t="shared" si="1"/>
        <v>256.66666666666669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35.256410250000002</v>
      </c>
      <c r="N13" s="13">
        <f>IF('Données projet'!$A$36&gt;35,N12+M13-V12,IF(A13&lt;'Données projet'!$A$36,$K$205^A13,IF(A13='Données projet'!$A$36,'Données projet'!$B$36,N12+M13-V12)))</f>
        <v>131.41025640000001</v>
      </c>
      <c r="O13" s="13">
        <f>N13*VLOOKUP('Données projet'!$B$9,Paramètres!$A$1:$I$89,3,0)*VLOOKUP('Données projet'!$B$9,Paramètres!$A$1:$I$89,5,0)</f>
        <v>57.809999995487999</v>
      </c>
      <c r="P13" s="13">
        <f t="shared" si="33"/>
        <v>16.613375781433529</v>
      </c>
      <c r="Q13" s="20">
        <f t="shared" si="2"/>
        <v>129.62071281147163</v>
      </c>
      <c r="R13" s="59">
        <f t="shared" si="0"/>
        <v>398.50960170036046</v>
      </c>
      <c r="S13" s="59">
        <f ca="1">AVERAGE(OFFSET($R$3,0,0,'Données projet'!$E$9+1,1))-AVERAGE(OFFSET($H$3,0,0,'Données projet'!$E$9+1,1))</f>
        <v>134.64362224914908</v>
      </c>
      <c r="T13" s="59">
        <f t="shared" si="34"/>
        <v>312.46749071109713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35.256410250000002</v>
      </c>
      <c r="AI13" s="13">
        <f>IF('Données projet'!$A$62&gt;35,AI12+AH13-AQ12,IF(A13&lt;'Données projet'!$A$62,$AF$205^A13,IF(A13='Données projet'!$A$62,'Données projet'!$B$62,AI12+AH13-AQ12)))</f>
        <v>131.41025640000001</v>
      </c>
      <c r="AJ13" s="13">
        <f>AI13*VLOOKUP('Données projet'!$B$10,Paramètres!$A$1:$I$89,3,0)*VLOOKUP('Données projet'!$B$10,Paramètres!$A$1:$I$89,5,0)</f>
        <v>62.524999995120012</v>
      </c>
      <c r="AK13" s="13">
        <f t="shared" si="35"/>
        <v>17.805128589415087</v>
      </c>
      <c r="AL13" s="20">
        <f t="shared" si="4"/>
        <v>139.90830728473193</v>
      </c>
      <c r="AM13" s="59">
        <f t="shared" si="5"/>
        <v>408.79719617362082</v>
      </c>
      <c r="AN13" s="59">
        <f ca="1">AVERAGE(OFFSET($AM$3,0,0,'Données projet'!$E$10+1,1))-AVERAGE(OFFSET($H$3,0,0,'Données projet'!$E$10+1,1))</f>
        <v>144.46767095844729</v>
      </c>
      <c r="AO13" s="59">
        <f t="shared" si="36"/>
        <v>335.56739599097097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35.256410250000002</v>
      </c>
      <c r="BD13" s="12">
        <f>IF('Données projet'!$A$88&gt;35,BD12+BC13-BL12,IF(A13&lt;'Données projet'!$A$88,$BA$205^A13,IF(A13='Données projet'!$A$88,'Données projet'!$B$88,BD12+BC13-BL12)))</f>
        <v>131.41025640000001</v>
      </c>
      <c r="BE13" s="13">
        <f>BD13*VLOOKUP('Données projet'!$B$11,Paramètres!$A$1:$I$89,3,0)*VLOOKUP('Données projet'!$B$11,Paramètres!$A$1:$I$89,5,0)</f>
        <v>62.524999995120012</v>
      </c>
      <c r="BF13" s="13">
        <f t="shared" si="37"/>
        <v>17.805128589415087</v>
      </c>
      <c r="BG13" s="20">
        <f t="shared" si="7"/>
        <v>139.90830728473193</v>
      </c>
      <c r="BH13" s="59">
        <f t="shared" si="8"/>
        <v>408.79719617362082</v>
      </c>
      <c r="BI13" s="59">
        <f ca="1">AVERAGE(OFFSET($BH$3,0,0,'Données projet'!$E$11+1,1))-AVERAGE(OFFSET($H$3,0,0,'Données projet'!$E$11+1,1))</f>
        <v>110.21219780294564</v>
      </c>
      <c r="BJ13" s="59">
        <f t="shared" si="38"/>
        <v>310.34820112478593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35.256410250000002</v>
      </c>
      <c r="BY13" s="12">
        <f>IF('Données projet'!$A$114&gt;35,BY12+BX13-CG12,IF(A13&lt;'Données projet'!$A$114,$BV$205^A13,IF(A13='Données projet'!$A$114,'Données projet'!$B$114,BY12+BX13-CG12)))</f>
        <v>131.41025640000001</v>
      </c>
      <c r="BZ13" s="13">
        <f>BY13*VLOOKUP('Données projet'!$B$12,Paramètres!$A$1:$I$89,3,0)*VLOOKUP('Données projet'!$B$12,Paramètres!$A$1:$I$89,5,0)</f>
        <v>57.809999995487999</v>
      </c>
      <c r="CA13" s="13">
        <f t="shared" si="39"/>
        <v>16.613375781433529</v>
      </c>
      <c r="CB13" s="20">
        <f t="shared" si="10"/>
        <v>129.62071281147163</v>
      </c>
      <c r="CC13" s="59">
        <f t="shared" si="11"/>
        <v>398.50960170036046</v>
      </c>
      <c r="CD13" s="59">
        <f ca="1">AVERAGE(OFFSET($CC$3,0,0,'Données projet'!$E$12+1,1))-AVERAGE(OFFSET($H$3,0,0,'Données projet'!$E$12+1,1))</f>
        <v>102.77795559500703</v>
      </c>
      <c r="CE13" s="59">
        <f t="shared" si="40"/>
        <v>288.83946957374047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6">
        <f t="shared" si="1"/>
        <v>256.66666666666669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35.256410250000002</v>
      </c>
      <c r="N14" s="13">
        <f>IF('Données projet'!$A$36&gt;35,N13+M14-V13,IF(A14&lt;'Données projet'!$A$36,$K$205^A14,IF(A14='Données projet'!$A$36,'Données projet'!$B$36,N13+M14-V13)))</f>
        <v>166.66666665000002</v>
      </c>
      <c r="O14" s="13">
        <f>N14*VLOOKUP('Données projet'!$B$9,Paramètres!$A$1:$I$89,3,0)*VLOOKUP('Données projet'!$B$9,Paramètres!$A$1:$I$89,5,0)</f>
        <v>73.319999992668002</v>
      </c>
      <c r="P14" s="13">
        <f t="shared" si="33"/>
        <v>20.495693941561068</v>
      </c>
      <c r="Q14" s="20">
        <f t="shared" si="2"/>
        <v>163.39566693544896</v>
      </c>
      <c r="R14" s="59">
        <f t="shared" si="0"/>
        <v>433.5067780465601</v>
      </c>
      <c r="S14" s="59">
        <f ca="1">AVERAGE(OFFSET($R$3,0,0,'Données projet'!$E$9+1,1))-AVERAGE(OFFSET($H$3,0,0,'Données projet'!$E$9+1,1))</f>
        <v>134.64362224914908</v>
      </c>
      <c r="T14" s="59">
        <f t="shared" si="34"/>
        <v>312.46749071109713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35.256410250000002</v>
      </c>
      <c r="AI14" s="13">
        <f>IF('Données projet'!$A$62&gt;35,AI13+AH14-AQ13,IF(A14&lt;'Données projet'!$A$62,$AF$205^A14,IF(A14='Données projet'!$A$62,'Données projet'!$B$62,AI13+AH14-AQ13)))</f>
        <v>166.66666665000002</v>
      </c>
      <c r="AJ14" s="13">
        <f>AI14*VLOOKUP('Données projet'!$B$10,Paramètres!$A$1:$I$89,3,0)*VLOOKUP('Données projet'!$B$10,Paramètres!$A$1:$I$89,5,0)</f>
        <v>79.299999992070013</v>
      </c>
      <c r="AK14" s="13">
        <f t="shared" si="35"/>
        <v>21.9659430425104</v>
      </c>
      <c r="AL14" s="20">
        <f t="shared" si="4"/>
        <v>176.37151745189419</v>
      </c>
      <c r="AM14" s="59">
        <f t="shared" si="5"/>
        <v>446.48262856300533</v>
      </c>
      <c r="AN14" s="59">
        <f ca="1">AVERAGE(OFFSET($AM$3,0,0,'Données projet'!$E$10+1,1))-AVERAGE(OFFSET($H$3,0,0,'Données projet'!$E$10+1,1))</f>
        <v>144.46767095844729</v>
      </c>
      <c r="AO14" s="59">
        <f t="shared" si="36"/>
        <v>335.56739599097097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35.256410250000002</v>
      </c>
      <c r="BD14" s="12">
        <f>IF('Données projet'!$A$88&gt;35,BD13+BC14-BL13,IF(A14&lt;'Données projet'!$A$88,$BA$205^A14,IF(A14='Données projet'!$A$88,'Données projet'!$B$88,BD13+BC14-BL13)))</f>
        <v>166.66666665000002</v>
      </c>
      <c r="BE14" s="13">
        <f>BD14*VLOOKUP('Données projet'!$B$11,Paramètres!$A$1:$I$89,3,0)*VLOOKUP('Données projet'!$B$11,Paramètres!$A$1:$I$89,5,0)</f>
        <v>79.299999992070013</v>
      </c>
      <c r="BF14" s="13">
        <f t="shared" si="37"/>
        <v>21.9659430425104</v>
      </c>
      <c r="BG14" s="20">
        <f t="shared" si="7"/>
        <v>176.37151745189419</v>
      </c>
      <c r="BH14" s="59">
        <f t="shared" si="8"/>
        <v>446.48262856300533</v>
      </c>
      <c r="BI14" s="59">
        <f ca="1">AVERAGE(OFFSET($BH$3,0,0,'Données projet'!$E$11+1,1))-AVERAGE(OFFSET($H$3,0,0,'Données projet'!$E$11+1,1))</f>
        <v>110.21219780294564</v>
      </c>
      <c r="BJ14" s="59">
        <f t="shared" si="38"/>
        <v>310.34820112478593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35.256410250000002</v>
      </c>
      <c r="BY14" s="12">
        <f>IF('Données projet'!$A$114&gt;35,BY13+BX14-CG13,IF(A14&lt;'Données projet'!$A$114,$BV$205^A14,IF(A14='Données projet'!$A$114,'Données projet'!$B$114,BY13+BX14-CG13)))</f>
        <v>166.66666665000002</v>
      </c>
      <c r="BZ14" s="13">
        <f>BY14*VLOOKUP('Données projet'!$B$12,Paramètres!$A$1:$I$89,3,0)*VLOOKUP('Données projet'!$B$12,Paramètres!$A$1:$I$89,5,0)</f>
        <v>73.319999992668002</v>
      </c>
      <c r="CA14" s="13">
        <f t="shared" si="39"/>
        <v>20.495693941561068</v>
      </c>
      <c r="CB14" s="20">
        <f t="shared" si="10"/>
        <v>163.39566693544896</v>
      </c>
      <c r="CC14" s="59">
        <f t="shared" si="11"/>
        <v>433.5067780465601</v>
      </c>
      <c r="CD14" s="59">
        <f ca="1">AVERAGE(OFFSET($CC$3,0,0,'Données projet'!$E$12+1,1))-AVERAGE(OFFSET($H$3,0,0,'Données projet'!$E$12+1,1))</f>
        <v>102.77795559500703</v>
      </c>
      <c r="CE14" s="59">
        <f t="shared" si="40"/>
        <v>288.83946957374047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6">
        <f t="shared" si="1"/>
        <v>256.66666666666669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35.256410250000002</v>
      </c>
      <c r="N15" s="13">
        <f>IF('Données projet'!$A$36&gt;35,N14+M15-V14,IF(A15&lt;'Données projet'!$A$36,$K$205^A15,IF(A15='Données projet'!$A$36,'Données projet'!$B$36,N14+M15-V14)))</f>
        <v>201.92307690000001</v>
      </c>
      <c r="O15" s="13">
        <f>N15*VLOOKUP('Données projet'!$B$9,Paramètres!$A$1:$I$89,3,0)*VLOOKUP('Données projet'!$B$9,Paramètres!$A$1:$I$89,5,0)</f>
        <v>88.829999989847991</v>
      </c>
      <c r="P15" s="13">
        <f t="shared" si="33"/>
        <v>24.282834630776605</v>
      </c>
      <c r="Q15" s="20">
        <f t="shared" si="2"/>
        <v>197.00485363092116</v>
      </c>
      <c r="R15" s="59">
        <f t="shared" si="0"/>
        <v>468.33818696425448</v>
      </c>
      <c r="S15" s="59">
        <f ca="1">AVERAGE(OFFSET($R$3,0,0,'Données projet'!$E$9+1,1))-AVERAGE(OFFSET($H$3,0,0,'Données projet'!$E$9+1,1))</f>
        <v>134.64362224914908</v>
      </c>
      <c r="T15" s="59">
        <f t="shared" si="34"/>
        <v>312.46749071109713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35.256410250000002</v>
      </c>
      <c r="AI15" s="13">
        <f>IF('Données projet'!$A$62&gt;35,AI14+AH15-AQ14,IF(A15&lt;'Données projet'!$A$62,$AF$205^A15,IF(A15='Données projet'!$A$62,'Données projet'!$B$62,AI14+AH15-AQ14)))</f>
        <v>201.92307690000001</v>
      </c>
      <c r="AJ15" s="13">
        <f>AI15*VLOOKUP('Données projet'!$B$10,Paramètres!$A$1:$I$89,3,0)*VLOOKUP('Données projet'!$B$10,Paramètres!$A$1:$I$89,5,0)</f>
        <v>96.07499998902</v>
      </c>
      <c r="AK15" s="13">
        <f t="shared" si="35"/>
        <v>26.024752512952087</v>
      </c>
      <c r="AL15" s="20">
        <f t="shared" si="4"/>
        <v>212.65706894093469</v>
      </c>
      <c r="AM15" s="59">
        <f t="shared" si="5"/>
        <v>483.99040227426804</v>
      </c>
      <c r="AN15" s="59">
        <f ca="1">AVERAGE(OFFSET($AM$3,0,0,'Données projet'!$E$10+1,1))-AVERAGE(OFFSET($H$3,0,0,'Données projet'!$E$10+1,1))</f>
        <v>144.46767095844729</v>
      </c>
      <c r="AO15" s="59">
        <f t="shared" si="36"/>
        <v>335.56739599097097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35.256410250000002</v>
      </c>
      <c r="BD15" s="12">
        <f>IF('Données projet'!$A$88&gt;35,BD14+BC15-BL14,IF(A15&lt;'Données projet'!$A$88,$BA$205^A15,IF(A15='Données projet'!$A$88,'Données projet'!$B$88,BD14+BC15-BL14)))</f>
        <v>201.92307690000001</v>
      </c>
      <c r="BE15" s="13">
        <f>BD15*VLOOKUP('Données projet'!$B$11,Paramètres!$A$1:$I$89,3,0)*VLOOKUP('Données projet'!$B$11,Paramètres!$A$1:$I$89,5,0)</f>
        <v>96.07499998902</v>
      </c>
      <c r="BF15" s="13">
        <f t="shared" si="37"/>
        <v>26.024752512952087</v>
      </c>
      <c r="BG15" s="20">
        <f t="shared" si="7"/>
        <v>212.65706894093469</v>
      </c>
      <c r="BH15" s="59">
        <f t="shared" si="8"/>
        <v>483.99040227426804</v>
      </c>
      <c r="BI15" s="59">
        <f ca="1">AVERAGE(OFFSET($BH$3,0,0,'Données projet'!$E$11+1,1))-AVERAGE(OFFSET($H$3,0,0,'Données projet'!$E$11+1,1))</f>
        <v>110.21219780294564</v>
      </c>
      <c r="BJ15" s="59">
        <f t="shared" si="38"/>
        <v>310.34820112478593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35.256410250000002</v>
      </c>
      <c r="BY15" s="12">
        <f>IF('Données projet'!$A$114&gt;35,BY14+BX15-CG14,IF(A15&lt;'Données projet'!$A$114,$BV$205^A15,IF(A15='Données projet'!$A$114,'Données projet'!$B$114,BY14+BX15-CG14)))</f>
        <v>201.92307690000001</v>
      </c>
      <c r="BZ15" s="13">
        <f>BY15*VLOOKUP('Données projet'!$B$12,Paramètres!$A$1:$I$89,3,0)*VLOOKUP('Données projet'!$B$12,Paramètres!$A$1:$I$89,5,0)</f>
        <v>88.829999989847991</v>
      </c>
      <c r="CA15" s="13">
        <f t="shared" si="39"/>
        <v>24.282834630776605</v>
      </c>
      <c r="CB15" s="20">
        <f t="shared" si="10"/>
        <v>197.00485363092116</v>
      </c>
      <c r="CC15" s="59">
        <f t="shared" si="11"/>
        <v>468.33818696425448</v>
      </c>
      <c r="CD15" s="59">
        <f ca="1">AVERAGE(OFFSET($CC$3,0,0,'Données projet'!$E$12+1,1))-AVERAGE(OFFSET($H$3,0,0,'Données projet'!$E$12+1,1))</f>
        <v>102.77795559500703</v>
      </c>
      <c r="CE15" s="59">
        <f t="shared" si="40"/>
        <v>288.83946957374047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6">
        <f t="shared" si="1"/>
        <v>256.66666666666669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35.256410250000002</v>
      </c>
      <c r="N16" s="13">
        <f>IF('Données projet'!$A$36&gt;35,N15+M16-V15,IF(A16&lt;'Données projet'!$A$36,$K$205^A16,IF(A16='Données projet'!$A$36,'Données projet'!$B$36,N15+M16-V15)))</f>
        <v>237.17948715</v>
      </c>
      <c r="O16" s="13">
        <f>N16*VLOOKUP('Données projet'!$B$9,Paramètres!$A$1:$I$89,3,0)*VLOOKUP('Données projet'!$B$9,Paramètres!$A$1:$I$89,5,0)</f>
        <v>104.33999998702799</v>
      </c>
      <c r="P16" s="13">
        <f t="shared" si="33"/>
        <v>27.99337231285903</v>
      </c>
      <c r="Q16" s="20">
        <f t="shared" si="2"/>
        <v>230.48062342230324</v>
      </c>
      <c r="R16" s="59">
        <f t="shared" si="0"/>
        <v>503.03617897785875</v>
      </c>
      <c r="S16" s="59">
        <f ca="1">AVERAGE(OFFSET($R$3,0,0,'Données projet'!$E$9+1,1))-AVERAGE(OFFSET($H$3,0,0,'Données projet'!$E$9+1,1))</f>
        <v>134.64362224914908</v>
      </c>
      <c r="T16" s="59">
        <f t="shared" si="34"/>
        <v>312.46749071109713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35.256410250000002</v>
      </c>
      <c r="AI16" s="13">
        <f>IF('Données projet'!$A$62&gt;35,AI15+AH16-AQ15,IF(A16&lt;'Données projet'!$A$62,$AF$205^A16,IF(A16='Données projet'!$A$62,'Données projet'!$B$62,AI15+AH16-AQ15)))</f>
        <v>237.17948715</v>
      </c>
      <c r="AJ16" s="13">
        <f>AI16*VLOOKUP('Données projet'!$B$10,Paramètres!$A$1:$I$89,3,0)*VLOOKUP('Données projet'!$B$10,Paramètres!$A$1:$I$89,5,0)</f>
        <v>112.84999998597</v>
      </c>
      <c r="AK16" s="13">
        <f t="shared" si="35"/>
        <v>30.001463895065097</v>
      </c>
      <c r="AL16" s="20">
        <f t="shared" si="4"/>
        <v>248.79963292613616</v>
      </c>
      <c r="AM16" s="59">
        <f t="shared" si="5"/>
        <v>521.3551884816917</v>
      </c>
      <c r="AN16" s="59">
        <f ca="1">AVERAGE(OFFSET($AM$3,0,0,'Données projet'!$E$10+1,1))-AVERAGE(OFFSET($H$3,0,0,'Données projet'!$E$10+1,1))</f>
        <v>144.46767095844729</v>
      </c>
      <c r="AO16" s="59">
        <f t="shared" si="36"/>
        <v>335.56739599097097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35.256410250000002</v>
      </c>
      <c r="BD16" s="12">
        <f>IF('Données projet'!$A$88&gt;35,BD15+BC16-BL15,IF(A16&lt;'Données projet'!$A$88,$BA$205^A16,IF(A16='Données projet'!$A$88,'Données projet'!$B$88,BD15+BC16-BL15)))</f>
        <v>237.17948715</v>
      </c>
      <c r="BE16" s="13">
        <f>BD16*VLOOKUP('Données projet'!$B$11,Paramètres!$A$1:$I$89,3,0)*VLOOKUP('Données projet'!$B$11,Paramètres!$A$1:$I$89,5,0)</f>
        <v>112.84999998597</v>
      </c>
      <c r="BF16" s="13">
        <f t="shared" si="37"/>
        <v>30.001463895065097</v>
      </c>
      <c r="BG16" s="20">
        <f t="shared" si="7"/>
        <v>248.79963292613616</v>
      </c>
      <c r="BH16" s="59">
        <f t="shared" si="8"/>
        <v>521.3551884816917</v>
      </c>
      <c r="BI16" s="59">
        <f ca="1">AVERAGE(OFFSET($BH$3,0,0,'Données projet'!$E$11+1,1))-AVERAGE(OFFSET($H$3,0,0,'Données projet'!$E$11+1,1))</f>
        <v>110.21219780294564</v>
      </c>
      <c r="BJ16" s="59">
        <f t="shared" si="38"/>
        <v>310.34820112478593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35.256410250000002</v>
      </c>
      <c r="BY16" s="12">
        <f>IF('Données projet'!$A$114&gt;35,BY15+BX16-CG15,IF(A16&lt;'Données projet'!$A$114,$BV$205^A16,IF(A16='Données projet'!$A$114,'Données projet'!$B$114,BY15+BX16-CG15)))</f>
        <v>237.17948715</v>
      </c>
      <c r="BZ16" s="13">
        <f>BY16*VLOOKUP('Données projet'!$B$12,Paramètres!$A$1:$I$89,3,0)*VLOOKUP('Données projet'!$B$12,Paramètres!$A$1:$I$89,5,0)</f>
        <v>104.33999998702799</v>
      </c>
      <c r="CA16" s="13">
        <f t="shared" si="39"/>
        <v>27.99337231285903</v>
      </c>
      <c r="CB16" s="20">
        <f t="shared" si="10"/>
        <v>230.48062342230324</v>
      </c>
      <c r="CC16" s="59">
        <f t="shared" si="11"/>
        <v>503.03617897785875</v>
      </c>
      <c r="CD16" s="59">
        <f ca="1">AVERAGE(OFFSET($CC$3,0,0,'Données projet'!$E$12+1,1))-AVERAGE(OFFSET($H$3,0,0,'Données projet'!$E$12+1,1))</f>
        <v>102.77795559500703</v>
      </c>
      <c r="CE16" s="59">
        <f t="shared" si="40"/>
        <v>288.83946957374047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6">
        <f t="shared" si="1"/>
        <v>256.66666666666669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272.43589739999999</v>
      </c>
      <c r="L17" s="12">
        <f>VLOOKUP(A17,'Données projet'!$A$35:$I$55,9,0)</f>
        <v>35.256410250000002</v>
      </c>
      <c r="M17" s="12">
        <f t="array" ref="M17">INDEX(L:L,MIN(IF(ISNUMBER(L17:L213),ROW(L17:L213),"")))</f>
        <v>35.256410250000002</v>
      </c>
      <c r="N17" s="13">
        <f>IF('Données projet'!$A$36&gt;35,N16+M17-V16,IF(A17&lt;'Données projet'!$A$36,$K$205^A17,IF(A17='Données projet'!$A$36,'Données projet'!$B$36,N16+M17-V16)))</f>
        <v>272.43589739999999</v>
      </c>
      <c r="O17" s="13">
        <f>N17*VLOOKUP('Données projet'!$B$9,Paramètres!$A$1:$I$89,3,0)*VLOOKUP('Données projet'!$B$9,Paramètres!$A$1:$I$89,5,0)</f>
        <v>119.849999984208</v>
      </c>
      <c r="P17" s="13">
        <f t="shared" si="33"/>
        <v>31.640011707372793</v>
      </c>
      <c r="Q17" s="20">
        <f t="shared" si="2"/>
        <v>263.84510369616982</v>
      </c>
      <c r="R17" s="59">
        <f t="shared" si="0"/>
        <v>537.62288147394759</v>
      </c>
      <c r="S17" s="59">
        <f ca="1">AVERAGE(OFFSET($R$3,0,0,'Données projet'!$E$9+1,1))-AVERAGE(OFFSET($H$3,0,0,'Données projet'!$E$9+1,1))</f>
        <v>134.64362224914908</v>
      </c>
      <c r="T17" s="59">
        <f t="shared" si="34"/>
        <v>312.46749071109713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272.43589739999999</v>
      </c>
      <c r="AG17" s="12">
        <f>VLOOKUP(A17,'Données projet'!$A$61:$I$81,9,0)</f>
        <v>35.256410250000002</v>
      </c>
      <c r="AH17" s="12">
        <f t="array" ref="AH17">INDEX(AG:AG,MIN(IF(ISNUMBER(AG17:AG213),ROW(AG17:AG213),"")))</f>
        <v>35.256410250000002</v>
      </c>
      <c r="AI17" s="13">
        <f>IF('Données projet'!$A$62&gt;35,AI16+AH17-AQ16,IF(A17&lt;'Données projet'!$A$62,$AF$205^A17,IF(A17='Données projet'!$A$62,'Données projet'!$B$62,AI16+AH17-AQ16)))</f>
        <v>272.43589739999999</v>
      </c>
      <c r="AJ17" s="13">
        <f>AI17*VLOOKUP('Données projet'!$B$10,Paramètres!$A$1:$I$89,3,0)*VLOOKUP('Données projet'!$B$10,Paramètres!$A$1:$I$89,5,0)</f>
        <v>129.62499998292</v>
      </c>
      <c r="AK17" s="13">
        <f t="shared" si="35"/>
        <v>33.909693275580665</v>
      </c>
      <c r="AL17" s="20">
        <f t="shared" si="4"/>
        <v>284.82292409188864</v>
      </c>
      <c r="AM17" s="59">
        <f t="shared" si="5"/>
        <v>558.60070186966641</v>
      </c>
      <c r="AN17" s="59">
        <f ca="1">AVERAGE(OFFSET($AM$3,0,0,'Données projet'!$E$10+1,1))-AVERAGE(OFFSET($H$3,0,0,'Données projet'!$E$10+1,1))</f>
        <v>144.46767095844729</v>
      </c>
      <c r="AO17" s="59">
        <f t="shared" si="36"/>
        <v>335.56739599097097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272.43589739999999</v>
      </c>
      <c r="BB17" s="12">
        <f>VLOOKUP(A17,'Données projet'!$A$87:$I$107,9,0)</f>
        <v>35.256410250000002</v>
      </c>
      <c r="BC17" s="12">
        <f t="array" ref="BC17">INDEX(BB:BB,MIN(IF(ISNUMBER(BB17:BB213),ROW(BB17:BB213),"")))</f>
        <v>35.256410250000002</v>
      </c>
      <c r="BD17" s="12">
        <f>IF('Données projet'!$A$88&gt;35,BD16+BC17-BL16,IF(A17&lt;'Données projet'!$A$88,$BA$205^A17,IF(A17='Données projet'!$A$88,'Données projet'!$B$88,BD16+BC17-BL16)))</f>
        <v>272.43589739999999</v>
      </c>
      <c r="BE17" s="13">
        <f>BD17*VLOOKUP('Données projet'!$B$11,Paramètres!$A$1:$I$89,3,0)*VLOOKUP('Données projet'!$B$11,Paramètres!$A$1:$I$89,5,0)</f>
        <v>129.62499998292</v>
      </c>
      <c r="BF17" s="13">
        <f t="shared" si="37"/>
        <v>33.909693275580665</v>
      </c>
      <c r="BG17" s="20">
        <f t="shared" si="7"/>
        <v>284.82292409188864</v>
      </c>
      <c r="BH17" s="59">
        <f t="shared" si="8"/>
        <v>558.60070186966641</v>
      </c>
      <c r="BI17" s="59">
        <f ca="1">AVERAGE(OFFSET($BH$3,0,0,'Données projet'!$E$11+1,1))-AVERAGE(OFFSET($H$3,0,0,'Données projet'!$E$11+1,1))</f>
        <v>110.21219780294564</v>
      </c>
      <c r="BJ17" s="59">
        <f t="shared" si="38"/>
        <v>310.34820112478593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272.43589739999999</v>
      </c>
      <c r="BW17" s="12">
        <f>VLOOKUP(A17,'Données projet'!$A$113:$I$133,9,0)</f>
        <v>35.256410250000002</v>
      </c>
      <c r="BX17" s="12">
        <f t="array" ref="BX17">INDEX(BW:BW,MIN(IF(ISNUMBER(BW17:BW213),ROW(BW17:BW213),"")))</f>
        <v>35.256410250000002</v>
      </c>
      <c r="BY17" s="12">
        <f>IF('Données projet'!$A$114&gt;35,BY16+BX17-CG16,IF(A17&lt;'Données projet'!$A$114,$BV$205^A17,IF(A17='Données projet'!$A$114,'Données projet'!$B$114,BY16+BX17-CG16)))</f>
        <v>272.43589739999999</v>
      </c>
      <c r="BZ17" s="13">
        <f>BY17*VLOOKUP('Données projet'!$B$12,Paramètres!$A$1:$I$89,3,0)*VLOOKUP('Données projet'!$B$12,Paramètres!$A$1:$I$89,5,0)</f>
        <v>119.849999984208</v>
      </c>
      <c r="CA17" s="13">
        <f t="shared" si="39"/>
        <v>31.640011707372793</v>
      </c>
      <c r="CB17" s="20">
        <f t="shared" si="10"/>
        <v>263.84510369616982</v>
      </c>
      <c r="CC17" s="59">
        <f t="shared" si="11"/>
        <v>537.62288147394759</v>
      </c>
      <c r="CD17" s="59">
        <f ca="1">AVERAGE(OFFSET($CC$3,0,0,'Données projet'!$E$12+1,1))-AVERAGE(OFFSET($H$3,0,0,'Données projet'!$E$12+1,1))</f>
        <v>102.77795559500703</v>
      </c>
      <c r="CE17" s="59">
        <f t="shared" si="40"/>
        <v>288.83946957374047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6">
        <f t="shared" si="1"/>
        <v>256.66666666666669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7.0512820499999975</v>
      </c>
      <c r="N18" s="13">
        <f>IF('Données projet'!$A$36&gt;35,N17+M18-V17,IF(A18&lt;'Données projet'!$A$36,$K$205^A18,IF(A18='Données projet'!$A$36,'Données projet'!$B$36,N17+M18-V17)))</f>
        <v>279.48717944999999</v>
      </c>
      <c r="O18" s="13">
        <f>N18*VLOOKUP('Données projet'!$B$9,Paramètres!$A$1:$I$89,3,0)*VLOOKUP('Données projet'!$B$9,Paramètres!$A$1:$I$89,5,0)</f>
        <v>122.95199998364399</v>
      </c>
      <c r="P18" s="13">
        <f t="shared" si="33"/>
        <v>32.362527974167065</v>
      </c>
      <c r="Q18" s="20">
        <f t="shared" si="2"/>
        <v>270.50613619318756</v>
      </c>
      <c r="R18" s="59">
        <f t="shared" si="0"/>
        <v>545.50613619318756</v>
      </c>
      <c r="S18" s="59">
        <f ca="1">AVERAGE(OFFSET($R$3,0,0,'Données projet'!$E$9+1,1))-AVERAGE(OFFSET($H$3,0,0,'Données projet'!$E$9+1,1))</f>
        <v>134.64362224914908</v>
      </c>
      <c r="T18" s="59">
        <f t="shared" si="34"/>
        <v>312.46749071109713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7.0512820499999975</v>
      </c>
      <c r="AI18" s="13">
        <f>IF('Données projet'!$A$62&gt;35,AI17+AH18-AQ17,IF(A18&lt;'Données projet'!$A$62,$AF$205^A18,IF(A18='Données projet'!$A$62,'Données projet'!$B$62,AI17+AH18-AQ17)))</f>
        <v>279.48717944999999</v>
      </c>
      <c r="AJ18" s="13">
        <f>AI18*VLOOKUP('Données projet'!$B$10,Paramètres!$A$1:$I$89,3,0)*VLOOKUP('Données projet'!$B$10,Paramètres!$A$1:$I$89,5,0)</f>
        <v>132.97999998230998</v>
      </c>
      <c r="AK18" s="13">
        <f t="shared" si="35"/>
        <v>34.684038911739307</v>
      </c>
      <c r="AL18" s="20">
        <f t="shared" si="4"/>
        <v>292.01486774046913</v>
      </c>
      <c r="AM18" s="59">
        <f t="shared" si="5"/>
        <v>567.01486774046907</v>
      </c>
      <c r="AN18" s="59">
        <f ca="1">AVERAGE(OFFSET($AM$3,0,0,'Données projet'!$E$10+1,1))-AVERAGE(OFFSET($H$3,0,0,'Données projet'!$E$10+1,1))</f>
        <v>144.46767095844729</v>
      </c>
      <c r="AO18" s="59">
        <f t="shared" si="36"/>
        <v>335.56739599097097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279.48717950000002</v>
      </c>
      <c r="BB18" s="12">
        <f>VLOOKUP(A18,'Données projet'!$A$87:$I$107,9,0)</f>
        <v>7.0512821000000372</v>
      </c>
      <c r="BC18" s="12">
        <f t="array" ref="BC18">INDEX(BB:BB,MIN(IF(ISNUMBER(BB18:BB214),ROW(BB18:BB214),"")))</f>
        <v>7.0512821000000372</v>
      </c>
      <c r="BD18" s="12">
        <f>IF('Données projet'!$A$88&gt;35,BD17+BC18-BL17,IF(A18&lt;'Données projet'!$A$88,$BA$205^A18,IF(A18='Données projet'!$A$88,'Données projet'!$B$88,BD17+BC18-BL17)))</f>
        <v>279.48717950000002</v>
      </c>
      <c r="BE18" s="13">
        <f>BD18*VLOOKUP('Données projet'!$B$11,Paramètres!$A$1:$I$89,3,0)*VLOOKUP('Données projet'!$B$11,Paramètres!$A$1:$I$89,5,0)</f>
        <v>132.98000000610003</v>
      </c>
      <c r="BF18" s="13">
        <f t="shared" si="37"/>
        <v>34.684038917221997</v>
      </c>
      <c r="BG18" s="20">
        <f t="shared" si="7"/>
        <v>292.01486779145256</v>
      </c>
      <c r="BH18" s="59">
        <f t="shared" si="8"/>
        <v>567.01486779145262</v>
      </c>
      <c r="BI18" s="59">
        <f ca="1">AVERAGE(OFFSET($BH$3,0,0,'Données projet'!$E$11+1,1))-AVERAGE(OFFSET($H$3,0,0,'Données projet'!$E$11+1,1))</f>
        <v>110.21219780294564</v>
      </c>
      <c r="BJ18" s="59">
        <f t="shared" si="38"/>
        <v>310.34820112478593</v>
      </c>
      <c r="BK18" s="15" t="str">
        <f>IF(ISNA(VLOOKUP(A18,'Données projet'!$A$87:$I$107,3,0)),0,VLOOKUP(A18,'Données projet'!$A$87:$I$107,3,0))</f>
        <v>CR</v>
      </c>
      <c r="BL18" s="15">
        <f>IF(ISNA(VLOOKUP(A18,'Données projet'!$A$87:$I$107,4,0)),0,VLOOKUP(A18,'Données projet'!$A$87:$I$107,4,0))</f>
        <v>279.48717950000002</v>
      </c>
      <c r="BM18" s="16">
        <f>IF(ISNA(VLOOKUP(A18,'Données projet'!$A$87:$I$107,5,0)),0%,VLOOKUP(A18,'Données projet'!$A$87:$I$107,5,0)*VLOOKUP('Données projet'!$B$11,Paramètres!$A$1:$I$89,7,0))</f>
        <v>0.46199999999999997</v>
      </c>
      <c r="BN18" s="16">
        <f>IF(ISNA(VLOOKUP(A18,'Données projet'!$A$87:$I$107,6,0)),0%,VLOOKUP(A18,'Données projet'!$A$87:$I$107,6,0)*VLOOKUP('Données projet'!$B$11,Paramètres!$A$1:$I$89,7,0))</f>
        <v>0.126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67.91651839759021</v>
      </c>
      <c r="BQ18" s="21">
        <f>EXP(-LN(2)/25)*BQ17+(1-EXP(-LN(2)/25))/(LN(2)/25)*Calculateur!BL18*Calculateur!BN18*VLOOKUP('Données projet'!$B$11,Paramètres!$A$1:$I$89,3,0)*0.475*44/12</f>
        <v>18.449755959937249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86.366274357527459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279.48717950000002</v>
      </c>
      <c r="BW18" s="12">
        <f>VLOOKUP(A18,'Données projet'!$A$113:$I$133,9,0)</f>
        <v>7.0512821000000372</v>
      </c>
      <c r="BX18" s="12">
        <f t="array" ref="BX18">INDEX(BW:BW,MIN(IF(ISNUMBER(BW18:BW214),ROW(BW18:BW214),"")))</f>
        <v>7.0512821000000372</v>
      </c>
      <c r="BY18" s="12">
        <f>IF('Données projet'!$A$114&gt;35,BY17+BX18-CG17,IF(A18&lt;'Données projet'!$A$114,$BV$205^A18,IF(A18='Données projet'!$A$114,'Données projet'!$B$114,BY17+BX18-CG17)))</f>
        <v>279.48717950000002</v>
      </c>
      <c r="BZ18" s="13">
        <f>BY18*VLOOKUP('Données projet'!$B$12,Paramètres!$A$1:$I$89,3,0)*VLOOKUP('Données projet'!$B$12,Paramètres!$A$1:$I$89,5,0)</f>
        <v>122.95200000564</v>
      </c>
      <c r="CA18" s="13">
        <f t="shared" si="39"/>
        <v>32.362527979282788</v>
      </c>
      <c r="CB18" s="20">
        <f t="shared" si="10"/>
        <v>270.50613624040716</v>
      </c>
      <c r="CC18" s="59">
        <f t="shared" si="11"/>
        <v>545.50613624040716</v>
      </c>
      <c r="CD18" s="59">
        <f ca="1">AVERAGE(OFFSET($CC$3,0,0,'Données projet'!$E$12+1,1))-AVERAGE(OFFSET($H$3,0,0,'Données projet'!$E$12+1,1))</f>
        <v>102.77795559500703</v>
      </c>
      <c r="CE18" s="59">
        <f t="shared" si="40"/>
        <v>288.83946957374047</v>
      </c>
      <c r="CF18" s="15" t="str">
        <f>IF(ISNA(VLOOKUP(A18,'Données projet'!$A$113:$I$133,3,0)),0,VLOOKUP(A18,'Données projet'!$A$113:$I$133,3,0))</f>
        <v>CR</v>
      </c>
      <c r="CG18" s="15">
        <f>IF(ISNA(VLOOKUP(A18,'Données projet'!$A$113:$I$133,4,0)),0,VLOOKUP(A18,'Données projet'!$A$113:$I$133,4,0))</f>
        <v>279.48717950000002</v>
      </c>
      <c r="CH18" s="16">
        <f>IF(ISNA(VLOOKUP(A18,'Données projet'!$A$113:$I$133,5,0)),0%,VLOOKUP(A18,'Données projet'!$A$113:$I$133,5,0)*VLOOKUP('Données projet'!$B$12,Paramètres!$A$1:$I$89,7,0))</f>
        <v>0.46199999999999997</v>
      </c>
      <c r="CI18" s="16">
        <f>IF(ISNA(VLOOKUP(A18,'Données projet'!$A$113:$I$133,6,0)),0%,VLOOKUP(A18,'Données projet'!$A$113:$I$133,6,0)*VLOOKUP('Données projet'!$B$12,Paramètres!$A$1:$I$89,7,0))</f>
        <v>0.126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62.794944879083403</v>
      </c>
      <c r="CL18" s="21">
        <f>EXP(-LN(2)/25)*CL17+(1-EXP(-LN(2)/25))/(LN(2)/25)*Calculateur!CG18*Calculateur!CI18*VLOOKUP('Données projet'!$B$12,Paramètres!$A$1:$I$89,3,0)*0.475*44/12</f>
        <v>17.058462887548536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79.853407766631932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6">
        <f t="shared" si="1"/>
        <v>256.66666666666669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7.0512820499999975</v>
      </c>
      <c r="N19" s="13">
        <f>IF('Données projet'!$A$36&gt;35,N18+M19-V18,IF(A19&lt;'Données projet'!$A$36,$K$205^A19,IF(A19='Données projet'!$A$36,'Données projet'!$B$36,N18+M19-V18)))</f>
        <v>286.53846149999998</v>
      </c>
      <c r="O19" s="13">
        <f>N19*VLOOKUP('Données projet'!$B$9,Paramètres!$A$1:$I$89,3,0)*VLOOKUP('Données projet'!$B$9,Paramètres!$A$1:$I$89,5,0)</f>
        <v>126.05399998307999</v>
      </c>
      <c r="P19" s="13">
        <f t="shared" si="33"/>
        <v>33.082925304379287</v>
      </c>
      <c r="Q19" s="20">
        <f t="shared" si="2"/>
        <v>277.16347820899153</v>
      </c>
      <c r="R19" s="59">
        <f t="shared" si="0"/>
        <v>553.38570043121376</v>
      </c>
      <c r="S19" s="59">
        <f ca="1">AVERAGE(OFFSET($R$3,0,0,'Données projet'!$E$9+1,1))-AVERAGE(OFFSET($H$3,0,0,'Données projet'!$E$9+1,1))</f>
        <v>134.64362224914908</v>
      </c>
      <c r="T19" s="59">
        <f t="shared" si="34"/>
        <v>312.46749071109713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7.0512820499999975</v>
      </c>
      <c r="AI19" s="13">
        <f>IF('Données projet'!$A$62&gt;35,AI18+AH19-AQ18,IF(A19&lt;'Données projet'!$A$62,$AF$205^A19,IF(A19='Données projet'!$A$62,'Données projet'!$B$62,AI18+AH19-AQ18)))</f>
        <v>286.53846149999998</v>
      </c>
      <c r="AJ19" s="13">
        <f>AI19*VLOOKUP('Données projet'!$B$10,Paramètres!$A$1:$I$89,3,0)*VLOOKUP('Données projet'!$B$10,Paramètres!$A$1:$I$89,5,0)</f>
        <v>136.33499998170001</v>
      </c>
      <c r="AK19" s="13">
        <f t="shared" si="35"/>
        <v>35.456113610382744</v>
      </c>
      <c r="AL19" s="20">
        <f t="shared" si="4"/>
        <v>299.20285617287749</v>
      </c>
      <c r="AM19" s="59">
        <f t="shared" si="5"/>
        <v>575.42507839509972</v>
      </c>
      <c r="AN19" s="59">
        <f ca="1">AVERAGE(OFFSET($AM$3,0,0,'Données projet'!$E$10+1,1))-AVERAGE(OFFSET($H$3,0,0,'Données projet'!$E$10+1,1))</f>
        <v>144.46767095844729</v>
      </c>
      <c r="AO19" s="59">
        <f t="shared" si="36"/>
        <v>335.56739599097097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>
        <f>BD19*VLOOKUP('Données projet'!$B$11,Paramètres!$A$1:$I$89,3,0)*VLOOKUP('Données projet'!$B$11,Paramètres!$A$1:$I$89,5,0)</f>
        <v>0</v>
      </c>
      <c r="BF19" s="13" t="e">
        <f t="shared" si="37"/>
        <v>#NUM!</v>
      </c>
      <c r="BG19" s="20" t="e">
        <f t="shared" si="7"/>
        <v>#NUM!</v>
      </c>
      <c r="BH19" s="59" t="e">
        <f t="shared" si="8"/>
        <v>#NUM!</v>
      </c>
      <c r="BI19" s="59">
        <f ca="1">AVERAGE(OFFSET($BH$3,0,0,'Données projet'!$E$11+1,1))-AVERAGE(OFFSET($H$3,0,0,'Données projet'!$E$11+1,1))</f>
        <v>110.21219780294564</v>
      </c>
      <c r="BJ19" s="59">
        <f t="shared" si="38"/>
        <v>310.34820112478593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66.584716896799307</v>
      </c>
      <c r="BQ19" s="21">
        <f>EXP(-LN(2)/25)*BQ18+(1-EXP(-LN(2)/25))/(LN(2)/25)*Calculateur!BL19*Calculateur!BN19*VLOOKUP('Données projet'!$B$11,Paramètres!$A$1:$I$89,3,0)*0.475*44/12</f>
        <v>17.945246412982268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84.529963309781579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>
        <f>BY19*VLOOKUP('Données projet'!$B$12,Paramètres!$A$1:$I$89,3,0)*VLOOKUP('Données projet'!$B$12,Paramètres!$A$1:$I$89,5,0)</f>
        <v>0</v>
      </c>
      <c r="CA19" s="13" t="e">
        <f t="shared" si="39"/>
        <v>#NUM!</v>
      </c>
      <c r="CB19" s="20" t="e">
        <f t="shared" si="10"/>
        <v>#NUM!</v>
      </c>
      <c r="CC19" s="59" t="e">
        <f t="shared" si="11"/>
        <v>#NUM!</v>
      </c>
      <c r="CD19" s="59">
        <f ca="1">AVERAGE(OFFSET($CC$3,0,0,'Données projet'!$E$12+1,1))-AVERAGE(OFFSET($H$3,0,0,'Données projet'!$E$12+1,1))</f>
        <v>102.77795559500703</v>
      </c>
      <c r="CE19" s="59">
        <f t="shared" si="40"/>
        <v>288.83946957374047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61.563574311139028</v>
      </c>
      <c r="CL19" s="21">
        <f>EXP(-LN(2)/25)*CL18+(1-EXP(-LN(2)/25))/(LN(2)/25)*Calculateur!CG19*Calculateur!CI19*VLOOKUP('Données projet'!$B$12,Paramètres!$A$1:$I$89,3,0)*0.475*44/12</f>
        <v>16.591998322822946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78.155572633961981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6">
        <f t="shared" si="1"/>
        <v>256.66666666666669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7.0512820499999975</v>
      </c>
      <c r="N20" s="13">
        <f>IF('Données projet'!$A$36&gt;35,N19+M20-V19,IF(A20&lt;'Données projet'!$A$36,$K$205^A20,IF(A20='Données projet'!$A$36,'Données projet'!$B$36,N19+M20-V19)))</f>
        <v>293.58974354999998</v>
      </c>
      <c r="O20" s="13">
        <f>N20*VLOOKUP('Données projet'!$B$9,Paramètres!$A$1:$I$89,3,0)*VLOOKUP('Données projet'!$B$9,Paramètres!$A$1:$I$89,5,0)</f>
        <v>129.15599998251599</v>
      </c>
      <c r="P20" s="13">
        <f t="shared" si="33"/>
        <v>33.801261839982139</v>
      </c>
      <c r="Q20" s="20">
        <f t="shared" si="2"/>
        <v>283.81723100751759</v>
      </c>
      <c r="R20" s="59">
        <f t="shared" si="0"/>
        <v>561.26167545196199</v>
      </c>
      <c r="S20" s="59">
        <f ca="1">AVERAGE(OFFSET($R$3,0,0,'Données projet'!$E$9+1,1))-AVERAGE(OFFSET($H$3,0,0,'Données projet'!$E$9+1,1))</f>
        <v>134.64362224914908</v>
      </c>
      <c r="T20" s="59">
        <f t="shared" si="34"/>
        <v>312.46749071109713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7.0512820499999975</v>
      </c>
      <c r="AI20" s="13">
        <f>IF('Données projet'!$A$62&gt;35,AI19+AH20-AQ19,IF(A20&lt;'Données projet'!$A$62,$AF$205^A20,IF(A20='Données projet'!$A$62,'Données projet'!$B$62,AI19+AH20-AQ19)))</f>
        <v>293.58974354999998</v>
      </c>
      <c r="AJ20" s="13">
        <f>AI20*VLOOKUP('Données projet'!$B$10,Paramètres!$A$1:$I$89,3,0)*VLOOKUP('Données projet'!$B$10,Paramètres!$A$1:$I$89,5,0)</f>
        <v>139.68999998108998</v>
      </c>
      <c r="AK20" s="13">
        <f t="shared" si="35"/>
        <v>36.225979684270982</v>
      </c>
      <c r="AL20" s="20">
        <f t="shared" si="4"/>
        <v>306.38699791717039</v>
      </c>
      <c r="AM20" s="59">
        <f t="shared" si="5"/>
        <v>583.83144236161479</v>
      </c>
      <c r="AN20" s="59">
        <f ca="1">AVERAGE(OFFSET($AM$3,0,0,'Données projet'!$E$10+1,1))-AVERAGE(OFFSET($H$3,0,0,'Données projet'!$E$10+1,1))</f>
        <v>144.46767095844729</v>
      </c>
      <c r="AO20" s="59">
        <f t="shared" si="36"/>
        <v>335.56739599097097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>
        <f>BD20*VLOOKUP('Données projet'!$B$11,Paramètres!$A$1:$I$89,3,0)*VLOOKUP('Données projet'!$B$11,Paramètres!$A$1:$I$89,5,0)</f>
        <v>0</v>
      </c>
      <c r="BF20" s="13" t="e">
        <f t="shared" si="37"/>
        <v>#NUM!</v>
      </c>
      <c r="BG20" s="20" t="e">
        <f t="shared" si="7"/>
        <v>#NUM!</v>
      </c>
      <c r="BH20" s="59" t="e">
        <f t="shared" si="8"/>
        <v>#NUM!</v>
      </c>
      <c r="BI20" s="59">
        <f ca="1">AVERAGE(OFFSET($BH$3,0,0,'Données projet'!$E$11+1,1))-AVERAGE(OFFSET($H$3,0,0,'Données projet'!$E$11+1,1))</f>
        <v>110.21219780294564</v>
      </c>
      <c r="BJ20" s="59">
        <f t="shared" si="38"/>
        <v>310.34820112478593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65.279031211120213</v>
      </c>
      <c r="BQ20" s="21">
        <f>EXP(-LN(2)/25)*BQ19+(1-EXP(-LN(2)/25))/(LN(2)/25)*Calculateur!BL20*Calculateur!BN20*VLOOKUP('Données projet'!$B$11,Paramètres!$A$1:$I$89,3,0)*0.475*44/12</f>
        <v>17.454532706119775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82.733563917239991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>
        <f>BY20*VLOOKUP('Données projet'!$B$12,Paramètres!$A$1:$I$89,3,0)*VLOOKUP('Données projet'!$B$12,Paramètres!$A$1:$I$89,5,0)</f>
        <v>0</v>
      </c>
      <c r="CA20" s="13" t="e">
        <f t="shared" si="39"/>
        <v>#NUM!</v>
      </c>
      <c r="CB20" s="20" t="e">
        <f t="shared" si="10"/>
        <v>#NUM!</v>
      </c>
      <c r="CC20" s="59" t="e">
        <f t="shared" si="11"/>
        <v>#NUM!</v>
      </c>
      <c r="CD20" s="59">
        <f ca="1">AVERAGE(OFFSET($CC$3,0,0,'Données projet'!$E$12+1,1))-AVERAGE(OFFSET($H$3,0,0,'Données projet'!$E$12+1,1))</f>
        <v>102.77795559500703</v>
      </c>
      <c r="CE20" s="59">
        <f t="shared" si="40"/>
        <v>288.83946957374047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60.35635016897016</v>
      </c>
      <c r="CL20" s="21">
        <f>EXP(-LN(2)/25)*CL19+(1-EXP(-LN(2)/25))/(LN(2)/25)*Calculateur!CG20*Calculateur!CI20*VLOOKUP('Données projet'!$B$12,Paramètres!$A$1:$I$89,3,0)*0.475*44/12</f>
        <v>16.138289256150081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76.494639425120241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6">
        <f t="shared" si="1"/>
        <v>256.66666666666669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300.64102559999998</v>
      </c>
      <c r="L21" s="12">
        <f>VLOOKUP(A21,'Données projet'!$A$35:$I$55,9,0)</f>
        <v>7.0512820499999975</v>
      </c>
      <c r="M21" s="12">
        <f t="array" ref="M21">INDEX(L:L,MIN(IF(ISNUMBER(L21:L217),ROW(L21:L217),"")))</f>
        <v>7.0512820499999975</v>
      </c>
      <c r="N21" s="13">
        <f>IF('Données projet'!$A$36&gt;35,N20+M21-V20,IF(A21&lt;'Données projet'!$A$36,$K$205^A21,IF(A21='Données projet'!$A$36,'Données projet'!$B$36,N20+M21-V20)))</f>
        <v>300.64102559999998</v>
      </c>
      <c r="O21" s="13">
        <f>N21*VLOOKUP('Données projet'!$B$9,Paramètres!$A$1:$I$89,3,0)*VLOOKUP('Données projet'!$B$9,Paramètres!$A$1:$I$89,5,0)</f>
        <v>132.25799998195197</v>
      </c>
      <c r="P21" s="13">
        <f t="shared" si="33"/>
        <v>34.517592770831087</v>
      </c>
      <c r="Q21" s="20">
        <f t="shared" si="2"/>
        <v>290.46749071109713</v>
      </c>
      <c r="R21" s="59">
        <f t="shared" si="0"/>
        <v>569.13415737776381</v>
      </c>
      <c r="S21" s="59">
        <f ca="1">AVERAGE(OFFSET($R$3,0,0,'Données projet'!$E$9+1,1))-AVERAGE(OFFSET($H$3,0,0,'Données projet'!$E$9+1,1))</f>
        <v>134.64362224914908</v>
      </c>
      <c r="T21" s="59">
        <f t="shared" si="34"/>
        <v>312.46749071109713</v>
      </c>
      <c r="U21" s="15" t="str">
        <f>IF(ISNA(VLOOKUP(A21,'Données projet'!$A$35:$I$55,3,0)),0,VLOOKUP(A21,'Données projet'!$A$35:$I$55,3,0))</f>
        <v>CR</v>
      </c>
      <c r="V21" s="15">
        <f>IF(ISNA(VLOOKUP(A21,'Données projet'!$A$35:$I$55,4,0)),0,VLOOKUP(A21,'Données projet'!$A$35:$I$55,4,0))</f>
        <v>300.64102559999998</v>
      </c>
      <c r="W21" s="16">
        <f>IF(ISNA(VLOOKUP(A21,'Données projet'!$A$35:$I$55,5,0)),0%,VLOOKUP(A21,'Données projet'!$A$35:$I$55,5,0)*VLOOKUP('Données projet'!$B$9,Paramètres!$A$1:$I$89,7,0))</f>
        <v>0.46199999999999997</v>
      </c>
      <c r="X21" s="16">
        <f>IF(ISNA(VLOOKUP(A21,'Données projet'!$A$35:$I$55,6,0)),0%,VLOOKUP(A21,'Données projet'!$A$35:$I$55,6,0)*VLOOKUP('Données projet'!$B$9,Paramètres!$A$1:$I$89,7,0))</f>
        <v>0.126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67.547773263578634</v>
      </c>
      <c r="AA21" s="21">
        <f>EXP(-LN(2)/25)*AA20+(1-EXP(-LN(2)/25))/(LN(2)/25)*Calculateur!V21*Calculateur!X21*VLOOKUP('Données projet'!$B$9,Paramètres!$A$1:$I$89,3,0)*0.475*44/12</f>
        <v>18.349585075232863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85.8973583388115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300.64102559999998</v>
      </c>
      <c r="AG21" s="12">
        <f>VLOOKUP(A21,'Données projet'!$A$61:$I$81,9,0)</f>
        <v>7.0512820499999975</v>
      </c>
      <c r="AH21" s="12">
        <f t="array" ref="AH21">INDEX(AG:AG,MIN(IF(ISNUMBER(AG21:AG217),ROW(AG21:AG217),"")))</f>
        <v>7.0512820499999975</v>
      </c>
      <c r="AI21" s="13">
        <f>IF('Données projet'!$A$62&gt;35,AI20+AH21-AQ20,IF(A21&lt;'Données projet'!$A$62,$AF$205^A21,IF(A21='Données projet'!$A$62,'Données projet'!$B$62,AI20+AH21-AQ20)))</f>
        <v>300.64102559999998</v>
      </c>
      <c r="AJ21" s="13">
        <f>AI21*VLOOKUP('Données projet'!$B$10,Paramètres!$A$1:$I$89,3,0)*VLOOKUP('Données projet'!$B$10,Paramètres!$A$1:$I$89,5,0)</f>
        <v>143.04499998047999</v>
      </c>
      <c r="AK21" s="13">
        <f t="shared" si="35"/>
        <v>36.993696282278457</v>
      </c>
      <c r="AL21" s="20">
        <f t="shared" si="4"/>
        <v>313.56739599097097</v>
      </c>
      <c r="AM21" s="59">
        <f t="shared" si="5"/>
        <v>592.23406265763765</v>
      </c>
      <c r="AN21" s="59">
        <f ca="1">AVERAGE(OFFSET($AM$3,0,0,'Données projet'!$E$10+1,1))-AVERAGE(OFFSET($H$3,0,0,'Données projet'!$E$10+1,1))</f>
        <v>144.46767095844729</v>
      </c>
      <c r="AO21" s="59">
        <f t="shared" si="36"/>
        <v>335.56739599097097</v>
      </c>
      <c r="AP21" s="15" t="str">
        <f>IF(ISNA(VLOOKUP(A21,'Données projet'!$A$61:$I$81,3,0)),0,VLOOKUP(A21,'Données projet'!$A$61:$I$81,3,0))</f>
        <v>CR</v>
      </c>
      <c r="AQ21" s="15">
        <f>IF(ISNA(VLOOKUP(A21,'Données projet'!$A$61:$I$81,4,0)),0,VLOOKUP(A21,'Données projet'!$A$61:$I$81,4,0))</f>
        <v>300.64102559999998</v>
      </c>
      <c r="AR21" s="16">
        <f>IF(ISNA(VLOOKUP(A21,'Données projet'!$A$61:$I$81,5,0)),0%,VLOOKUP(A21,'Données projet'!$A$61:$I$81,5,0)*VLOOKUP('Données projet'!$B$10,Paramètres!$A$1:$I$89,7,0))</f>
        <v>0.46199999999999997</v>
      </c>
      <c r="AS21" s="16">
        <f>IF(ISNA(VLOOKUP(A21,'Données projet'!$A$61:$I$81,6,0)),0%,VLOOKUP(A21,'Données projet'!$A$61:$I$81,6,0)*VLOOKUP('Données projet'!$B$10,Paramètres!$A$1:$I$89,7,0))</f>
        <v>0.126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73.056988813444974</v>
      </c>
      <c r="AV21" s="21">
        <f>EXP(-LN(2)/25)*AV20+(1-EXP(-LN(2)/25))/(LN(2)/25)*Calculateur!AQ21*Calculateur!AS21*VLOOKUP('Données projet'!$B$10,Paramètres!$A$1:$I$89,3,0)*0.475*44/12</f>
        <v>19.84618243952491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92.903171252969884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>
        <f>BD21*VLOOKUP('Données projet'!$B$11,Paramètres!$A$1:$I$89,3,0)*VLOOKUP('Données projet'!$B$11,Paramètres!$A$1:$I$89,5,0)</f>
        <v>0</v>
      </c>
      <c r="BF21" s="13" t="e">
        <f t="shared" si="37"/>
        <v>#NUM!</v>
      </c>
      <c r="BG21" s="20" t="e">
        <f t="shared" si="7"/>
        <v>#NUM!</v>
      </c>
      <c r="BH21" s="59" t="e">
        <f t="shared" si="8"/>
        <v>#NUM!</v>
      </c>
      <c r="BI21" s="59">
        <f ca="1">AVERAGE(OFFSET($BH$3,0,0,'Données projet'!$E$11+1,1))-AVERAGE(OFFSET($H$3,0,0,'Données projet'!$E$11+1,1))</f>
        <v>110.21219780294564</v>
      </c>
      <c r="BJ21" s="59">
        <f t="shared" si="38"/>
        <v>310.34820112478593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63.998949225347651</v>
      </c>
      <c r="BQ21" s="21">
        <f>EXP(-LN(2)/25)*BQ20+(1-EXP(-LN(2)/25))/(LN(2)/25)*Calculateur!BL21*Calculateur!BN21*VLOOKUP('Données projet'!$B$11,Paramètres!$A$1:$I$89,3,0)*0.475*44/12</f>
        <v>16.977237591376948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80.976186816724606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>
        <f>BY21*VLOOKUP('Données projet'!$B$12,Paramètres!$A$1:$I$89,3,0)*VLOOKUP('Données projet'!$B$12,Paramètres!$A$1:$I$89,5,0)</f>
        <v>0</v>
      </c>
      <c r="CA21" s="13" t="e">
        <f t="shared" si="39"/>
        <v>#NUM!</v>
      </c>
      <c r="CB21" s="20" t="e">
        <f t="shared" si="10"/>
        <v>#NUM!</v>
      </c>
      <c r="CC21" s="59" t="e">
        <f t="shared" si="11"/>
        <v>#NUM!</v>
      </c>
      <c r="CD21" s="59">
        <f ca="1">AVERAGE(OFFSET($CC$3,0,0,'Données projet'!$E$12+1,1))-AVERAGE(OFFSET($H$3,0,0,'Données projet'!$E$12+1,1))</f>
        <v>102.77795559500703</v>
      </c>
      <c r="CE21" s="59">
        <f t="shared" si="40"/>
        <v>288.83946957374047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59.172798955895203</v>
      </c>
      <c r="CL21" s="21">
        <f>EXP(-LN(2)/25)*CL20+(1-EXP(-LN(2)/25))/(LN(2)/25)*Calculateur!CG21*Calculateur!CI21*VLOOKUP('Données projet'!$B$12,Paramètres!$A$1:$I$89,3,0)*0.475*44/12</f>
        <v>15.696986887764909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74.869785843660111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6">
        <f t="shared" si="1"/>
        <v>256.66666666666669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0</v>
      </c>
      <c r="N22" s="13">
        <f>IF('Données projet'!$A$36&gt;35,N21+M22-V21,IF(A22&lt;'Données projet'!$A$36,$K$205^A22,IF(A22='Données projet'!$A$36,'Données projet'!$B$36,N21+M22-V21)))</f>
        <v>0</v>
      </c>
      <c r="O22" s="13">
        <f>N22*VLOOKUP('Données projet'!$B$9,Paramètres!$A$1:$I$89,3,0)*VLOOKUP('Données projet'!$B$9,Paramètres!$A$1:$I$89,5,0)</f>
        <v>0</v>
      </c>
      <c r="P22" s="13" t="e">
        <f t="shared" si="33"/>
        <v>#NUM!</v>
      </c>
      <c r="Q22" s="20" t="e">
        <f t="shared" si="2"/>
        <v>#NUM!</v>
      </c>
      <c r="R22" s="59" t="e">
        <f t="shared" si="0"/>
        <v>#NUM!</v>
      </c>
      <c r="S22" s="59">
        <f ca="1">AVERAGE(OFFSET($R$3,0,0,'Données projet'!$E$9+1,1))-AVERAGE(OFFSET($H$3,0,0,'Données projet'!$E$9+1,1))</f>
        <v>134.64362224914908</v>
      </c>
      <c r="T22" s="59">
        <f t="shared" si="34"/>
        <v>312.46749071109713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66.223202629953377</v>
      </c>
      <c r="AA22" s="21">
        <f>EXP(-LN(2)/25)*AA21+(1-EXP(-LN(2)/25))/(LN(2)/25)*Calculateur!V22*Calculateur!X22*VLOOKUP('Données projet'!$B$9,Paramètres!$A$1:$I$89,3,0)*0.475*44/12</f>
        <v>17.847814706387879</v>
      </c>
      <c r="AB22" s="21">
        <f>EXP(-LN(2)/2)*AB21+(1-EXP(-LN(2)/2))/(LN(2)/2)*V22*Y22*VLOOKUP('Données projet'!$B$9,Paramètres!$A$1:$I$89,3,0)*0.475*44/12</f>
        <v>0</v>
      </c>
      <c r="AC22" s="22">
        <f t="shared" si="3"/>
        <v>84.071017336341257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>
        <f>AI22*VLOOKUP('Données projet'!$B$10,Paramètres!$A$1:$I$89,3,0)*VLOOKUP('Données projet'!$B$10,Paramètres!$A$1:$I$89,5,0)</f>
        <v>0</v>
      </c>
      <c r="AK22" s="13" t="e">
        <f t="shared" si="35"/>
        <v>#NUM!</v>
      </c>
      <c r="AL22" s="20" t="e">
        <f t="shared" si="4"/>
        <v>#NUM!</v>
      </c>
      <c r="AM22" s="59" t="e">
        <f t="shared" si="5"/>
        <v>#NUM!</v>
      </c>
      <c r="AN22" s="59">
        <f ca="1">AVERAGE(OFFSET($AM$3,0,0,'Données projet'!$E$10+1,1))-AVERAGE(OFFSET($H$3,0,0,'Données projet'!$E$10+1,1))</f>
        <v>144.46767095844729</v>
      </c>
      <c r="AO22" s="59">
        <f t="shared" si="36"/>
        <v>335.56739599097097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71.624385823176524</v>
      </c>
      <c r="AV22" s="21">
        <f>EXP(-LN(2)/25)*AV21+(1-EXP(-LN(2)/25))/(LN(2)/25)*Calculateur!AQ22*Calculateur!AS22*VLOOKUP('Données projet'!$B$10,Paramètres!$A$1:$I$89,3,0)*0.475*44/12</f>
        <v>19.303487537050724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90.927873360227252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>
        <f>BD22*VLOOKUP('Données projet'!$B$11,Paramètres!$A$1:$I$89,3,0)*VLOOKUP('Données projet'!$B$11,Paramètres!$A$1:$I$89,5,0)</f>
        <v>0</v>
      </c>
      <c r="BF22" s="13" t="e">
        <f t="shared" si="37"/>
        <v>#NUM!</v>
      </c>
      <c r="BG22" s="20" t="e">
        <f t="shared" si="7"/>
        <v>#NUM!</v>
      </c>
      <c r="BH22" s="59" t="e">
        <f t="shared" si="8"/>
        <v>#NUM!</v>
      </c>
      <c r="BI22" s="59">
        <f ca="1">AVERAGE(OFFSET($BH$3,0,0,'Données projet'!$E$11+1,1))-AVERAGE(OFFSET($H$3,0,0,'Données projet'!$E$11+1,1))</f>
        <v>110.21219780294564</v>
      </c>
      <c r="BJ22" s="59">
        <f t="shared" si="38"/>
        <v>310.34820112478593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62.743968866543177</v>
      </c>
      <c r="BQ22" s="21">
        <f>EXP(-LN(2)/25)*BQ21+(1-EXP(-LN(2)/25))/(LN(2)/25)*Calculateur!BL22*Calculateur!BN22*VLOOKUP('Données projet'!$B$11,Paramètres!$A$1:$I$89,3,0)*0.475*44/12</f>
        <v>16.512994136646622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79.256963003189796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>
        <f>BY22*VLOOKUP('Données projet'!$B$12,Paramètres!$A$1:$I$89,3,0)*VLOOKUP('Données projet'!$B$12,Paramètres!$A$1:$I$89,5,0)</f>
        <v>0</v>
      </c>
      <c r="CA22" s="13" t="e">
        <f t="shared" si="39"/>
        <v>#NUM!</v>
      </c>
      <c r="CB22" s="20" t="e">
        <f t="shared" si="10"/>
        <v>#NUM!</v>
      </c>
      <c r="CC22" s="59" t="e">
        <f t="shared" si="11"/>
        <v>#NUM!</v>
      </c>
      <c r="CD22" s="59">
        <f ca="1">AVERAGE(OFFSET($CC$3,0,0,'Données projet'!$E$12+1,1))-AVERAGE(OFFSET($H$3,0,0,'Données projet'!$E$12+1,1))</f>
        <v>102.77795559500703</v>
      </c>
      <c r="CE22" s="59">
        <f t="shared" si="40"/>
        <v>288.83946957374047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58.012456460213684</v>
      </c>
      <c r="CL22" s="21">
        <f>EXP(-LN(2)/25)*CL21+(1-EXP(-LN(2)/25))/(LN(2)/25)*Calculateur!CG22*Calculateur!CI22*VLOOKUP('Données projet'!$B$12,Paramètres!$A$1:$I$89,3,0)*0.475*44/12</f>
        <v>15.267751955850313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73.280208416063999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6">
        <f t="shared" si="1"/>
        <v>256.66666666666669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0</v>
      </c>
      <c r="N23" s="13">
        <f>IF('Données projet'!$A$36&gt;35,N22+M23-V22,IF(A23&lt;'Données projet'!$A$36,$K$205^A23,IF(A23='Données projet'!$A$36,'Données projet'!$B$36,N22+M23-V22)))</f>
        <v>0</v>
      </c>
      <c r="O23" s="13">
        <f>N23*VLOOKUP('Données projet'!$B$9,Paramètres!$A$1:$I$89,3,0)*VLOOKUP('Données projet'!$B$9,Paramètres!$A$1:$I$89,5,0)</f>
        <v>0</v>
      </c>
      <c r="P23" s="13" t="e">
        <f t="shared" si="33"/>
        <v>#NUM!</v>
      </c>
      <c r="Q23" s="20" t="e">
        <f t="shared" si="2"/>
        <v>#NUM!</v>
      </c>
      <c r="R23" s="59" t="e">
        <f t="shared" si="0"/>
        <v>#NUM!</v>
      </c>
      <c r="S23" s="59">
        <f ca="1">AVERAGE(OFFSET($R$3,0,0,'Données projet'!$E$9+1,1))-AVERAGE(OFFSET($H$3,0,0,'Données projet'!$E$9+1,1))</f>
        <v>134.64362224914908</v>
      </c>
      <c r="T23" s="59">
        <f t="shared" si="34"/>
        <v>312.46749071109713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64.924606018545205</v>
      </c>
      <c r="AA23" s="21">
        <f>EXP(-LN(2)/25)*AA22+(1-EXP(-LN(2)/25))/(LN(2)/25)*Calculateur!V23*Calculateur!X23*VLOOKUP('Données projet'!$B$9,Paramètres!$A$1:$I$89,3,0)*0.475*44/12</f>
        <v>17.359765274665918</v>
      </c>
      <c r="AB23" s="21">
        <f>EXP(-LN(2)/2)*AB22+(1-EXP(-LN(2)/2))/(LN(2)/2)*V23*Y23*VLOOKUP('Données projet'!$B$9,Paramètres!$A$1:$I$89,3,0)*0.475*44/12</f>
        <v>0</v>
      </c>
      <c r="AC23" s="22">
        <f t="shared" si="3"/>
        <v>82.284371293211123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>
        <f>AI23*VLOOKUP('Données projet'!$B$10,Paramètres!$A$1:$I$89,3,0)*VLOOKUP('Données projet'!$B$10,Paramètres!$A$1:$I$89,5,0)</f>
        <v>0</v>
      </c>
      <c r="AK23" s="13" t="e">
        <f t="shared" si="35"/>
        <v>#NUM!</v>
      </c>
      <c r="AL23" s="20" t="e">
        <f t="shared" si="4"/>
        <v>#NUM!</v>
      </c>
      <c r="AM23" s="59" t="e">
        <f t="shared" si="5"/>
        <v>#NUM!</v>
      </c>
      <c r="AN23" s="59">
        <f ca="1">AVERAGE(OFFSET($AM$3,0,0,'Données projet'!$E$10+1,1))-AVERAGE(OFFSET($H$3,0,0,'Données projet'!$E$10+1,1))</f>
        <v>144.46767095844729</v>
      </c>
      <c r="AO23" s="59">
        <f t="shared" si="36"/>
        <v>335.56739599097097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70.219875303745695</v>
      </c>
      <c r="AV23" s="21">
        <f>EXP(-LN(2)/25)*AV22+(1-EXP(-LN(2)/25))/(LN(2)/25)*Calculateur!AQ23*Calculateur!AS23*VLOOKUP('Données projet'!$B$10,Paramètres!$A$1:$I$89,3,0)*0.475*44/12</f>
        <v>18.775632655223781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88.995507958969483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>
        <f>BD23*VLOOKUP('Données projet'!$B$11,Paramètres!$A$1:$I$89,3,0)*VLOOKUP('Données projet'!$B$11,Paramètres!$A$1:$I$89,5,0)</f>
        <v>0</v>
      </c>
      <c r="BF23" s="13" t="e">
        <f t="shared" si="37"/>
        <v>#NUM!</v>
      </c>
      <c r="BG23" s="20" t="e">
        <f t="shared" si="7"/>
        <v>#NUM!</v>
      </c>
      <c r="BH23" s="59" t="e">
        <f t="shared" si="8"/>
        <v>#NUM!</v>
      </c>
      <c r="BI23" s="59">
        <f ca="1">AVERAGE(OFFSET($BH$3,0,0,'Données projet'!$E$11+1,1))-AVERAGE(OFFSET($H$3,0,0,'Données projet'!$E$11+1,1))</f>
        <v>110.21219780294564</v>
      </c>
      <c r="BJ23" s="59">
        <f t="shared" si="38"/>
        <v>310.34820112478593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61.51359790711242</v>
      </c>
      <c r="BQ23" s="21">
        <f>EXP(-LN(2)/25)*BQ22+(1-EXP(-LN(2)/25))/(LN(2)/25)*Calculateur!BL23*Calculateur!BN23*VLOOKUP('Données projet'!$B$11,Paramètres!$A$1:$I$89,3,0)*0.475*44/12</f>
        <v>16.0614454435994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77.575043350711823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>
        <f>BY23*VLOOKUP('Données projet'!$B$12,Paramètres!$A$1:$I$89,3,0)*VLOOKUP('Données projet'!$B$12,Paramètres!$A$1:$I$89,5,0)</f>
        <v>0</v>
      </c>
      <c r="CA23" s="13" t="e">
        <f t="shared" si="39"/>
        <v>#NUM!</v>
      </c>
      <c r="CB23" s="20" t="e">
        <f t="shared" si="10"/>
        <v>#NUM!</v>
      </c>
      <c r="CC23" s="59" t="e">
        <f t="shared" si="11"/>
        <v>#NUM!</v>
      </c>
      <c r="CD23" s="59">
        <f ca="1">AVERAGE(OFFSET($CC$3,0,0,'Données projet'!$E$12+1,1))-AVERAGE(OFFSET($H$3,0,0,'Données projet'!$E$12+1,1))</f>
        <v>102.77795559500703</v>
      </c>
      <c r="CE23" s="59">
        <f t="shared" si="40"/>
        <v>288.83946957374047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56.874867573133443</v>
      </c>
      <c r="CL23" s="21">
        <f>EXP(-LN(2)/25)*CL22+(1-EXP(-LN(2)/25))/(LN(2)/25)*Calculateur!CG23*Calculateur!CI23*VLOOKUP('Données projet'!$B$12,Paramètres!$A$1:$I$89,3,0)*0.475*44/12</f>
        <v>14.850254475721407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71.725122048854843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6">
        <f t="shared" si="1"/>
        <v>256.66666666666669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134.64362224914908</v>
      </c>
      <c r="T24" s="59">
        <f t="shared" si="34"/>
        <v>312.46749071109713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63.651474094621022</v>
      </c>
      <c r="AA24" s="21">
        <f>EXP(-LN(2)/25)*AA23+(1-EXP(-LN(2)/25))/(LN(2)/25)*Calculateur!V24*Calculateur!X24*VLOOKUP('Données projet'!$B$9,Paramètres!$A$1:$I$89,3,0)*0.475*44/12</f>
        <v>16.8850615803198</v>
      </c>
      <c r="AB24" s="21">
        <f>EXP(-LN(2)/2)*AB23+(1-EXP(-LN(2)/2))/(LN(2)/2)*V24*Y24*VLOOKUP('Données projet'!$B$9,Paramètres!$A$1:$I$89,3,0)*0.475*44/12</f>
        <v>0</v>
      </c>
      <c r="AC24" s="22">
        <f t="shared" si="3"/>
        <v>80.536535674940822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144.46767095844729</v>
      </c>
      <c r="AO24" s="59">
        <f t="shared" si="36"/>
        <v>335.56739599097097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68.842906378934074</v>
      </c>
      <c r="AV24" s="21">
        <f>EXP(-LN(2)/25)*AV23+(1-EXP(-LN(2)/25))/(LN(2)/25)*Calculateur!AQ24*Calculateur!AS24*VLOOKUP('Données projet'!$B$10,Paramètres!$A$1:$I$89,3,0)*0.475*44/12</f>
        <v>18.262211992899079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87.105118371833157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110.21219780294564</v>
      </c>
      <c r="BJ24" s="59">
        <f t="shared" si="38"/>
        <v>310.34820112478593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60.307353771743919</v>
      </c>
      <c r="BQ24" s="21">
        <f>EXP(-LN(2)/25)*BQ23+(1-EXP(-LN(2)/25))/(LN(2)/25)*Calculateur!BL24*Calculateur!BN24*VLOOKUP('Données projet'!$B$11,Paramètres!$A$1:$I$89,3,0)*0.475*44/12</f>
        <v>15.622244373309467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75.92959814505339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102.77795559500703</v>
      </c>
      <c r="CE24" s="59">
        <f t="shared" si="40"/>
        <v>288.83946957374047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55.759586110268138</v>
      </c>
      <c r="CL24" s="21">
        <f>EXP(-LN(2)/25)*CL23+(1-EXP(-LN(2)/25))/(LN(2)/25)*Calculateur!CG24*Calculateur!CI24*VLOOKUP('Données projet'!$B$12,Paramètres!$A$1:$I$89,3,0)*0.475*44/12</f>
        <v>14.444173486141862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70.203759596409995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6">
        <f t="shared" si="1"/>
        <v>256.66666666666669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134.64362224914908</v>
      </c>
      <c r="T25" s="59">
        <f t="shared" si="34"/>
        <v>312.46749071109713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62.403307511191194</v>
      </c>
      <c r="AA25" s="21">
        <f>EXP(-LN(2)/25)*AA24+(1-EXP(-LN(2)/25))/(LN(2)/25)*Calculateur!V25*Calculateur!X25*VLOOKUP('Données projet'!$B$9,Paramètres!$A$1:$I$89,3,0)*0.475*44/12</f>
        <v>16.423338683459157</v>
      </c>
      <c r="AB25" s="21">
        <f>EXP(-LN(2)/2)*AB24+(1-EXP(-LN(2)/2))/(LN(2)/2)*V25*Y25*VLOOKUP('Données projet'!$B$9,Paramètres!$A$1:$I$89,3,0)*0.475*44/12</f>
        <v>0</v>
      </c>
      <c r="AC25" s="22">
        <f t="shared" si="3"/>
        <v>78.826646194650351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144.46767095844729</v>
      </c>
      <c r="AO25" s="59">
        <f t="shared" si="36"/>
        <v>335.56739599097097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67.492938974869901</v>
      </c>
      <c r="AV25" s="21">
        <f>EXP(-LN(2)/25)*AV24+(1-EXP(-LN(2)/25))/(LN(2)/25)*Calculateur!AQ25*Calculateur!AS25*VLOOKUP('Données projet'!$B$10,Paramètres!$A$1:$I$89,3,0)*0.475*44/12</f>
        <v>17.762830845585263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85.255769820455157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110.21219780294564</v>
      </c>
      <c r="BJ25" s="59">
        <f t="shared" si="38"/>
        <v>310.34820112478593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59.124763348133719</v>
      </c>
      <c r="BQ25" s="21">
        <f>EXP(-LN(2)/25)*BQ24+(1-EXP(-LN(2)/25))/(LN(2)/25)*Calculateur!BL25*Calculateur!BN25*VLOOKUP('Données projet'!$B$11,Paramètres!$A$1:$I$89,3,0)*0.475*44/12</f>
        <v>15.195053279383194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74.319816627516914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102.77795559500703</v>
      </c>
      <c r="CE25" s="59">
        <f t="shared" si="40"/>
        <v>288.83946957374047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54.666174636635098</v>
      </c>
      <c r="CL25" s="21">
        <f>EXP(-LN(2)/25)*CL24+(1-EXP(-LN(2)/25))/(LN(2)/25)*Calculateur!CG25*Calculateur!CI25*VLOOKUP('Données projet'!$B$12,Paramètres!$A$1:$I$89,3,0)*0.475*44/12</f>
        <v>14.049196802577242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68.715371439212333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6">
        <f t="shared" si="1"/>
        <v>256.66666666666669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134.64362224914908</v>
      </c>
      <c r="T26" s="59">
        <f t="shared" si="34"/>
        <v>312.46749071109713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61.17961671315598</v>
      </c>
      <c r="AA26" s="21">
        <f>EXP(-LN(2)/25)*AA25+(1-EXP(-LN(2)/25))/(LN(2)/25)*Calculateur!V26*Calculateur!X26*VLOOKUP('Données projet'!$B$9,Paramètres!$A$1:$I$89,3,0)*0.475*44/12</f>
        <v>15.974241623494121</v>
      </c>
      <c r="AB26" s="21">
        <f>EXP(-LN(2)/2)*AB25+(1-EXP(-LN(2)/2))/(LN(2)/2)*V26*Y26*VLOOKUP('Données projet'!$B$9,Paramètres!$A$1:$I$89,3,0)*0.475*44/12</f>
        <v>0</v>
      </c>
      <c r="AC26" s="22">
        <f t="shared" si="3"/>
        <v>77.153858336650103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144.46767095844729</v>
      </c>
      <c r="AO26" s="59">
        <f t="shared" si="36"/>
        <v>335.56739599097097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66.169443608200609</v>
      </c>
      <c r="AV26" s="21">
        <f>EXP(-LN(2)/25)*AV25+(1-EXP(-LN(2)/25))/(LN(2)/25)*Calculateur!AQ26*Calculateur!AS26*VLOOKUP('Données projet'!$B$10,Paramètres!$A$1:$I$89,3,0)*0.475*44/12</f>
        <v>17.277105302006056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83.446548910206673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110.21219780294564</v>
      </c>
      <c r="BJ26" s="59">
        <f t="shared" si="38"/>
        <v>310.34820112478593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57.965362801421577</v>
      </c>
      <c r="BQ26" s="21">
        <f>EXP(-LN(2)/25)*BQ25+(1-EXP(-LN(2)/25))/(LN(2)/25)*Calculateur!BL26*Calculateur!BN26*VLOOKUP('Données projet'!$B$11,Paramètres!$A$1:$I$89,3,0)*0.475*44/12</f>
        <v>14.779543748385336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72.744906549806913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102.77795559500703</v>
      </c>
      <c r="CE26" s="59">
        <f t="shared" si="40"/>
        <v>288.83946957374047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53.594204295084857</v>
      </c>
      <c r="CL26" s="21">
        <f>EXP(-LN(2)/25)*CL25+(1-EXP(-LN(2)/25))/(LN(2)/25)*Calculateur!CG26*Calculateur!CI26*VLOOKUP('Données projet'!$B$12,Paramètres!$A$1:$I$89,3,0)*0.475*44/12</f>
        <v>13.665020777195618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67.259225072280472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6">
        <f t="shared" si="1"/>
        <v>256.66666666666669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134.64362224914908</v>
      </c>
      <c r="T27" s="59">
        <f t="shared" si="34"/>
        <v>312.46749071109713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59.97992174529255</v>
      </c>
      <c r="AA27" s="21">
        <f>EXP(-LN(2)/25)*AA26+(1-EXP(-LN(2)/25))/(LN(2)/25)*Calculateur!V27*Calculateur!X27*VLOOKUP('Données projet'!$B$9,Paramètres!$A$1:$I$89,3,0)*0.475*44/12</f>
        <v>15.537425146250817</v>
      </c>
      <c r="AB27" s="21">
        <f>EXP(-LN(2)/2)*AB26+(1-EXP(-LN(2)/2))/(LN(2)/2)*V27*Y27*VLOOKUP('Données projet'!$B$9,Paramètres!$A$1:$I$89,3,0)*0.475*44/12</f>
        <v>0</v>
      </c>
      <c r="AC27" s="22">
        <f t="shared" si="3"/>
        <v>75.517346891543369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144.46767095844729</v>
      </c>
      <c r="AO27" s="59">
        <f t="shared" si="36"/>
        <v>335.56739599097097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64.871901178419236</v>
      </c>
      <c r="AV27" s="21">
        <f>EXP(-LN(2)/25)*AV26+(1-EXP(-LN(2)/25))/(LN(2)/25)*Calculateur!AQ27*Calculateur!AS27*VLOOKUP('Données projet'!$B$10,Paramètres!$A$1:$I$89,3,0)*0.475*44/12</f>
        <v>16.804661948959222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81.676563127378458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110.21219780294564</v>
      </c>
      <c r="BJ27" s="59">
        <f t="shared" si="38"/>
        <v>310.34820112478593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56.828697392265951</v>
      </c>
      <c r="BQ27" s="21">
        <f>EXP(-LN(2)/25)*BQ26+(1-EXP(-LN(2)/25))/(LN(2)/25)*Calculateur!BL27*Calculateur!BN27*VLOOKUP('Données projet'!$B$11,Paramètres!$A$1:$I$89,3,0)*0.475*44/12</f>
        <v>14.375396347363312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71.204093739629258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102.77795559500703</v>
      </c>
      <c r="CE27" s="59">
        <f t="shared" si="40"/>
        <v>288.83946957374047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52.543254638095071</v>
      </c>
      <c r="CL27" s="21">
        <f>EXP(-LN(2)/25)*CL26+(1-EXP(-LN(2)/25))/(LN(2)/25)*Calculateur!CG27*Calculateur!CI27*VLOOKUP('Données projet'!$B$12,Paramètres!$A$1:$I$89,3,0)*0.475*44/12</f>
        <v>13.291350065430994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65.834604703526068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6">
        <f t="shared" si="1"/>
        <v>256.66666666666669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134.64362224914908</v>
      </c>
      <c r="T28" s="59">
        <f t="shared" si="34"/>
        <v>312.46749071109713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58.803752064007242</v>
      </c>
      <c r="AA28" s="21">
        <f>EXP(-LN(2)/25)*AA27+(1-EXP(-LN(2)/25))/(LN(2)/25)*Calculateur!V28*Calculateur!X28*VLOOKUP('Données projet'!$B$9,Paramètres!$A$1:$I$89,3,0)*0.475*44/12</f>
        <v>15.112553438548911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73.916305502556156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144.46767095844729</v>
      </c>
      <c r="AO28" s="59">
        <f t="shared" si="36"/>
        <v>335.56739599097097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63.599802764263146</v>
      </c>
      <c r="AV28" s="21">
        <f>EXP(-LN(2)/25)*AV27+(1-EXP(-LN(2)/25))/(LN(2)/25)*Calculateur!AQ28*Calculateur!AS28*VLOOKUP('Données projet'!$B$10,Paramètres!$A$1:$I$89,3,0)*0.475*44/12</f>
        <v>16.345137584246167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79.944940348509306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110.21219780294564</v>
      </c>
      <c r="BJ28" s="59">
        <f t="shared" si="38"/>
        <v>310.34820112478593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55.714321298486432</v>
      </c>
      <c r="BQ28" s="21">
        <f>EXP(-LN(2)/25)*BQ27+(1-EXP(-LN(2)/25))/(LN(2)/25)*Calculateur!BL28*Calculateur!BN28*VLOOKUP('Données projet'!$B$11,Paramètres!$A$1:$I$89,3,0)*0.475*44/12</f>
        <v>13.982300378275424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69.69662167676185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102.77795559500703</v>
      </c>
      <c r="CE28" s="59">
        <f t="shared" si="40"/>
        <v>288.83946957374047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51.512913462862855</v>
      </c>
      <c r="CL28" s="21">
        <f>EXP(-LN(2)/25)*CL27+(1-EXP(-LN(2)/25))/(LN(2)/25)*Calculateur!CG28*Calculateur!CI28*VLOOKUP('Données projet'!$B$12,Paramètres!$A$1:$I$89,3,0)*0.475*44/12</f>
        <v>12.92789739893006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64.440810861792912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6">
        <f t="shared" si="1"/>
        <v>256.66666666666669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134.64362224914908</v>
      </c>
      <c r="T29" s="59">
        <f t="shared" si="34"/>
        <v>312.46749071109713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57.650646352779269</v>
      </c>
      <c r="AA29" s="21">
        <f>EXP(-LN(2)/25)*AA28+(1-EXP(-LN(2)/25))/(LN(2)/25)*Calculateur!V29*Calculateur!X29*VLOOKUP('Données projet'!$B$9,Paramètres!$A$1:$I$89,3,0)*0.475*44/12</f>
        <v>14.699299870037146</v>
      </c>
      <c r="AB29" s="21">
        <f>EXP(-LN(2)/2)*AB28+(1-EXP(-LN(2)/2))/(LN(2)/2)*V29*Y29*VLOOKUP('Données projet'!$B$9,Paramètres!$A$1:$I$89,3,0)*0.475*44/12</f>
        <v>0</v>
      </c>
      <c r="AC29" s="22">
        <f t="shared" si="3"/>
        <v>72.349946222816413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144.46767095844729</v>
      </c>
      <c r="AO29" s="59">
        <f t="shared" si="36"/>
        <v>335.56739599097097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62.352649424105238</v>
      </c>
      <c r="AV29" s="21">
        <f>EXP(-LN(2)/25)*AV28+(1-EXP(-LN(2)/25))/(LN(2)/25)*Calculateur!AQ29*Calculateur!AS29*VLOOKUP('Données projet'!$B$10,Paramètres!$A$1:$I$89,3,0)*0.475*44/12</f>
        <v>15.898178937451528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78.250828361556771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110.21219780294564</v>
      </c>
      <c r="BJ29" s="59">
        <f t="shared" si="38"/>
        <v>310.34820112478593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54.621797440203622</v>
      </c>
      <c r="BQ29" s="21">
        <f>EXP(-LN(2)/25)*BQ28+(1-EXP(-LN(2)/25))/(LN(2)/25)*Calculateur!BL29*Calculateur!BN29*VLOOKUP('Données projet'!$B$11,Paramètres!$A$1:$I$89,3,0)*0.475*44/12</f>
        <v>13.599953639134263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68.221751079337878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102.77795559500703</v>
      </c>
      <c r="CE29" s="59">
        <f t="shared" si="40"/>
        <v>288.83946957374047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50.502776649630881</v>
      </c>
      <c r="CL29" s="21">
        <f>EXP(-LN(2)/25)*CL28+(1-EXP(-LN(2)/25))/(LN(2)/25)*Calculateur!CG29*Calculateur!CI29*VLOOKUP('Données projet'!$B$12,Paramètres!$A$1:$I$89,3,0)*0.475*44/12</f>
        <v>12.574383364707741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63.077160014338624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6">
        <f t="shared" si="1"/>
        <v>256.66666666666669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134.64362224914908</v>
      </c>
      <c r="T30" s="59">
        <f t="shared" si="34"/>
        <v>312.46749071109713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56.520152341223444</v>
      </c>
      <c r="AA30" s="21">
        <f>EXP(-LN(2)/25)*AA29+(1-EXP(-LN(2)/25))/(LN(2)/25)*Calculateur!V30*Calculateur!X30*VLOOKUP('Données projet'!$B$9,Paramètres!$A$1:$I$89,3,0)*0.475*44/12</f>
        <v>14.297346742088395</v>
      </c>
      <c r="AB30" s="21">
        <f>EXP(-LN(2)/2)*AB29+(1-EXP(-LN(2)/2))/(LN(2)/2)*V30*Y30*VLOOKUP('Données projet'!$B$9,Paramètres!$A$1:$I$89,3,0)*0.475*44/12</f>
        <v>0</v>
      </c>
      <c r="AC30" s="22">
        <f t="shared" si="3"/>
        <v>70.817499083311844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144.46767095844729</v>
      </c>
      <c r="AO30" s="59">
        <f t="shared" si="36"/>
        <v>335.56739599097097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61.129952000259401</v>
      </c>
      <c r="AV30" s="21">
        <f>EXP(-LN(2)/25)*AV29+(1-EXP(-LN(2)/25))/(LN(2)/25)*Calculateur!AQ30*Calculateur!AS30*VLOOKUP('Données projet'!$B$10,Paramètres!$A$1:$I$89,3,0)*0.475*44/12</f>
        <v>15.463442398358021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76.59339439861742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110.21219780294564</v>
      </c>
      <c r="BJ30" s="59">
        <f t="shared" si="38"/>
        <v>310.34820112478593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53.550697308407983</v>
      </c>
      <c r="BQ30" s="21">
        <f>EXP(-LN(2)/25)*BQ29+(1-EXP(-LN(2)/25))/(LN(2)/25)*Calculateur!BL30*Calculateur!BN30*VLOOKUP('Données projet'!$B$11,Paramètres!$A$1:$I$89,3,0)*0.475*44/12</f>
        <v>13.228062191681659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66.778759500089649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102.77795559500703</v>
      </c>
      <c r="CE30" s="59">
        <f t="shared" si="40"/>
        <v>288.83946957374047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49.512448003183771</v>
      </c>
      <c r="CL30" s="21">
        <f>EXP(-LN(2)/25)*CL29+(1-EXP(-LN(2)/25))/(LN(2)/25)*Calculateur!CG30*Calculateur!CI30*VLOOKUP('Données projet'!$B$12,Paramètres!$A$1:$I$89,3,0)*0.475*44/12</f>
        <v>12.230536190341725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61.742984193525494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6">
        <f t="shared" si="1"/>
        <v>256.66666666666669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134.64362224914908</v>
      </c>
      <c r="T31" s="59">
        <f t="shared" si="34"/>
        <v>312.46749071109713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55.411826627700968</v>
      </c>
      <c r="AA31" s="21">
        <f>EXP(-LN(2)/25)*AA30+(1-EXP(-LN(2)/25))/(LN(2)/25)*Calculateur!V31*Calculateur!X31*VLOOKUP('Données projet'!$B$9,Paramètres!$A$1:$I$89,3,0)*0.475*44/12</f>
        <v>13.906385043561199</v>
      </c>
      <c r="AB31" s="21">
        <f>EXP(-LN(2)/2)*AB30+(1-EXP(-LN(2)/2))/(LN(2)/2)*V31*Y31*VLOOKUP('Données projet'!$B$9,Paramètres!$A$1:$I$89,3,0)*0.475*44/12</f>
        <v>0</v>
      </c>
      <c r="AC31" s="22">
        <f t="shared" si="3"/>
        <v>69.318211671262162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144.46767095844729</v>
      </c>
      <c r="AO31" s="59">
        <f t="shared" si="36"/>
        <v>335.56739599097097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59.931230927123387</v>
      </c>
      <c r="AV31" s="21">
        <f>EXP(-LN(2)/25)*AV30+(1-EXP(-LN(2)/25))/(LN(2)/25)*Calculateur!AQ31*Calculateur!AS31*VLOOKUP('Données projet'!$B$10,Paramètres!$A$1:$I$89,3,0)*0.475*44/12</f>
        <v>15.040593752787828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74.971824679911208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110.21219780294564</v>
      </c>
      <c r="BJ31" s="59">
        <f t="shared" si="38"/>
        <v>310.34820112478593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52.500600796890289</v>
      </c>
      <c r="BQ31" s="21">
        <f>EXP(-LN(2)/25)*BQ30+(1-EXP(-LN(2)/25))/(LN(2)/25)*Calculateur!BL31*Calculateur!BN31*VLOOKUP('Données projet'!$B$11,Paramètres!$A$1:$I$89,3,0)*0.475*44/12</f>
        <v>12.866340135416566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65.366940932306861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102.77795559500703</v>
      </c>
      <c r="CE31" s="59">
        <f t="shared" si="40"/>
        <v>288.83946957374047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48.541539097452656</v>
      </c>
      <c r="CL31" s="21">
        <f>EXP(-LN(2)/25)*CL30+(1-EXP(-LN(2)/25))/(LN(2)/25)*Calculateur!CG31*Calculateur!CI31*VLOOKUP('Données projet'!$B$12,Paramètres!$A$1:$I$89,3,0)*0.475*44/12</f>
        <v>11.896091535040886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60.437630632493544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6">
        <f t="shared" si="1"/>
        <v>256.66666666666669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134.64362224914908</v>
      </c>
      <c r="T32" s="59">
        <f t="shared" si="34"/>
        <v>312.46749071109713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54.32523450540873</v>
      </c>
      <c r="AA32" s="21">
        <f>EXP(-LN(2)/25)*AA31+(1-EXP(-LN(2)/25))/(LN(2)/25)*Calculateur!V32*Calculateur!X32*VLOOKUP('Données projet'!$B$9,Paramètres!$A$1:$I$89,3,0)*0.475*44/12</f>
        <v>13.526114213240012</v>
      </c>
      <c r="AB32" s="21">
        <f>EXP(-LN(2)/2)*AB31+(1-EXP(-LN(2)/2))/(LN(2)/2)*V32*Y32*VLOOKUP('Données projet'!$B$9,Paramètres!$A$1:$I$89,3,0)*0.475*44/12</f>
        <v>0</v>
      </c>
      <c r="AC32" s="22">
        <f t="shared" si="3"/>
        <v>67.851348718648737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144.46767095844729</v>
      </c>
      <c r="AO32" s="59">
        <f t="shared" si="36"/>
        <v>335.56739599097097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58.75601604308391</v>
      </c>
      <c r="AV32" s="21">
        <f>EXP(-LN(2)/25)*AV31+(1-EXP(-LN(2)/25))/(LN(2)/25)*Calculateur!AQ32*Calculateur!AS32*VLOOKUP('Données projet'!$B$10,Paramètres!$A$1:$I$89,3,0)*0.475*44/12</f>
        <v>14.629307925667396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73.385323968751308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110.21219780294564</v>
      </c>
      <c r="BJ32" s="59">
        <f t="shared" si="38"/>
        <v>310.34820112478593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51.471096037467824</v>
      </c>
      <c r="BQ32" s="21">
        <f>EXP(-LN(2)/25)*BQ31+(1-EXP(-LN(2)/25))/(LN(2)/25)*Calculateur!BL32*Calculateur!BN32*VLOOKUP('Données projet'!$B$11,Paramètres!$A$1:$I$89,3,0)*0.475*44/12</f>
        <v>12.514509387802178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63.985605425270002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102.77795559500703</v>
      </c>
      <c r="CE32" s="59">
        <f t="shared" si="40"/>
        <v>288.83946957374047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47.589669123166971</v>
      </c>
      <c r="CL32" s="21">
        <f>EXP(-LN(2)/25)*CL31+(1-EXP(-LN(2)/25))/(LN(2)/25)*Calculateur!CG32*Calculateur!CI32*VLOOKUP('Données projet'!$B$12,Paramètres!$A$1:$I$89,3,0)*0.475*44/12</f>
        <v>11.570792286426929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59.1604614095939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6">
        <f t="shared" si="1"/>
        <v>256.66666666666669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134.64362224914908</v>
      </c>
      <c r="T33" s="59">
        <f t="shared" si="34"/>
        <v>312.46749071109713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53.259949791878888</v>
      </c>
      <c r="AA33" s="21">
        <f>EXP(-LN(2)/25)*AA32+(1-EXP(-LN(2)/25))/(LN(2)/25)*Calculateur!V33*Calculateur!X33*VLOOKUP('Données projet'!$B$9,Paramètres!$A$1:$I$89,3,0)*0.475*44/12</f>
        <v>13.156241908771532</v>
      </c>
      <c r="AB33" s="21">
        <f>EXP(-LN(2)/2)*AB32+(1-EXP(-LN(2)/2))/(LN(2)/2)*V33*Y33*VLOOKUP('Données projet'!$B$9,Paramètres!$A$1:$I$89,3,0)*0.475*44/12</f>
        <v>0</v>
      </c>
      <c r="AC33" s="22">
        <f t="shared" si="3"/>
        <v>66.416191700650415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144.46767095844729</v>
      </c>
      <c r="AO33" s="59">
        <f t="shared" si="36"/>
        <v>335.56739599097097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57.603846406110151</v>
      </c>
      <c r="AV33" s="21">
        <f>EXP(-LN(2)/25)*AV32+(1-EXP(-LN(2)/25))/(LN(2)/25)*Calculateur!AQ33*Calculateur!AS33*VLOOKUP('Données projet'!$B$10,Paramètres!$A$1:$I$89,3,0)*0.475*44/12</f>
        <v>14.229268731118152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71.833115137228305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110.21219780294564</v>
      </c>
      <c r="BJ33" s="59">
        <f t="shared" si="38"/>
        <v>310.34820112478593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50.461779238441736</v>
      </c>
      <c r="BQ33" s="21">
        <f>EXP(-LN(2)/25)*BQ32+(1-EXP(-LN(2)/25))/(LN(2)/25)*Calculateur!BL33*Calculateur!BN33*VLOOKUP('Données projet'!$B$11,Paramètres!$A$1:$I$89,3,0)*0.475*44/12</f>
        <v>12.172299470483281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62.634078708925017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102.77795559500703</v>
      </c>
      <c r="CE33" s="59">
        <f t="shared" si="40"/>
        <v>288.83946957374047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46.656464738493668</v>
      </c>
      <c r="CL33" s="21">
        <f>EXP(-LN(2)/25)*CL32+(1-EXP(-LN(2)/25))/(LN(2)/25)*Calculateur!CG33*Calculateur!CI33*VLOOKUP('Données projet'!$B$12,Paramètres!$A$1:$I$89,3,0)*0.475*44/12</f>
        <v>11.254388362873064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57.910853101366733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6">
        <f t="shared" si="1"/>
        <v>256.66666666666669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134.64362224914908</v>
      </c>
      <c r="T34" s="59">
        <f t="shared" si="34"/>
        <v>312.46749071109713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52.215554661821855</v>
      </c>
      <c r="AA34" s="21">
        <f>EXP(-LN(2)/25)*AA33+(1-EXP(-LN(2)/25))/(LN(2)/25)*Calculateur!V34*Calculateur!X34*VLOOKUP('Données projet'!$B$9,Paramètres!$A$1:$I$89,3,0)*0.475*44/12</f>
        <v>12.796483781919482</v>
      </c>
      <c r="AB34" s="21">
        <f>EXP(-LN(2)/2)*AB33+(1-EXP(-LN(2)/2))/(LN(2)/2)*V34*Y34*VLOOKUP('Données projet'!$B$9,Paramètres!$A$1:$I$89,3,0)*0.475*44/12</f>
        <v>0</v>
      </c>
      <c r="AC34" s="22">
        <f t="shared" si="3"/>
        <v>65.012038443741332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144.46767095844729</v>
      </c>
      <c r="AO34" s="59">
        <f t="shared" si="36"/>
        <v>335.56739599097097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56.47427011296336</v>
      </c>
      <c r="AV34" s="21">
        <f>EXP(-LN(2)/25)*AV33+(1-EXP(-LN(2)/25))/(LN(2)/25)*Calculateur!AQ34*Calculateur!AS34*VLOOKUP('Données projet'!$B$10,Paramètres!$A$1:$I$89,3,0)*0.475*44/12</f>
        <v>13.840168629381004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70.314438742344365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110.21219780294564</v>
      </c>
      <c r="BJ34" s="59">
        <f t="shared" si="38"/>
        <v>310.34820112478593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49.472254526222088</v>
      </c>
      <c r="BQ34" s="21">
        <f>EXP(-LN(2)/25)*BQ33+(1-EXP(-LN(2)/25))/(LN(2)/25)*Calculateur!BL34*Calculateur!BN34*VLOOKUP('Données projet'!$B$11,Paramètres!$A$1:$I$89,3,0)*0.475*44/12</f>
        <v>11.839447301349507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61.311701827571596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102.77795559500703</v>
      </c>
      <c r="CE34" s="59">
        <f t="shared" si="40"/>
        <v>288.83946957374047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45.74155992260534</v>
      </c>
      <c r="CL34" s="21">
        <f>EXP(-LN(2)/25)*CL33+(1-EXP(-LN(2)/25))/(LN(2)/25)*Calculateur!CG34*Calculateur!CI34*VLOOKUP('Données projet'!$B$12,Paramètres!$A$1:$I$89,3,0)*0.475*44/12</f>
        <v>10.946636521247738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56.68819644385308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6">
        <f t="shared" si="1"/>
        <v>256.66666666666669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134.64362224914908</v>
      </c>
      <c r="T35" s="59">
        <f t="shared" si="34"/>
        <v>312.46749071109713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51.191639483247108</v>
      </c>
      <c r="AA35" s="21">
        <f>EXP(-LN(2)/25)*AA34+(1-EXP(-LN(2)/25))/(LN(2)/25)*Calculateur!V35*Calculateur!X35*VLOOKUP('Données projet'!$B$9,Paramètres!$A$1:$I$89,3,0)*0.475*44/12</f>
        <v>12.446563259965059</v>
      </c>
      <c r="AB35" s="21">
        <f>EXP(-LN(2)/2)*AB34+(1-EXP(-LN(2)/2))/(LN(2)/2)*V35*Y35*VLOOKUP('Données projet'!$B$9,Paramètres!$A$1:$I$89,3,0)*0.475*44/12</f>
        <v>0</v>
      </c>
      <c r="AC35" s="22">
        <f t="shared" si="3"/>
        <v>63.638202743212169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144.46767095844729</v>
      </c>
      <c r="AO35" s="59">
        <f t="shared" si="36"/>
        <v>335.56739599097097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55.366844121951665</v>
      </c>
      <c r="AV35" s="21">
        <f>EXP(-LN(2)/25)*AV34+(1-EXP(-LN(2)/25))/(LN(2)/25)*Calculateur!AQ35*Calculateur!AS35*VLOOKUP('Données projet'!$B$10,Paramètres!$A$1:$I$89,3,0)*0.475*44/12</f>
        <v>13.461708490387744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68.828552612339408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110.21219780294564</v>
      </c>
      <c r="BJ35" s="59">
        <f t="shared" si="38"/>
        <v>310.34820112478593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48.502133790058593</v>
      </c>
      <c r="BQ35" s="21">
        <f>EXP(-LN(2)/25)*BQ34+(1-EXP(-LN(2)/25))/(LN(2)/25)*Calculateur!BL35*Calculateur!BN35*VLOOKUP('Données projet'!$B$11,Paramètres!$A$1:$I$89,3,0)*0.475*44/12</f>
        <v>11.51569699228463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60.017830782343225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102.77795559500703</v>
      </c>
      <c r="CE35" s="59">
        <f t="shared" si="40"/>
        <v>288.83946957374047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44.844595832119744</v>
      </c>
      <c r="CL35" s="21">
        <f>EXP(-LN(2)/25)*CL34+(1-EXP(-LN(2)/25))/(LN(2)/25)*Calculateur!CG35*Calculateur!CI35*VLOOKUP('Données projet'!$B$12,Paramètres!$A$1:$I$89,3,0)*0.475*44/12</f>
        <v>10.647300169915622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55.491896002035368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6">
        <f t="shared" si="1"/>
        <v>256.66666666666669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134.64362224914908</v>
      </c>
      <c r="T36" s="59">
        <f t="shared" si="34"/>
        <v>312.46749071109713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50.187802656797622</v>
      </c>
      <c r="AA36" s="21">
        <f>EXP(-LN(2)/25)*AA35+(1-EXP(-LN(2)/25))/(LN(2)/25)*Calculateur!V36*Calculateur!X36*VLOOKUP('Données projet'!$B$9,Paramètres!$A$1:$I$89,3,0)*0.475*44/12</f>
        <v>12.106211333085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62.294013989882622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144.46767095844729</v>
      </c>
      <c r="AO36" s="59">
        <f t="shared" si="36"/>
        <v>335.56739599097097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54.281134079160552</v>
      </c>
      <c r="AV36" s="21">
        <f>EXP(-LN(2)/25)*AV35+(1-EXP(-LN(2)/25))/(LN(2)/25)*Calculateur!AQ36*Calculateur!AS36*VLOOKUP('Données projet'!$B$10,Paramètres!$A$1:$I$89,3,0)*0.475*44/12</f>
        <v>13.09359736379761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67.374731442958165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110.21219780294564</v>
      </c>
      <c r="BJ36" s="59">
        <f t="shared" si="38"/>
        <v>310.34820112478593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47.551036529816038</v>
      </c>
      <c r="BQ36" s="21">
        <f>EXP(-LN(2)/25)*BQ35+(1-EXP(-LN(2)/25))/(LN(2)/25)*Calculateur!BL36*Calculateur!BN36*VLOOKUP('Données projet'!$B$11,Paramètres!$A$1:$I$89,3,0)*0.475*44/12</f>
        <v>11.20079965244642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58.751836182262458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102.77795559500703</v>
      </c>
      <c r="CE36" s="59">
        <f t="shared" si="40"/>
        <v>288.83946957374047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43.965220660354497</v>
      </c>
      <c r="CL36" s="21">
        <f>EXP(-LN(2)/25)*CL35+(1-EXP(-LN(2)/25))/(LN(2)/25)*Calculateur!CG36*Calculateur!CI36*VLOOKUP('Données projet'!$B$12,Paramètres!$A$1:$I$89,3,0)*0.475*44/12</f>
        <v>10.356149186852099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54.321369847206597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6">
        <f t="shared" si="1"/>
        <v>256.66666666666669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134.64362224914908</v>
      </c>
      <c r="T37" s="59">
        <f t="shared" si="34"/>
        <v>312.46749071109713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49.203650458234804</v>
      </c>
      <c r="AA37" s="21">
        <f>EXP(-LN(2)/25)*AA36+(1-EXP(-LN(2)/25))/(LN(2)/25)*Calculateur!V37*Calculateur!X37*VLOOKUP('Données projet'!$B$9,Paramètres!$A$1:$I$89,3,0)*0.475*44/12</f>
        <v>11.775166347543806</v>
      </c>
      <c r="AB37" s="21">
        <f>EXP(-LN(2)/2)*AB36+(1-EXP(-LN(2)/2))/(LN(2)/2)*V37*Y37*VLOOKUP('Données projet'!$B$9,Paramètres!$A$1:$I$89,3,0)*0.475*44/12</f>
        <v>0</v>
      </c>
      <c r="AC37" s="22">
        <f t="shared" si="3"/>
        <v>60.978816805778607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144.46767095844729</v>
      </c>
      <c r="AO37" s="59">
        <f t="shared" si="36"/>
        <v>335.56739599097097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53.216714148090837</v>
      </c>
      <c r="AV37" s="21">
        <f>EXP(-LN(2)/25)*AV36+(1-EXP(-LN(2)/25))/(LN(2)/25)*Calculateur!AQ37*Calculateur!AS37*VLOOKUP('Données projet'!$B$10,Paramètres!$A$1:$I$89,3,0)*0.475*44/12</f>
        <v>12.735552255322204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65.952266403413034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110.21219780294564</v>
      </c>
      <c r="BJ37" s="59">
        <f t="shared" si="38"/>
        <v>310.34820112478593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46.618589706734795</v>
      </c>
      <c r="BQ37" s="21">
        <f>EXP(-LN(2)/25)*BQ36+(1-EXP(-LN(2)/25))/(LN(2)/25)*Calculateur!BL37*Calculateur!BN37*VLOOKUP('Données projet'!$B$11,Paramètres!$A$1:$I$89,3,0)*0.475*44/12</f>
        <v>10.89451319692582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57.513102903660617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102.77795559500703</v>
      </c>
      <c r="CE37" s="59">
        <f t="shared" si="40"/>
        <v>288.83946957374047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43.103089499341671</v>
      </c>
      <c r="CL37" s="21">
        <f>EXP(-LN(2)/25)*CL36+(1-EXP(-LN(2)/25))/(LN(2)/25)*Calculateur!CG37*Calculateur!CI37*VLOOKUP('Données projet'!$B$12,Paramètres!$A$1:$I$89,3,0)*0.475*44/12</f>
        <v>10.072959742731411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53.176049242073084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6">
        <f t="shared" si="1"/>
        <v>256.66666666666669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134.64362224914908</v>
      </c>
      <c r="T38" s="59">
        <f t="shared" si="34"/>
        <v>312.46749071109713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48.238796884012231</v>
      </c>
      <c r="AA38" s="21">
        <f>EXP(-LN(2)/25)*AA37+(1-EXP(-LN(2)/25))/(LN(2)/25)*Calculateur!V38*Calculateur!X38*VLOOKUP('Données projet'!$B$9,Paramètres!$A$1:$I$89,3,0)*0.475*44/12</f>
        <v>11.453173804541136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59.691970688553369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144.46767095844729</v>
      </c>
      <c r="AO38" s="59">
        <f t="shared" si="36"/>
        <v>335.56739599097097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52.17316684263735</v>
      </c>
      <c r="AV38" s="21">
        <f>EXP(-LN(2)/25)*AV37+(1-EXP(-LN(2)/25))/(LN(2)/25)*Calculateur!AQ38*Calculateur!AS38*VLOOKUP('Données projet'!$B$10,Paramètres!$A$1:$I$89,3,0)*0.475*44/12</f>
        <v>12.387297909166833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64.560464751804176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110.21219780294564</v>
      </c>
      <c r="BJ38" s="59">
        <f t="shared" si="38"/>
        <v>310.34820112478593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45.704427597117771</v>
      </c>
      <c r="BQ38" s="21">
        <f>EXP(-LN(2)/25)*BQ37+(1-EXP(-LN(2)/25))/(LN(2)/25)*Calculateur!BL38*Calculateur!BN38*VLOOKUP('Données projet'!$B$11,Paramètres!$A$1:$I$89,3,0)*0.475*44/12</f>
        <v>10.596602160638334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56.301029757756105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102.77795559500703</v>
      </c>
      <c r="CE38" s="59">
        <f t="shared" si="40"/>
        <v>288.83946957374047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42.257864204548227</v>
      </c>
      <c r="CL38" s="21">
        <f>EXP(-LN(2)/25)*CL37+(1-EXP(-LN(2)/25))/(LN(2)/25)*Calculateur!CG38*Calculateur!CI38*VLOOKUP('Données projet'!$B$12,Paramètres!$A$1:$I$89,3,0)*0.475*44/12</f>
        <v>9.797514128852491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52.055378333400718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6">
        <f t="shared" si="1"/>
        <v>256.66666666666669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134.64362224914908</v>
      </c>
      <c r="T39" s="59">
        <f t="shared" si="34"/>
        <v>312.46749071109713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47.292863499877598</v>
      </c>
      <c r="AA39" s="21">
        <f>EXP(-LN(2)/25)*AA38+(1-EXP(-LN(2)/25))/(LN(2)/25)*Calculateur!V39*Calculateur!X39*VLOOKUP('Données projet'!$B$9,Paramètres!$A$1:$I$89,3,0)*0.475*44/12</f>
        <v>11.139986164559724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58.43284966443732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144.46767095844729</v>
      </c>
      <c r="AO39" s="59">
        <f t="shared" si="36"/>
        <v>335.56739599097097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51.150082863342796</v>
      </c>
      <c r="AV39" s="21">
        <f>EXP(-LN(2)/25)*AV38+(1-EXP(-LN(2)/25))/(LN(2)/25)*Calculateur!AQ39*Calculateur!AS39*VLOOKUP('Données projet'!$B$10,Paramètres!$A$1:$I$89,3,0)*0.475*44/12</f>
        <v>12.048566596420979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63.198649459763772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110.21219780294564</v>
      </c>
      <c r="BJ39" s="59">
        <f t="shared" si="38"/>
        <v>310.34820112478593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44.808191648886506</v>
      </c>
      <c r="BQ39" s="21">
        <f>EXP(-LN(2)/25)*BQ38+(1-EXP(-LN(2)/25))/(LN(2)/25)*Calculateur!BL39*Calculateur!BN39*VLOOKUP('Données projet'!$B$11,Paramètres!$A$1:$I$89,3,0)*0.475*44/12</f>
        <v>10.30683751730459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55.115029166191093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102.77795559500703</v>
      </c>
      <c r="CE39" s="59">
        <f t="shared" si="40"/>
        <v>288.83946957374047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41.429213262249156</v>
      </c>
      <c r="CL39" s="21">
        <f>EXP(-LN(2)/25)*CL38+(1-EXP(-LN(2)/25))/(LN(2)/25)*Calculateur!CG39*Calculateur!CI39*VLOOKUP('Données projet'!$B$12,Paramètres!$A$1:$I$89,3,0)*0.475*44/12</f>
        <v>9.5296005897701441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50.958813852019304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6">
        <f t="shared" si="1"/>
        <v>256.66666666666669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134.64362224914908</v>
      </c>
      <c r="T40" s="59">
        <f t="shared" si="34"/>
        <v>312.46749071109713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46.365479292443446</v>
      </c>
      <c r="AA40" s="21">
        <f>EXP(-LN(2)/25)*AA39+(1-EXP(-LN(2)/25))/(LN(2)/25)*Calculateur!V40*Calculateur!X40*VLOOKUP('Données projet'!$B$9,Paramètres!$A$1:$I$89,3,0)*0.475*44/12</f>
        <v>10.835362657063428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57.200841949506874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144.46767095844729</v>
      </c>
      <c r="AO40" s="59">
        <f t="shared" si="36"/>
        <v>335.56739599097097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50.147060936862594</v>
      </c>
      <c r="AV40" s="21">
        <f>EXP(-LN(2)/25)*AV39+(1-EXP(-LN(2)/25))/(LN(2)/25)*Calculateur!AQ40*Calculateur!AS40*VLOOKUP('Données projet'!$B$10,Paramètres!$A$1:$I$89,3,0)*0.475*44/12</f>
        <v>11.719097909235268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61.866158846097861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110.21219780294564</v>
      </c>
      <c r="BJ40" s="59">
        <f t="shared" si="38"/>
        <v>310.34820112478593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43.929530340950102</v>
      </c>
      <c r="BQ40" s="21">
        <f>EXP(-LN(2)/25)*BQ39+(1-EXP(-LN(2)/25))/(LN(2)/25)*Calculateur!BL40*Calculateur!BN40*VLOOKUP('Données projet'!$B$11,Paramètres!$A$1:$I$89,3,0)*0.475*44/12</f>
        <v>10.024996503380867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53.954526844330971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102.77795559500703</v>
      </c>
      <c r="CE40" s="59">
        <f t="shared" si="40"/>
        <v>288.83946957374047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40.616811659501401</v>
      </c>
      <c r="CL40" s="21">
        <f>EXP(-LN(2)/25)*CL39+(1-EXP(-LN(2)/25))/(LN(2)/25)*Calculateur!CG40*Calculateur!CI40*VLOOKUP('Données projet'!$B$12,Paramètres!$A$1:$I$89,3,0)*0.475*44/12</f>
        <v>9.2690131605029649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49.885824820004366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6">
        <f t="shared" si="1"/>
        <v>256.66666666666669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134.64362224914908</v>
      </c>
      <c r="T41" s="59">
        <f t="shared" si="34"/>
        <v>312.46749071109713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45.456280523668568</v>
      </c>
      <c r="AA41" s="21">
        <f>EXP(-LN(2)/25)*AA40+(1-EXP(-LN(2)/25))/(LN(2)/25)*Calculateur!V41*Calculateur!X41*VLOOKUP('Données projet'!$B$9,Paramètres!$A$1:$I$89,3,0)*0.475*44/12</f>
        <v>10.539069095399071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55.995349619067639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144.46767095844729</v>
      </c>
      <c r="AO41" s="59">
        <f t="shared" si="36"/>
        <v>335.56739599097097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49.163707658577707</v>
      </c>
      <c r="AV41" s="21">
        <f>EXP(-LN(2)/25)*AV40+(1-EXP(-LN(2)/25))/(LN(2)/25)*Calculateur!AQ41*Calculateur!AS41*VLOOKUP('Données projet'!$B$10,Paramètres!$A$1:$I$89,3,0)*0.475*44/12</f>
        <v>11.398638560626654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60.562346219204358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110.21219780294564</v>
      </c>
      <c r="BJ41" s="59">
        <f t="shared" si="38"/>
        <v>310.34820112478593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43.068099045331856</v>
      </c>
      <c r="BQ41" s="21">
        <f>EXP(-LN(2)/25)*BQ40+(1-EXP(-LN(2)/25))/(LN(2)/25)*Calculateur!BL41*Calculateur!BN41*VLOOKUP('Données projet'!$B$11,Paramètres!$A$1:$I$89,3,0)*0.475*44/12</f>
        <v>9.7508624468042644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52.818961492136118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102.77795559500703</v>
      </c>
      <c r="CE41" s="59">
        <f t="shared" si="40"/>
        <v>288.83946957374047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39.820340756667484</v>
      </c>
      <c r="CL41" s="21">
        <f>EXP(-LN(2)/25)*CL40+(1-EXP(-LN(2)/25))/(LN(2)/25)*Calculateur!CG41*Calculateur!CI41*VLOOKUP('Données projet'!$B$12,Paramètres!$A$1:$I$89,3,0)*0.475*44/12</f>
        <v>9.0155515081927931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48.835892264860277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6">
        <f t="shared" si="1"/>
        <v>256.66666666666669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134.64362224914908</v>
      </c>
      <c r="T42" s="59">
        <f t="shared" si="34"/>
        <v>312.46749071109713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44.564910588192873</v>
      </c>
      <c r="AA42" s="21">
        <f>EXP(-LN(2)/25)*AA41+(1-EXP(-LN(2)/25))/(LN(2)/25)*Calculateur!V42*Calculateur!X42*VLOOKUP('Données projet'!$B$9,Paramètres!$A$1:$I$89,3,0)*0.475*44/12</f>
        <v>10.250877696759828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54.815788284952703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144.46767095844729</v>
      </c>
      <c r="AO42" s="59">
        <f t="shared" si="36"/>
        <v>335.56739599097097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48.199637338293712</v>
      </c>
      <c r="AV42" s="21">
        <f>EXP(-LN(2)/25)*AV41+(1-EXP(-LN(2)/25))/(LN(2)/25)*Calculateur!AQ42*Calculateur!AS42*VLOOKUP('Données projet'!$B$10,Paramètres!$A$1:$I$89,3,0)*0.475*44/12</f>
        <v>11.086942189757968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59.286579528051682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110.21219780294564</v>
      </c>
      <c r="BJ42" s="59">
        <f t="shared" si="38"/>
        <v>310.34820112478593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42.223559891999471</v>
      </c>
      <c r="BQ42" s="21">
        <f>EXP(-LN(2)/25)*BQ41+(1-EXP(-LN(2)/25))/(LN(2)/25)*Calculateur!BL42*Calculateur!BN42*VLOOKUP('Données projet'!$B$11,Paramètres!$A$1:$I$89,3,0)*0.475*44/12</f>
        <v>9.4842246004208324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51.707784492420302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102.77795559500703</v>
      </c>
      <c r="CE42" s="59">
        <f t="shared" si="40"/>
        <v>288.83946957374047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39.039488162438857</v>
      </c>
      <c r="CL42" s="21">
        <f>EXP(-LN(2)/25)*CL41+(1-EXP(-LN(2)/25))/(LN(2)/25)*Calculateur!CG42*Calculateur!CI42*VLOOKUP('Données projet'!$B$12,Paramètres!$A$1:$I$89,3,0)*0.475*44/12</f>
        <v>8.7690207780940135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47.808508940532874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6">
        <f t="shared" si="1"/>
        <v>256.66666666666669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134.64362224914908</v>
      </c>
      <c r="T43" s="59">
        <f t="shared" si="34"/>
        <v>312.46749071109713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43.691019873469877</v>
      </c>
      <c r="AA43" s="21">
        <f>EXP(-LN(2)/25)*AA42+(1-EXP(-LN(2)/25))/(LN(2)/25)*Calculateur!V43*Calculateur!X43*VLOOKUP('Données projet'!$B$9,Paramètres!$A$1:$I$89,3,0)*0.475*44/12</f>
        <v>9.9705669070717011</v>
      </c>
      <c r="AB43" s="21">
        <f>EXP(-LN(2)/2)*AB42+(1-EXP(-LN(2)/2))/(LN(2)/2)*V43*Y43*VLOOKUP('Données projet'!$B$9,Paramètres!$A$1:$I$89,3,0)*0.475*44/12</f>
        <v>0</v>
      </c>
      <c r="AC43" s="22">
        <f t="shared" si="3"/>
        <v>53.661586780541576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144.46767095844729</v>
      </c>
      <c r="AO43" s="59">
        <f t="shared" si="36"/>
        <v>335.56739599097097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47.25447184896565</v>
      </c>
      <c r="AV43" s="21">
        <f>EXP(-LN(2)/25)*AV42+(1-EXP(-LN(2)/25))/(LN(2)/25)*Calculateur!AQ43*Calculateur!AS43*VLOOKUP('Données projet'!$B$10,Paramètres!$A$1:$I$89,3,0)*0.475*44/12</f>
        <v>10.783769172542087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58.038241021507737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110.21219780294564</v>
      </c>
      <c r="BJ43" s="59">
        <f t="shared" si="38"/>
        <v>310.34820112478593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41.395581636345916</v>
      </c>
      <c r="BQ43" s="21">
        <f>EXP(-LN(2)/25)*BQ42+(1-EXP(-LN(2)/25))/(LN(2)/25)*Calculateur!BL43*Calculateur!BN43*VLOOKUP('Données projet'!$B$11,Paramètres!$A$1:$I$89,3,0)*0.475*44/12</f>
        <v>9.22487797996863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50.620459616314548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102.77795559500703</v>
      </c>
      <c r="CE43" s="59">
        <f t="shared" si="40"/>
        <v>288.83946957374047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38.27394761131</v>
      </c>
      <c r="CL43" s="21">
        <f>EXP(-LN(2)/25)*CL42+(1-EXP(-LN(2)/25))/(LN(2)/25)*Calculateur!CG43*Calculateur!CI43*VLOOKUP('Données projet'!$B$12,Paramètres!$A$1:$I$89,3,0)*0.475*44/12</f>
        <v>8.5292314437742718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46.803179055084271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6">
        <f t="shared" si="1"/>
        <v>256.66666666666669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134.64362224914908</v>
      </c>
      <c r="T44" s="59">
        <f t="shared" si="34"/>
        <v>312.46749071109713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42.834265622641894</v>
      </c>
      <c r="AA44" s="21">
        <f>EXP(-LN(2)/25)*AA43+(1-EXP(-LN(2)/25))/(LN(2)/25)*Calculateur!V44*Calculateur!X44*VLOOKUP('Données projet'!$B$9,Paramètres!$A$1:$I$89,3,0)*0.475*44/12</f>
        <v>9.6979212306685003</v>
      </c>
      <c r="AB44" s="21">
        <f>EXP(-LN(2)/2)*AB43+(1-EXP(-LN(2)/2))/(LN(2)/2)*V44*Y44*VLOOKUP('Données projet'!$B$9,Paramètres!$A$1:$I$89,3,0)*0.475*44/12</f>
        <v>0</v>
      </c>
      <c r="AC44" s="22">
        <f t="shared" si="3"/>
        <v>52.532186853310392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144.46767095844729</v>
      </c>
      <c r="AO44" s="59">
        <f t="shared" si="36"/>
        <v>335.56739599097097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46.327840478389291</v>
      </c>
      <c r="AV44" s="21">
        <f>EXP(-LN(2)/25)*AV43+(1-EXP(-LN(2)/25))/(LN(2)/25)*Calculateur!AQ44*Calculateur!AS44*VLOOKUP('Données projet'!$B$10,Paramètres!$A$1:$I$89,3,0)*0.475*44/12</f>
        <v>10.488886437425149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56.816726915814442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110.21219780294564</v>
      </c>
      <c r="BJ44" s="59">
        <f t="shared" si="38"/>
        <v>310.34820112478593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40.583839529268857</v>
      </c>
      <c r="BQ44" s="21">
        <f>EXP(-LN(2)/25)*BQ43+(1-EXP(-LN(2)/25))/(LN(2)/25)*Calculateur!BL44*Calculateur!BN44*VLOOKUP('Données projet'!$B$11,Paramètres!$A$1:$I$89,3,0)*0.475*44/12</f>
        <v>8.9726232064911393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49.556462735759993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102.77795559500703</v>
      </c>
      <c r="CE44" s="59">
        <f t="shared" si="40"/>
        <v>288.83946957374047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37.523418843455147</v>
      </c>
      <c r="CL44" s="21">
        <f>EXP(-LN(2)/25)*CL43+(1-EXP(-LN(2)/25))/(LN(2)/25)*Calculateur!CG44*Calculateur!CI44*VLOOKUP('Données projet'!$B$12,Paramètres!$A$1:$I$89,3,0)*0.475*44/12</f>
        <v>8.2959991614114763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45.81941800486662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6">
        <f t="shared" si="1"/>
        <v>256.66666666666669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134.64362224914908</v>
      </c>
      <c r="T45" s="59">
        <f t="shared" si="34"/>
        <v>312.46749071109713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41.994311800104157</v>
      </c>
      <c r="AA45" s="21">
        <f>EXP(-LN(2)/25)*AA44+(1-EXP(-LN(2)/25))/(LN(2)/25)*Calculateur!V45*Calculateur!X45*VLOOKUP('Données projet'!$B$9,Paramètres!$A$1:$I$89,3,0)*0.475*44/12</f>
        <v>9.4327310646243578</v>
      </c>
      <c r="AB45" s="21">
        <f>EXP(-LN(2)/2)*AB44+(1-EXP(-LN(2)/2))/(LN(2)/2)*V45*Y45*VLOOKUP('Données projet'!$B$9,Paramètres!$A$1:$I$89,3,0)*0.475*44/12</f>
        <v>0</v>
      </c>
      <c r="AC45" s="22">
        <f t="shared" si="3"/>
        <v>51.427042864728513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144.46767095844729</v>
      </c>
      <c r="AO45" s="59">
        <f t="shared" si="36"/>
        <v>335.56739599097097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45.419379783800601</v>
      </c>
      <c r="AV45" s="21">
        <f>EXP(-LN(2)/25)*AV44+(1-EXP(-LN(2)/25))/(LN(2)/25)*Calculateur!AQ45*Calculateur!AS45*VLOOKUP('Données projet'!$B$10,Paramètres!$A$1:$I$89,3,0)*0.475*44/12</f>
        <v>10.202067286207194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55.621447070007797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110.21219780294564</v>
      </c>
      <c r="BJ45" s="59">
        <f t="shared" si="38"/>
        <v>310.34820112478593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39.788015189797783</v>
      </c>
      <c r="BQ45" s="21">
        <f>EXP(-LN(2)/25)*BQ44+(1-EXP(-LN(2)/25))/(LN(2)/25)*Calculateur!BL45*Calculateur!BN45*VLOOKUP('Données projet'!$B$11,Paramètres!$A$1:$I$89,3,0)*0.475*44/12</f>
        <v>8.7272663530598926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48.515281542857679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102.77795559500703</v>
      </c>
      <c r="CE45" s="59">
        <f t="shared" si="40"/>
        <v>288.83946957374047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36.787607486960582</v>
      </c>
      <c r="CL45" s="21">
        <f>EXP(-LN(2)/25)*CL44+(1-EXP(-LN(2)/25))/(LN(2)/25)*Calculateur!CG45*Calculateur!CI45*VLOOKUP('Données projet'!$B$12,Paramètres!$A$1:$I$89,3,0)*0.475*44/12</f>
        <v>8.0691446280750441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44.856752115035626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6">
        <f t="shared" si="1"/>
        <v>256.66666666666669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134.64362224914908</v>
      </c>
      <c r="T46" s="59">
        <f t="shared" si="34"/>
        <v>312.46749071109713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41.17082895970514</v>
      </c>
      <c r="AA46" s="21">
        <f>EXP(-LN(2)/25)*AA45+(1-EXP(-LN(2)/25))/(LN(2)/25)*Calculateur!V46*Calculateur!X46*VLOOKUP('Données projet'!$B$9,Paramètres!$A$1:$I$89,3,0)*0.475*44/12</f>
        <v>9.1747925376164368</v>
      </c>
      <c r="AB46" s="21">
        <f>EXP(-LN(2)/2)*AB45+(1-EXP(-LN(2)/2))/(LN(2)/2)*V46*Y46*VLOOKUP('Données projet'!$B$9,Paramètres!$A$1:$I$89,3,0)*0.475*44/12</f>
        <v>0</v>
      </c>
      <c r="AC46" s="22">
        <f t="shared" si="3"/>
        <v>50.345621497321574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144.46767095844729</v>
      </c>
      <c r="AO46" s="59">
        <f t="shared" si="36"/>
        <v>335.56739599097097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44.528733449326488</v>
      </c>
      <c r="AV46" s="21">
        <f>EXP(-LN(2)/25)*AV45+(1-EXP(-LN(2)/25))/(LN(2)/25)*Calculateur!AQ46*Calculateur!AS46*VLOOKUP('Données projet'!$B$10,Paramètres!$A$1:$I$89,3,0)*0.475*44/12</f>
        <v>9.9230912197624566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54.451824669088943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110.21219780294564</v>
      </c>
      <c r="BJ46" s="59">
        <f t="shared" si="38"/>
        <v>310.34820112478593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39.007796480218822</v>
      </c>
      <c r="BQ46" s="21">
        <f>EXP(-LN(2)/25)*BQ45+(1-EXP(-LN(2)/25))/(LN(2)/25)*Calculateur!BL46*Calculateur!BN46*VLOOKUP('Données projet'!$B$11,Paramètres!$A$1:$I$89,3,0)*0.475*44/12</f>
        <v>8.4886187956884793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47.496415275907303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102.77795559500703</v>
      </c>
      <c r="CE46" s="59">
        <f t="shared" si="40"/>
        <v>288.83946957374047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36.066224942366262</v>
      </c>
      <c r="CL46" s="21">
        <f>EXP(-LN(2)/25)*CL45+(1-EXP(-LN(2)/25))/(LN(2)/25)*Calculateur!CG46*Calculateur!CI46*VLOOKUP('Données projet'!$B$12,Paramètres!$A$1:$I$89,3,0)*0.475*44/12</f>
        <v>7.8484934438824583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43.914718386248722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6">
        <f t="shared" si="1"/>
        <v>256.66666666666669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134.64362224914908</v>
      </c>
      <c r="T47" s="59">
        <f t="shared" si="34"/>
        <v>312.46749071109713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40.36349411553141</v>
      </c>
      <c r="AA47" s="21">
        <f>EXP(-LN(2)/25)*AA46+(1-EXP(-LN(2)/25))/(LN(2)/25)*Calculateur!V47*Calculateur!X47*VLOOKUP('Données projet'!$B$9,Paramètres!$A$1:$I$89,3,0)*0.475*44/12</f>
        <v>8.923907353193945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49.287401468725356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144.46767095844729</v>
      </c>
      <c r="AO47" s="59">
        <f t="shared" si="36"/>
        <v>335.56739599097097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43.655552146230789</v>
      </c>
      <c r="AV47" s="21">
        <f>EXP(-LN(2)/25)*AV46+(1-EXP(-LN(2)/25))/(LN(2)/25)*Calculateur!AQ47*Calculateur!AS47*VLOOKUP('Données projet'!$B$10,Paramètres!$A$1:$I$89,3,0)*0.475*44/12</f>
        <v>9.651743768525364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53.307295914756153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110.21219780294564</v>
      </c>
      <c r="BJ47" s="59">
        <f t="shared" si="38"/>
        <v>310.34820112478593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38.242877383648278</v>
      </c>
      <c r="BQ47" s="21">
        <f>EXP(-LN(2)/25)*BQ46+(1-EXP(-LN(2)/25))/(LN(2)/25)*Calculateur!BL47*Calculateur!BN47*VLOOKUP('Données projet'!$B$11,Paramètres!$A$1:$I$89,3,0)*0.475*44/12</f>
        <v>8.2564970683233163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46.49937445197159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102.77795559500703</v>
      </c>
      <c r="CE47" s="59">
        <f t="shared" si="40"/>
        <v>288.83946957374047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35.358988269471531</v>
      </c>
      <c r="CL47" s="21">
        <f>EXP(-LN(2)/25)*CL46+(1-EXP(-LN(2)/25))/(LN(2)/25)*Calculateur!CG47*Calculateur!CI47*VLOOKUP('Données projet'!$B$12,Paramètres!$A$1:$I$89,3,0)*0.475*44/12</f>
        <v>7.6338759779251602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42.992864247396689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6">
        <f t="shared" si="1"/>
        <v>256.66666666666669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134.64362224914908</v>
      </c>
      <c r="T48" s="59">
        <f t="shared" si="34"/>
        <v>312.46749071109713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39.571990615226298</v>
      </c>
      <c r="AA48" s="21">
        <f>EXP(-LN(2)/25)*AA47+(1-EXP(-LN(2)/25))/(LN(2)/25)*Calculateur!V48*Calculateur!X48*VLOOKUP('Données projet'!$B$9,Paramètres!$A$1:$I$89,3,0)*0.475*44/12</f>
        <v>8.6798826373329643</v>
      </c>
      <c r="AB48" s="21">
        <f>EXP(-LN(2)/2)*AB47+(1-EXP(-LN(2)/2))/(LN(2)/2)*V48*Y48*VLOOKUP('Données projet'!$B$9,Paramètres!$A$1:$I$89,3,0)*0.475*44/12</f>
        <v>0</v>
      </c>
      <c r="AC48" s="22">
        <f t="shared" si="3"/>
        <v>48.251873252559264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144.46767095844729</v>
      </c>
      <c r="AO48" s="59">
        <f t="shared" si="36"/>
        <v>335.56739599097097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42.799493395900789</v>
      </c>
      <c r="AV48" s="21">
        <f>EXP(-LN(2)/25)*AV47+(1-EXP(-LN(2)/25))/(LN(2)/25)*Calculateur!AQ48*Calculateur!AS48*VLOOKUP('Données projet'!$B$10,Paramètres!$A$1:$I$89,3,0)*0.475*44/12</f>
        <v>9.3878163276118922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52.187309723512683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110.21219780294564</v>
      </c>
      <c r="BJ48" s="59">
        <f t="shared" si="38"/>
        <v>310.34820112478593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37.492957884006906</v>
      </c>
      <c r="BQ48" s="21">
        <f>EXP(-LN(2)/25)*BQ47+(1-EXP(-LN(2)/25))/(LN(2)/25)*Calculateur!BL48*Calculateur!BN48*VLOOKUP('Données projet'!$B$11,Paramètres!$A$1:$I$89,3,0)*0.475*44/12</f>
        <v>8.0307227217997053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45.523680605806611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102.77795559500703</v>
      </c>
      <c r="CE48" s="59">
        <f t="shared" si="40"/>
        <v>288.83946957374047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34.66562007636049</v>
      </c>
      <c r="CL48" s="21">
        <f>EXP(-LN(2)/25)*CL47+(1-EXP(-LN(2)/25))/(LN(2)/25)*Calculateur!CG48*Calculateur!CI48*VLOOKUP('Données projet'!$B$12,Paramètres!$A$1:$I$89,3,0)*0.475*44/12</f>
        <v>7.4251272378607061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42.090747314221197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6">
        <f t="shared" si="1"/>
        <v>256.66666666666669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134.64362224914908</v>
      </c>
      <c r="T49" s="59">
        <f t="shared" si="34"/>
        <v>312.46749071109713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38.796008015792701</v>
      </c>
      <c r="AA49" s="21">
        <f>EXP(-LN(2)/25)*AA48+(1-EXP(-LN(2)/25))/(LN(2)/25)*Calculateur!V49*Calculateur!X49*VLOOKUP('Données projet'!$B$9,Paramètres!$A$1:$I$89,3,0)*0.475*44/12</f>
        <v>8.4425307901599052</v>
      </c>
      <c r="AB49" s="21">
        <f>EXP(-LN(2)/2)*AB48+(1-EXP(-LN(2)/2))/(LN(2)/2)*V49*Y49*VLOOKUP('Données projet'!$B$9,Paramètres!$A$1:$I$89,3,0)*0.475*44/12</f>
        <v>0</v>
      </c>
      <c r="AC49" s="22">
        <f t="shared" si="3"/>
        <v>47.238538805952608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144.46767095844729</v>
      </c>
      <c r="AO49" s="59">
        <f t="shared" si="36"/>
        <v>335.56739599097097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41.960221435520481</v>
      </c>
      <c r="AV49" s="21">
        <f>EXP(-LN(2)/25)*AV48+(1-EXP(-LN(2)/25))/(LN(2)/25)*Calculateur!AQ49*Calculateur!AS49*VLOOKUP('Données projet'!$B$10,Paramètres!$A$1:$I$89,3,0)*0.475*44/12</f>
        <v>9.1311059964495414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51.091327431970022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110.21219780294564</v>
      </c>
      <c r="BJ49" s="59">
        <f t="shared" si="38"/>
        <v>310.34820112478593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36.757743848347765</v>
      </c>
      <c r="BQ49" s="21">
        <f>EXP(-LN(2)/25)*BQ48+(1-EXP(-LN(2)/25))/(LN(2)/25)*Calculateur!BL49*Calculateur!BN49*VLOOKUP('Données projet'!$B$11,Paramètres!$A$1:$I$89,3,0)*0.475*44/12</f>
        <v>7.8111221866547389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44.5688660350025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102.77795559500703</v>
      </c>
      <c r="CE49" s="59">
        <f t="shared" si="40"/>
        <v>288.83946957374047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33.985848410603516</v>
      </c>
      <c r="CL49" s="21">
        <f>EXP(-LN(2)/25)*CL48+(1-EXP(-LN(2)/25))/(LN(2)/25)*Calculateur!CG49*Calculateur!CI49*VLOOKUP('Données projet'!$B$12,Paramètres!$A$1:$I$89,3,0)*0.475*44/12</f>
        <v>7.2220867430709337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41.207935153674448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6">
        <f t="shared" si="1"/>
        <v>256.66666666666669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134.64362224914908</v>
      </c>
      <c r="T50" s="59">
        <f t="shared" si="34"/>
        <v>312.46749071109713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38.035241961831346</v>
      </c>
      <c r="AA50" s="21">
        <f>EXP(-LN(2)/25)*AA49+(1-EXP(-LN(2)/25))/(LN(2)/25)*Calculateur!V50*Calculateur!X50*VLOOKUP('Données projet'!$B$9,Paramètres!$A$1:$I$89,3,0)*0.475*44/12</f>
        <v>8.2116693417295838</v>
      </c>
      <c r="AB50" s="21">
        <f>EXP(-LN(2)/2)*AB49+(1-EXP(-LN(2)/2))/(LN(2)/2)*V50*Y50*VLOOKUP('Données projet'!$B$9,Paramètres!$A$1:$I$89,3,0)*0.475*44/12</f>
        <v>0</v>
      </c>
      <c r="AC50" s="22">
        <f t="shared" si="3"/>
        <v>46.246911303560928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144.46767095844729</v>
      </c>
      <c r="AO50" s="59">
        <f t="shared" si="36"/>
        <v>335.56739599097097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41.137407086377877</v>
      </c>
      <c r="AV50" s="21">
        <f>EXP(-LN(2)/25)*AV49+(1-EXP(-LN(2)/25))/(LN(2)/25)*Calculateur!AQ50*Calculateur!AS50*VLOOKUP('Données projet'!$B$10,Paramètres!$A$1:$I$89,3,0)*0.475*44/12</f>
        <v>8.8814154227926334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50.018822509170512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110.21219780294564</v>
      </c>
      <c r="BJ50" s="59">
        <f t="shared" si="38"/>
        <v>310.34820112478593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36.036946911491619</v>
      </c>
      <c r="BQ50" s="21">
        <f>EXP(-LN(2)/25)*BQ49+(1-EXP(-LN(2)/25))/(LN(2)/25)*Calculateur!BL50*Calculateur!BN50*VLOOKUP('Données projet'!$B$11,Paramètres!$A$1:$I$89,3,0)*0.475*44/12</f>
        <v>7.5975266396916021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43.63447355118322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102.77795559500703</v>
      </c>
      <c r="CE50" s="59">
        <f t="shared" si="40"/>
        <v>288.83946957374047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33.319406652592264</v>
      </c>
      <c r="CL50" s="21">
        <f>EXP(-LN(2)/25)*CL49+(1-EXP(-LN(2)/25))/(LN(2)/25)*Calculateur!CG50*Calculateur!CI50*VLOOKUP('Données projet'!$B$12,Paramètres!$A$1:$I$89,3,0)*0.475*44/12</f>
        <v>7.0245984012886238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40.344005053880885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6">
        <f t="shared" si="1"/>
        <v>256.66666666666669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134.64362224914908</v>
      </c>
      <c r="T51" s="59">
        <f t="shared" si="34"/>
        <v>312.46749071109713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37.2893940661667</v>
      </c>
      <c r="AA51" s="21">
        <f>EXP(-LN(2)/25)*AA50+(1-EXP(-LN(2)/25))/(LN(2)/25)*Calculateur!V51*Calculateur!X51*VLOOKUP('Données projet'!$B$9,Paramètres!$A$1:$I$89,3,0)*0.475*44/12</f>
        <v>7.987120811747066</v>
      </c>
      <c r="AB51" s="21">
        <f>EXP(-LN(2)/2)*AB50+(1-EXP(-LN(2)/2))/(LN(2)/2)*V51*Y51*VLOOKUP('Données projet'!$B$9,Paramètres!$A$1:$I$89,3,0)*0.475*44/12</f>
        <v>0</v>
      </c>
      <c r="AC51" s="22">
        <f t="shared" si="3"/>
        <v>45.276514877913769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144.46767095844729</v>
      </c>
      <c r="AO51" s="59">
        <f t="shared" si="36"/>
        <v>335.56739599097097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40.330727624754765</v>
      </c>
      <c r="AV51" s="21">
        <f>EXP(-LN(2)/25)*AV50+(1-EXP(-LN(2)/25))/(LN(2)/25)*Calculateur!AQ51*Calculateur!AS51*VLOOKUP('Données projet'!$B$10,Paramètres!$A$1:$I$89,3,0)*0.475*44/12</f>
        <v>8.6385526510030299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48.969280275757797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110.21219780294564</v>
      </c>
      <c r="BJ51" s="59">
        <f t="shared" si="38"/>
        <v>310.34820112478593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35.330284362924502</v>
      </c>
      <c r="BQ51" s="21">
        <f>EXP(-LN(2)/25)*BQ50+(1-EXP(-LN(2)/25))/(LN(2)/25)*Calculateur!BL51*Calculateur!BN51*VLOOKUP('Données projet'!$B$11,Paramètres!$A$1:$I$89,3,0)*0.475*44/12</f>
        <v>7.3897718741926735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42.720056237117177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102.77795559500703</v>
      </c>
      <c r="CE51" s="59">
        <f t="shared" si="40"/>
        <v>288.83946957374047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32.666033410966271</v>
      </c>
      <c r="CL51" s="21">
        <f>EXP(-LN(2)/25)*CL50+(1-EXP(-LN(2)/25))/(LN(2)/25)*Calculateur!CG51*Calculateur!CI51*VLOOKUP('Données projet'!$B$12,Paramètres!$A$1:$I$89,3,0)*0.475*44/12</f>
        <v>6.8325103885978118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39.498543799564082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6">
        <f t="shared" si="1"/>
        <v>256.66666666666669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134.64362224914908</v>
      </c>
      <c r="T52" s="59">
        <f t="shared" si="34"/>
        <v>312.46749071109713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36.558171792813738</v>
      </c>
      <c r="AA52" s="21">
        <f>EXP(-LN(2)/25)*AA51+(1-EXP(-LN(2)/25))/(LN(2)/25)*Calculateur!V52*Calculateur!X52*VLOOKUP('Données projet'!$B$9,Paramètres!$A$1:$I$89,3,0)*0.475*44/12</f>
        <v>7.7687125731254136</v>
      </c>
      <c r="AB52" s="21">
        <f>EXP(-LN(2)/2)*AB51+(1-EXP(-LN(2)/2))/(LN(2)/2)*V52*Y52*VLOOKUP('Données projet'!$B$9,Paramètres!$A$1:$I$89,3,0)*0.475*44/12</f>
        <v>0</v>
      </c>
      <c r="AC52" s="22">
        <f t="shared" si="3"/>
        <v>44.326884365939151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144.46767095844729</v>
      </c>
      <c r="AO52" s="59">
        <f t="shared" si="36"/>
        <v>335.56739599097097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39.539866655348192</v>
      </c>
      <c r="AV52" s="21">
        <f>EXP(-LN(2)/25)*AV51+(1-EXP(-LN(2)/25))/(LN(2)/25)*Calculateur!AQ52*Calculateur!AS52*VLOOKUP('Données projet'!$B$10,Paramètres!$A$1:$I$89,3,0)*0.475*44/12</f>
        <v>8.4023309744796126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47.942197629827803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110.21219780294564</v>
      </c>
      <c r="BJ52" s="59">
        <f t="shared" si="38"/>
        <v>310.34820112478593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34.637479035913195</v>
      </c>
      <c r="BQ52" s="21">
        <f>EXP(-LN(2)/25)*BQ51+(1-EXP(-LN(2)/25))/(LN(2)/25)*Calculateur!BL52*Calculateur!BN52*VLOOKUP('Données projet'!$B$11,Paramètres!$A$1:$I$89,3,0)*0.475*44/12</f>
        <v>7.1876981736816612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41.825177209594855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102.77795559500703</v>
      </c>
      <c r="CE52" s="59">
        <f t="shared" si="40"/>
        <v>288.83946957374047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32.025472420090239</v>
      </c>
      <c r="CL52" s="21">
        <f>EXP(-LN(2)/25)*CL51+(1-EXP(-LN(2)/25))/(LN(2)/25)*Calculateur!CG52*Calculateur!CI52*VLOOKUP('Données projet'!$B$12,Paramètres!$A$1:$I$89,3,0)*0.475*44/12</f>
        <v>6.6456750327154994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38.671147452805741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6">
        <f t="shared" si="1"/>
        <v>256.66666666666669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134.64362224914908</v>
      </c>
      <c r="T53" s="59">
        <f t="shared" si="34"/>
        <v>312.46749071109713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35.841288342239679</v>
      </c>
      <c r="AA53" s="21">
        <f>EXP(-LN(2)/25)*AA52+(1-EXP(-LN(2)/25))/(LN(2)/25)*Calculateur!V53*Calculateur!X53*VLOOKUP('Données projet'!$B$9,Paramètres!$A$1:$I$89,3,0)*0.475*44/12</f>
        <v>7.5562767192744609</v>
      </c>
      <c r="AB53" s="21">
        <f>EXP(-LN(2)/2)*AB52+(1-EXP(-LN(2)/2))/(LN(2)/2)*V53*Y53*VLOOKUP('Données projet'!$B$9,Paramètres!$A$1:$I$89,3,0)*0.475*44/12</f>
        <v>0</v>
      </c>
      <c r="AC53" s="22">
        <f t="shared" si="3"/>
        <v>43.397565061514143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144.46767095844729</v>
      </c>
      <c r="AO53" s="59">
        <f t="shared" si="36"/>
        <v>335.56739599097097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38.764513987174126</v>
      </c>
      <c r="AV53" s="21">
        <f>EXP(-LN(2)/25)*AV52+(1-EXP(-LN(2)/25))/(LN(2)/25)*Calculateur!AQ53*Calculateur!AS53*VLOOKUP('Données projet'!$B$10,Paramètres!$A$1:$I$89,3,0)*0.475*44/12</f>
        <v>8.1725687921230854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46.937082779297214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110.21219780294564</v>
      </c>
      <c r="BJ53" s="59">
        <f t="shared" si="38"/>
        <v>310.34820112478593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33.958259198795055</v>
      </c>
      <c r="BQ53" s="21">
        <f>EXP(-LN(2)/25)*BQ52+(1-EXP(-LN(2)/25))/(LN(2)/25)*Calculateur!BL53*Calculateur!BN53*VLOOKUP('Données projet'!$B$11,Paramètres!$A$1:$I$89,3,0)*0.475*44/12</f>
        <v>6.9911501891377172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40.949409387932775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102.77795559500703</v>
      </c>
      <c r="CE53" s="59">
        <f t="shared" si="40"/>
        <v>288.83946957374047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31.397472439541662</v>
      </c>
      <c r="CL53" s="21">
        <f>EXP(-LN(2)/25)*CL52+(1-EXP(-LN(2)/25))/(LN(2)/25)*Calculateur!CG53*Calculateur!CI53*VLOOKUP('Données projet'!$B$12,Paramètres!$A$1:$I$89,3,0)*0.475*44/12</f>
        <v>6.4639486994650328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37.861421139006694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6">
        <f t="shared" si="1"/>
        <v>256.66666666666669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134.64362224914908</v>
      </c>
      <c r="T54" s="59">
        <f t="shared" si="34"/>
        <v>312.46749071109713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35.13846253887565</v>
      </c>
      <c r="AA54" s="21">
        <f>EXP(-LN(2)/25)*AA53+(1-EXP(-LN(2)/25))/(LN(2)/25)*Calculateur!V54*Calculateur!X54*VLOOKUP('Données projet'!$B$9,Paramètres!$A$1:$I$89,3,0)*0.475*44/12</f>
        <v>7.3496499350185784</v>
      </c>
      <c r="AB54" s="21">
        <f>EXP(-LN(2)/2)*AB53+(1-EXP(-LN(2)/2))/(LN(2)/2)*V54*Y54*VLOOKUP('Données projet'!$B$9,Paramètres!$A$1:$I$89,3,0)*0.475*44/12</f>
        <v>0</v>
      </c>
      <c r="AC54" s="22">
        <f t="shared" si="3"/>
        <v>42.488112473894226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144.46767095844729</v>
      </c>
      <c r="AO54" s="59">
        <f t="shared" si="36"/>
        <v>335.56739599097097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38.004365511904524</v>
      </c>
      <c r="AV54" s="21">
        <f>EXP(-LN(2)/25)*AV53+(1-EXP(-LN(2)/25))/(LN(2)/25)*Calculateur!AQ54*Calculateur!AS54*VLOOKUP('Données projet'!$B$10,Paramètres!$A$1:$I$89,3,0)*0.475*44/12</f>
        <v>7.9490894687257656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45.953454980630291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110.21219780294564</v>
      </c>
      <c r="BJ54" s="59">
        <f t="shared" si="38"/>
        <v>310.34820112478593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33.292358448399604</v>
      </c>
      <c r="BQ54" s="21">
        <f>EXP(-LN(2)/25)*BQ53+(1-EXP(-LN(2)/25))/(LN(2)/25)*Calculateur!BL54*Calculateur!BN54*VLOOKUP('Données projet'!$B$11,Paramètres!$A$1:$I$89,3,0)*0.475*44/12</f>
        <v>6.7999768195671368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40.092335267966739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102.77795559500703</v>
      </c>
      <c r="CE54" s="59">
        <f t="shared" si="40"/>
        <v>288.83946957374047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30.781787155569479</v>
      </c>
      <c r="CL54" s="21">
        <f>EXP(-LN(2)/25)*CL53+(1-EXP(-LN(2)/25))/(LN(2)/25)*Calculateur!CG54*Calculateur!CI54*VLOOKUP('Données projet'!$B$12,Paramètres!$A$1:$I$89,3,0)*0.475*44/12</f>
        <v>6.2871916823538729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37.068978837923353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6">
        <f t="shared" si="1"/>
        <v>256.66666666666669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134.64362224914908</v>
      </c>
      <c r="T55" s="59">
        <f t="shared" si="34"/>
        <v>312.46749071109713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34.449418720834181</v>
      </c>
      <c r="AA55" s="21">
        <f>EXP(-LN(2)/25)*AA54+(1-EXP(-LN(2)/25))/(LN(2)/25)*Calculateur!V55*Calculateur!X55*VLOOKUP('Données projet'!$B$9,Paramètres!$A$1:$I$89,3,0)*0.475*44/12</f>
        <v>7.148673371044203</v>
      </c>
      <c r="AB55" s="21">
        <f>EXP(-LN(2)/2)*AB54+(1-EXP(-LN(2)/2))/(LN(2)/2)*V55*Y55*VLOOKUP('Données projet'!$B$9,Paramètres!$A$1:$I$89,3,0)*0.475*44/12</f>
        <v>0</v>
      </c>
      <c r="AC55" s="22">
        <f t="shared" si="3"/>
        <v>41.598092091878385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144.46767095844729</v>
      </c>
      <c r="AO55" s="59">
        <f t="shared" si="36"/>
        <v>335.56739599097097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37.259123084590165</v>
      </c>
      <c r="AV55" s="21">
        <f>EXP(-LN(2)/25)*AV54+(1-EXP(-LN(2)/25))/(LN(2)/25)*Calculateur!AQ55*Calculateur!AS55*VLOOKUP('Données projet'!$B$10,Paramètres!$A$1:$I$89,3,0)*0.475*44/12</f>
        <v>7.7317211991790122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44.990844283769178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110.21219780294564</v>
      </c>
      <c r="BJ55" s="59">
        <f t="shared" si="38"/>
        <v>310.34820112478593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32.639515605560057</v>
      </c>
      <c r="BQ55" s="21">
        <f>EXP(-LN(2)/25)*BQ54+(1-EXP(-LN(2)/25))/(LN(2)/25)*Calculateur!BL55*Calculateur!BN55*VLOOKUP('Données projet'!$B$11,Paramètres!$A$1:$I$89,3,0)*0.475*44/12</f>
        <v>6.6140310958408337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39.253546701400893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102.77795559500703</v>
      </c>
      <c r="CE55" s="59">
        <f t="shared" si="40"/>
        <v>288.83946957374047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30.178175084485044</v>
      </c>
      <c r="CL55" s="21">
        <f>EXP(-LN(2)/25)*CL54+(1-EXP(-LN(2)/25))/(LN(2)/25)*Calculateur!CG55*Calculateur!CI55*VLOOKUP('Données projet'!$B$12,Paramètres!$A$1:$I$89,3,0)*0.475*44/12</f>
        <v>6.1152680951708653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36.29344317965591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6">
        <f t="shared" si="1"/>
        <v>256.66666666666669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134.64362224914908</v>
      </c>
      <c r="T56" s="59">
        <f t="shared" si="34"/>
        <v>312.46749071109713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33.773886631789274</v>
      </c>
      <c r="AA56" s="21">
        <f>EXP(-LN(2)/25)*AA55+(1-EXP(-LN(2)/25))/(LN(2)/25)*Calculateur!V56*Calculateur!X56*VLOOKUP('Données projet'!$B$9,Paramètres!$A$1:$I$89,3,0)*0.475*44/12</f>
        <v>6.953192521780605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40.727079153569882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144.46767095844729</v>
      </c>
      <c r="AO56" s="59">
        <f t="shared" si="36"/>
        <v>335.56739599097097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36.528494406722444</v>
      </c>
      <c r="AV56" s="21">
        <f>EXP(-LN(2)/25)*AV55+(1-EXP(-LN(2)/25))/(LN(2)/25)*Calculateur!AQ56*Calculateur!AS56*VLOOKUP('Données projet'!$B$10,Paramètres!$A$1:$I$89,3,0)*0.475*44/12</f>
        <v>7.5202968763939158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44.048791283116358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110.21219780294564</v>
      </c>
      <c r="BJ56" s="59">
        <f t="shared" si="38"/>
        <v>310.34820112478593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31.999474612673779</v>
      </c>
      <c r="BQ56" s="21">
        <f>EXP(-LN(2)/25)*BQ55+(1-EXP(-LN(2)/25))/(LN(2)/25)*Calculateur!BL56*Calculateur!BN56*VLOOKUP('Données projet'!$B$11,Paramètres!$A$1:$I$89,3,0)*0.475*44/12</f>
        <v>6.4331700677082875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38.432644680382069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102.77795559500703</v>
      </c>
      <c r="CE56" s="59">
        <f t="shared" si="40"/>
        <v>288.83946957374047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29.586399477947566</v>
      </c>
      <c r="CL56" s="21">
        <f>EXP(-LN(2)/25)*CL55+(1-EXP(-LN(2)/25))/(LN(2)/25)*Calculateur!CG56*Calculateur!CI56*VLOOKUP('Données projet'!$B$12,Paramètres!$A$1:$I$89,3,0)*0.475*44/12</f>
        <v>5.9480457675204459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35.534445245468014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6">
        <f t="shared" si="1"/>
        <v>256.66666666666669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134.64362224914908</v>
      </c>
      <c r="T57" s="59">
        <f t="shared" si="34"/>
        <v>312.46749071109713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33.111601314976646</v>
      </c>
      <c r="AA57" s="21">
        <f>EXP(-LN(2)/25)*AA56+(1-EXP(-LN(2)/25))/(LN(2)/25)*Calculateur!V57*Calculateur!X57*VLOOKUP('Données projet'!$B$9,Paramètres!$A$1:$I$89,3,0)*0.475*44/12</f>
        <v>6.7630571066200114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39.874658421596656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144.46767095844729</v>
      </c>
      <c r="AO57" s="59">
        <f t="shared" si="36"/>
        <v>335.56739599097097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35.81219291158822</v>
      </c>
      <c r="AV57" s="21">
        <f>EXP(-LN(2)/25)*AV56+(1-EXP(-LN(2)/25))/(LN(2)/25)*Calculateur!AQ57*Calculateur!AS57*VLOOKUP('Données projet'!$B$10,Paramètres!$A$1:$I$89,3,0)*0.475*44/12</f>
        <v>7.3146539628336988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43.126846874421915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110.21219780294564</v>
      </c>
      <c r="BJ57" s="59">
        <f t="shared" si="38"/>
        <v>310.34820112478593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31.371984433271543</v>
      </c>
      <c r="BQ57" s="21">
        <f>EXP(-LN(2)/25)*BQ56+(1-EXP(-LN(2)/25))/(LN(2)/25)*Calculateur!BL57*Calculateur!BN57*VLOOKUP('Données projet'!$B$11,Paramètres!$A$1:$I$89,3,0)*0.475*44/12</f>
        <v>6.2572546939010936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37.629239127172639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102.77795559500703</v>
      </c>
      <c r="CE57" s="59">
        <f t="shared" si="40"/>
        <v>288.83946957374047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29.00622823010681</v>
      </c>
      <c r="CL57" s="21">
        <f>EXP(-LN(2)/25)*CL56+(1-EXP(-LN(2)/25))/(LN(2)/25)*Calculateur!CG57*Calculateur!CI57*VLOOKUP('Données projet'!$B$12,Paramètres!$A$1:$I$89,3,0)*0.475*44/12</f>
        <v>5.7853961432134664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34.791624373320275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6">
        <f t="shared" si="1"/>
        <v>256.66666666666669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134.64362224914908</v>
      </c>
      <c r="T58" s="59">
        <f t="shared" si="34"/>
        <v>312.46749071109713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32.46230300927256</v>
      </c>
      <c r="AA58" s="21">
        <f>EXP(-LN(2)/25)*AA57+(1-EXP(-LN(2)/25))/(LN(2)/25)*Calculateur!V58*Calculateur!X58*VLOOKUP('Données projet'!$B$9,Paramètres!$A$1:$I$89,3,0)*0.475*44/12</f>
        <v>6.5781209543857715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39.040423963658334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144.46767095844729</v>
      </c>
      <c r="AO58" s="59">
        <f t="shared" si="36"/>
        <v>335.56739599097097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35.109937651872805</v>
      </c>
      <c r="AV58" s="21">
        <f>EXP(-LN(2)/25)*AV57+(1-EXP(-LN(2)/25))/(LN(2)/25)*Calculateur!AQ58*Calculateur!AS58*VLOOKUP('Données projet'!$B$10,Paramètres!$A$1:$I$89,3,0)*0.475*44/12</f>
        <v>7.1146343655590769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42.224572017431882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110.21219780294564</v>
      </c>
      <c r="BJ58" s="59">
        <f t="shared" si="38"/>
        <v>310.34820112478593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30.756798953556167</v>
      </c>
      <c r="BQ58" s="21">
        <f>EXP(-LN(2)/25)*BQ57+(1-EXP(-LN(2)/25))/(LN(2)/25)*Calculateur!BL58*Calculateur!BN58*VLOOKUP('Données projet'!$B$11,Paramètres!$A$1:$I$89,3,0)*0.475*44/12</f>
        <v>6.0861497352416452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36.842948688797811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102.77795559500703</v>
      </c>
      <c r="CE58" s="59">
        <f t="shared" si="40"/>
        <v>288.83946957374047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28.43743378656669</v>
      </c>
      <c r="CL58" s="21">
        <f>EXP(-LN(2)/25)*CL57+(1-EXP(-LN(2)/25))/(LN(2)/25)*Calculateur!CG58*Calculateur!CI58*VLOOKUP('Données projet'!$B$12,Paramètres!$A$1:$I$89,3,0)*0.475*44/12</f>
        <v>5.6271941814365336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34.064627968003222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6">
        <f t="shared" si="1"/>
        <v>256.66666666666669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134.64362224914908</v>
      </c>
      <c r="T59" s="59">
        <f t="shared" si="34"/>
        <v>312.46749071109713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31.825737047310469</v>
      </c>
      <c r="AA59" s="21">
        <f>EXP(-LN(2)/25)*AA58+(1-EXP(-LN(2)/25))/(LN(2)/25)*Calculateur!V59*Calculateur!X59*VLOOKUP('Données projet'!$B$9,Paramètres!$A$1:$I$89,3,0)*0.475*44/12</f>
        <v>6.3982418909597465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38.223978938270214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144.46767095844729</v>
      </c>
      <c r="AO59" s="59">
        <f t="shared" si="36"/>
        <v>335.56739599097097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34.421453189466995</v>
      </c>
      <c r="AV59" s="21">
        <f>EXP(-LN(2)/25)*AV58+(1-EXP(-LN(2)/25))/(LN(2)/25)*Calculateur!AQ59*Calculateur!AS59*VLOOKUP('Données projet'!$B$10,Paramètres!$A$1:$I$89,3,0)*0.475*44/12</f>
        <v>6.9200843146905031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41.3415375041575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110.21219780294564</v>
      </c>
      <c r="BJ59" s="59">
        <f t="shared" si="38"/>
        <v>310.34820112478593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30.153676885871917</v>
      </c>
      <c r="BQ59" s="21">
        <f>EXP(-LN(2)/25)*BQ58+(1-EXP(-LN(2)/25))/(LN(2)/25)*Calculateur!BL59*Calculateur!BN59*VLOOKUP('Données projet'!$B$11,Paramètres!$A$1:$I$89,3,0)*0.475*44/12</f>
        <v>5.9197236506747579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36.073400536546671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102.77795559500703</v>
      </c>
      <c r="CE59" s="59">
        <f t="shared" si="40"/>
        <v>288.83946957374047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27.879793055134037</v>
      </c>
      <c r="CL59" s="21">
        <f>EXP(-LN(2)/25)*CL58+(1-EXP(-LN(2)/25))/(LN(2)/25)*Calculateur!CG59*Calculateur!CI59*VLOOKUP('Données projet'!$B$12,Paramètres!$A$1:$I$89,3,0)*0.475*44/12</f>
        <v>5.4733182606238708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33.353111315757907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6">
        <f t="shared" si="1"/>
        <v>256.66666666666669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134.64362224914908</v>
      </c>
      <c r="T60" s="59">
        <f t="shared" si="34"/>
        <v>312.46749071109713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31.201653755595554</v>
      </c>
      <c r="AA60" s="21">
        <f>EXP(-LN(2)/25)*AA59+(1-EXP(-LN(2)/25))/(LN(2)/25)*Calculateur!V60*Calculateur!X60*VLOOKUP('Données projet'!$B$9,Paramètres!$A$1:$I$89,3,0)*0.475*44/12</f>
        <v>6.2232816299825346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37.424935385578088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144.46767095844729</v>
      </c>
      <c r="AO60" s="59">
        <f t="shared" si="36"/>
        <v>335.56739599097097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33.746469487434908</v>
      </c>
      <c r="AV60" s="21">
        <f>EXP(-LN(2)/25)*AV59+(1-EXP(-LN(2)/25))/(LN(2)/25)*Calculateur!AQ60*Calculateur!AS60*VLOOKUP('Données projet'!$B$10,Paramètres!$A$1:$I$89,3,0)*0.475*44/12</f>
        <v>6.7308542451938731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40.477323732628783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110.21219780294564</v>
      </c>
      <c r="BJ60" s="59">
        <f t="shared" si="38"/>
        <v>310.34820112478593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29.562381674066817</v>
      </c>
      <c r="BQ60" s="21">
        <f>EXP(-LN(2)/25)*BQ59+(1-EXP(-LN(2)/25))/(LN(2)/25)*Calculateur!BL60*Calculateur!BN60*VLOOKUP('Données projet'!$B$11,Paramètres!$A$1:$I$89,3,0)*0.475*44/12</f>
        <v>5.7578484961423193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35.320230170209136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102.77795559500703</v>
      </c>
      <c r="CE60" s="59">
        <f t="shared" si="40"/>
        <v>288.83946957374047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27.333087318317517</v>
      </c>
      <c r="CL60" s="21">
        <f>EXP(-LN(2)/25)*CL59+(1-EXP(-LN(2)/25))/(LN(2)/25)*Calculateur!CG60*Calculateur!CI60*VLOOKUP('Données projet'!$B$12,Paramètres!$A$1:$I$89,3,0)*0.475*44/12</f>
        <v>5.323650084957813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32.656737403275329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6">
        <f t="shared" si="1"/>
        <v>256.66666666666669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134.64362224914908</v>
      </c>
      <c r="T61" s="59">
        <f t="shared" si="34"/>
        <v>312.46749071109713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30.589808356577947</v>
      </c>
      <c r="AA61" s="21">
        <f>EXP(-LN(2)/25)*AA60+(1-EXP(-LN(2)/25))/(LN(2)/25)*Calculateur!V61*Calculateur!X61*VLOOKUP('Données projet'!$B$9,Paramètres!$A$1:$I$89,3,0)*0.475*44/12</f>
        <v>6.0531056665425051</v>
      </c>
      <c r="AB61" s="21">
        <f>EXP(-LN(2)/2)*AB60+(1-EXP(-LN(2)/2))/(LN(2)/2)*V61*Y61*VLOOKUP('Données projet'!$B$9,Paramètres!$A$1:$I$89,3,0)*0.475*44/12</f>
        <v>0</v>
      </c>
      <c r="AC61" s="22">
        <f t="shared" si="3"/>
        <v>36.642914023120454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144.46767095844729</v>
      </c>
      <c r="AO61" s="59">
        <f t="shared" si="36"/>
        <v>335.56739599097097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33.084721804100262</v>
      </c>
      <c r="AV61" s="21">
        <f>EXP(-LN(2)/25)*AV60+(1-EXP(-LN(2)/25))/(LN(2)/25)*Calculateur!AQ61*Calculateur!AS61*VLOOKUP('Données projet'!$B$10,Paramètres!$A$1:$I$89,3,0)*0.475*44/12</f>
        <v>6.5467986818988058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39.631520485999069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110.21219780294564</v>
      </c>
      <c r="BJ61" s="59">
        <f t="shared" si="38"/>
        <v>310.34820112478593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28.982681400710746</v>
      </c>
      <c r="BQ61" s="21">
        <f>EXP(-LN(2)/25)*BQ60+(1-EXP(-LN(2)/25))/(LN(2)/25)*Calculateur!BL61*Calculateur!BN61*VLOOKUP('Données projet'!$B$11,Paramètres!$A$1:$I$89,3,0)*0.475*44/12</f>
        <v>5.6003998262232146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34.583081226933963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102.77795559500703</v>
      </c>
      <c r="CE61" s="59">
        <f t="shared" si="40"/>
        <v>288.83946957374047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26.797102147542397</v>
      </c>
      <c r="CL61" s="21">
        <f>EXP(-LN(2)/25)*CL60+(1-EXP(-LN(2)/25))/(LN(2)/25)*Calculateur!CG61*Calculateur!CI61*VLOOKUP('Données projet'!$B$12,Paramètres!$A$1:$I$89,3,0)*0.475*44/12</f>
        <v>5.178074593426051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31.975176740968447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6">
        <f t="shared" si="1"/>
        <v>256.66666666666669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134.64362224914908</v>
      </c>
      <c r="T62" s="59">
        <f t="shared" si="34"/>
        <v>312.46749071109713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29.989960872646233</v>
      </c>
      <c r="AA62" s="21">
        <f>EXP(-LN(2)/25)*AA61+(1-EXP(-LN(2)/25))/(LN(2)/25)*Calculateur!V62*Calculateur!X62*VLOOKUP('Données projet'!$B$9,Paramètres!$A$1:$I$89,3,0)*0.475*44/12</f>
        <v>5.8875831737719082</v>
      </c>
      <c r="AB62" s="21">
        <f>EXP(-LN(2)/2)*AB61+(1-EXP(-LN(2)/2))/(LN(2)/2)*V62*Y62*VLOOKUP('Données projet'!$B$9,Paramètres!$A$1:$I$89,3,0)*0.475*44/12</f>
        <v>0</v>
      </c>
      <c r="AC62" s="22">
        <f t="shared" si="3"/>
        <v>35.877544046418137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144.46767095844729</v>
      </c>
      <c r="AO62" s="59">
        <f t="shared" si="36"/>
        <v>335.56739599097097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32.435950589209575</v>
      </c>
      <c r="AV62" s="21">
        <f>EXP(-LN(2)/25)*AV61+(1-EXP(-LN(2)/25))/(LN(2)/25)*Calculateur!AQ62*Calculateur!AS62*VLOOKUP('Données projet'!$B$10,Paramètres!$A$1:$I$89,3,0)*0.475*44/12</f>
        <v>6.3677761276611031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38.803726716870678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110.21219780294564</v>
      </c>
      <c r="BJ62" s="59">
        <f t="shared" si="38"/>
        <v>310.34820112478593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28.414348696132937</v>
      </c>
      <c r="BQ62" s="21">
        <f>EXP(-LN(2)/25)*BQ61+(1-EXP(-LN(2)/25))/(LN(2)/25)*Calculateur!BL62*Calculateur!BN62*VLOOKUP('Données projet'!$B$11,Paramètres!$A$1:$I$89,3,0)*0.475*44/12</f>
        <v>5.4472565984629142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33.861605294595847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102.77795559500703</v>
      </c>
      <c r="CE62" s="59">
        <f t="shared" si="40"/>
        <v>288.83946957374047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26.271627319047504</v>
      </c>
      <c r="CL62" s="21">
        <f>EXP(-LN(2)/25)*CL61+(1-EXP(-LN(2)/25))/(LN(2)/25)*Calculateur!CG62*Calculateur!CI62*VLOOKUP('Données projet'!$B$12,Paramètres!$A$1:$I$89,3,0)*0.475*44/12</f>
        <v>5.0364798713657075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31.30810719041321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6">
        <f t="shared" si="1"/>
        <v>256.66666666666669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134.64362224914908</v>
      </c>
      <c r="T63" s="59">
        <f t="shared" si="34"/>
        <v>312.46749071109713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29.401876032003582</v>
      </c>
      <c r="AA63" s="21">
        <f>EXP(-LN(2)/25)*AA62+(1-EXP(-LN(2)/25))/(LN(2)/25)*Calculateur!V63*Calculateur!X63*VLOOKUP('Données projet'!$B$9,Paramètres!$A$1:$I$89,3,0)*0.475*44/12</f>
        <v>5.7265869022705722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35.128462934274154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144.46767095844729</v>
      </c>
      <c r="AO63" s="59">
        <f t="shared" si="36"/>
        <v>335.56739599097097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31.79990138213153</v>
      </c>
      <c r="AV63" s="21">
        <f>EXP(-LN(2)/25)*AV62+(1-EXP(-LN(2)/25))/(LN(2)/25)*Calculateur!AQ63*Calculateur!AS63*VLOOKUP('Données projet'!$B$10,Paramètres!$A$1:$I$89,3,0)*0.475*44/12</f>
        <v>6.1936489545834172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37.993550336714947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110.21219780294564</v>
      </c>
      <c r="BJ63" s="59">
        <f t="shared" si="38"/>
        <v>310.34820112478593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27.857160649243177</v>
      </c>
      <c r="BQ63" s="21">
        <f>EXP(-LN(2)/25)*BQ62+(1-EXP(-LN(2)/25))/(LN(2)/25)*Calculateur!BL63*Calculateur!BN63*VLOOKUP('Données projet'!$B$11,Paramètres!$A$1:$I$89,3,0)*0.475*44/12</f>
        <v>5.2983010803191712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33.155461729562347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102.77795559500703</v>
      </c>
      <c r="CE63" s="59">
        <f t="shared" si="40"/>
        <v>288.83946957374047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25.756456731431395</v>
      </c>
      <c r="CL63" s="21">
        <f>EXP(-LN(2)/25)*CL62+(1-EXP(-LN(2)/25))/(LN(2)/25)*Calculateur!CG63*Calculateur!CI63*VLOOKUP('Données projet'!$B$12,Paramètres!$A$1:$I$89,3,0)*0.475*44/12</f>
        <v>4.8987570644262473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30.655213795857641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6">
        <f t="shared" si="1"/>
        <v>256.66666666666669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134.64362224914908</v>
      </c>
      <c r="T64" s="59">
        <f t="shared" si="34"/>
        <v>312.46749071109713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28.825323176389599</v>
      </c>
      <c r="AA64" s="21">
        <f>EXP(-LN(2)/25)*AA63+(1-EXP(-LN(2)/25))/(LN(2)/25)*Calculateur!V64*Calculateur!X64*VLOOKUP('Données projet'!$B$9,Paramètres!$A$1:$I$89,3,0)*0.475*44/12</f>
        <v>5.5699930822798667</v>
      </c>
      <c r="AB64" s="21">
        <f>EXP(-LN(2)/2)*AB63+(1-EXP(-LN(2)/2))/(LN(2)/2)*V64*Y64*VLOOKUP('Données projet'!$B$9,Paramètres!$A$1:$I$89,3,0)*0.475*44/12</f>
        <v>0</v>
      </c>
      <c r="AC64" s="22">
        <f t="shared" si="3"/>
        <v>34.395316258669467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144.46767095844729</v>
      </c>
      <c r="AO64" s="59">
        <f t="shared" si="36"/>
        <v>335.56739599097097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31.176324712052576</v>
      </c>
      <c r="AV64" s="21">
        <f>EXP(-LN(2)/25)*AV63+(1-EXP(-LN(2)/25))/(LN(2)/25)*Calculateur!AQ64*Calculateur!AS64*VLOOKUP('Données projet'!$B$10,Paramètres!$A$1:$I$89,3,0)*0.475*44/12</f>
        <v>6.0242832982104906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37.200608010263068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110.21219780294564</v>
      </c>
      <c r="BJ64" s="59">
        <f t="shared" si="38"/>
        <v>310.34820112478593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27.310898720101772</v>
      </c>
      <c r="BQ64" s="21">
        <f>EXP(-LN(2)/25)*BQ63+(1-EXP(-LN(2)/25))/(LN(2)/25)*Calculateur!BL64*Calculateur!BN64*VLOOKUP('Données projet'!$B$11,Paramètres!$A$1:$I$89,3,0)*0.475*44/12</f>
        <v>5.1534187586522995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32.464317478754069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102.77795559500703</v>
      </c>
      <c r="CE64" s="59">
        <f t="shared" si="40"/>
        <v>288.83946957374047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25.251388324815409</v>
      </c>
      <c r="CL64" s="21">
        <f>EXP(-LN(2)/25)*CL63+(1-EXP(-LN(2)/25))/(LN(2)/25)*Calculateur!CG64*Calculateur!CI64*VLOOKUP('Données projet'!$B$12,Paramètres!$A$1:$I$89,3,0)*0.475*44/12</f>
        <v>4.7648002948850738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30.016188619700483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6">
        <f t="shared" si="1"/>
        <v>256.66666666666669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134.64362224914908</v>
      </c>
      <c r="T65" s="59">
        <f t="shared" si="34"/>
        <v>312.46749071109713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28.260076170611686</v>
      </c>
      <c r="AA65" s="21">
        <f>EXP(-LN(2)/25)*AA64+(1-EXP(-LN(2)/25))/(LN(2)/25)*Calculateur!V65*Calculateur!X65*VLOOKUP('Données projet'!$B$9,Paramètres!$A$1:$I$89,3,0)*0.475*44/12</f>
        <v>5.4176813285317182</v>
      </c>
      <c r="AB65" s="21">
        <f>EXP(-LN(2)/2)*AB64+(1-EXP(-LN(2)/2))/(LN(2)/2)*V65*Y65*VLOOKUP('Données projet'!$B$9,Paramètres!$A$1:$I$89,3,0)*0.475*44/12</f>
        <v>0</v>
      </c>
      <c r="AC65" s="22">
        <f t="shared" si="3"/>
        <v>33.677757499143404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144.46767095844729</v>
      </c>
      <c r="AO65" s="59">
        <f t="shared" si="36"/>
        <v>335.56739599097097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30.564976000129658</v>
      </c>
      <c r="AV65" s="21">
        <f>EXP(-LN(2)/25)*AV64+(1-EXP(-LN(2)/25))/(LN(2)/25)*Calculateur!AQ65*Calculateur!AS65*VLOOKUP('Données projet'!$B$10,Paramètres!$A$1:$I$89,3,0)*0.475*44/12</f>
        <v>5.8595489546176349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36.424524954747291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110.21219780294564</v>
      </c>
      <c r="BJ65" s="59">
        <f t="shared" si="38"/>
        <v>310.34820112478593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26.775348654203952</v>
      </c>
      <c r="BQ65" s="21">
        <f>EXP(-LN(2)/25)*BQ64+(1-EXP(-LN(2)/25))/(LN(2)/25)*Calculateur!BL65*Calculateur!BN65*VLOOKUP('Données projet'!$B$11,Paramètres!$A$1:$I$89,3,0)*0.475*44/12</f>
        <v>5.0124982516904382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31.787846905894391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102.77795559500703</v>
      </c>
      <c r="CE65" s="59">
        <f t="shared" si="40"/>
        <v>288.83946957374047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24.756224001591853</v>
      </c>
      <c r="CL65" s="21">
        <f>EXP(-LN(2)/25)*CL64+(1-EXP(-LN(2)/25))/(LN(2)/25)*Calculateur!CG65*Calculateur!CI65*VLOOKUP('Données projet'!$B$12,Paramètres!$A$1:$I$89,3,0)*0.475*44/12</f>
        <v>4.6345065802514842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29.390730581843336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6">
        <f t="shared" si="1"/>
        <v>256.66666666666669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134.64362224914908</v>
      </c>
      <c r="T66" s="59">
        <f t="shared" si="34"/>
        <v>312.46749071109713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27.705913313850449</v>
      </c>
      <c r="AA66" s="21">
        <f>EXP(-LN(2)/25)*AA65+(1-EXP(-LN(2)/25))/(LN(2)/25)*Calculateur!V66*Calculateur!X66*VLOOKUP('Données projet'!$B$9,Paramètres!$A$1:$I$89,3,0)*0.475*44/12</f>
        <v>5.2695345476995392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32.975447861549988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144.46767095844729</v>
      </c>
      <c r="AO66" s="59">
        <f t="shared" si="36"/>
        <v>335.56739599097097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29.965615463561651</v>
      </c>
      <c r="AV66" s="21">
        <f>EXP(-LN(2)/25)*AV65+(1-EXP(-LN(2)/25))/(LN(2)/25)*Calculateur!AQ66*Calculateur!AS66*VLOOKUP('Données projet'!$B$10,Paramètres!$A$1:$I$89,3,0)*0.475*44/12</f>
        <v>5.6993192803133281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35.66493474387498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110.21219780294564</v>
      </c>
      <c r="BJ66" s="59">
        <f t="shared" si="38"/>
        <v>310.34820112478593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26.250300398445106</v>
      </c>
      <c r="BQ66" s="21">
        <f>EXP(-LN(2)/25)*BQ65+(1-EXP(-LN(2)/25))/(LN(2)/25)*Calculateur!BL66*Calculateur!BN66*VLOOKUP('Données projet'!$B$11,Paramètres!$A$1:$I$89,3,0)*0.475*44/12</f>
        <v>4.8754312234021366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31.125731621847244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102.77795559500703</v>
      </c>
      <c r="CE66" s="59">
        <f t="shared" si="40"/>
        <v>288.83946957374047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24.270769548726296</v>
      </c>
      <c r="CL66" s="21">
        <f>EXP(-LN(2)/25)*CL65+(1-EXP(-LN(2)/25))/(LN(2)/25)*Calculateur!CG66*Calculateur!CI66*VLOOKUP('Données projet'!$B$12,Paramètres!$A$1:$I$89,3,0)*0.475*44/12</f>
        <v>4.5077757540963983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28.778545302822693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6">
        <f t="shared" si="1"/>
        <v>256.66666666666669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134.64362224914908</v>
      </c>
      <c r="T67" s="59">
        <f t="shared" si="34"/>
        <v>312.46749071109713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27.162617252704329</v>
      </c>
      <c r="AA67" s="21">
        <f>EXP(-LN(2)/25)*AA66+(1-EXP(-LN(2)/25))/(LN(2)/25)*Calculateur!V67*Calculateur!X67*VLOOKUP('Données projet'!$B$9,Paramètres!$A$1:$I$89,3,0)*0.475*44/12</f>
        <v>5.1254388483799174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32.288056101084244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144.46767095844729</v>
      </c>
      <c r="AO67" s="59">
        <f t="shared" si="36"/>
        <v>335.56739599097097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29.378008021541913</v>
      </c>
      <c r="AV67" s="21">
        <f>EXP(-LN(2)/25)*AV66+(1-EXP(-LN(2)/25))/(LN(2)/25)*Calculateur!AQ67*Calculateur!AS67*VLOOKUP('Données projet'!$B$10,Paramètres!$A$1:$I$89,3,0)*0.475*44/12</f>
        <v>5.5434710948789849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34.921479116420898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110.21219780294564</v>
      </c>
      <c r="BJ67" s="59">
        <f t="shared" si="38"/>
        <v>310.34820112478593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25.735548018733876</v>
      </c>
      <c r="BQ67" s="21">
        <f>EXP(-LN(2)/25)*BQ66+(1-EXP(-LN(2)/25))/(LN(2)/25)*Calculateur!BL67*Calculateur!BN67*VLOOKUP('Données projet'!$B$11,Paramètres!$A$1:$I$89,3,0)*0.475*44/12</f>
        <v>4.7421123002104197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30.477660318944295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102.77795559500703</v>
      </c>
      <c r="CE67" s="59">
        <f t="shared" si="40"/>
        <v>288.83946957374047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23.794834561583453</v>
      </c>
      <c r="CL67" s="21">
        <f>EXP(-LN(2)/25)*CL66+(1-EXP(-LN(2)/25))/(LN(2)/25)*Calculateur!CG67*Calculateur!CI67*VLOOKUP('Données projet'!$B$12,Paramètres!$A$1:$I$89,3,0)*0.475*44/12</f>
        <v>4.3845103890470076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28.179344950630462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6">
        <f t="shared" ref="H68:H131" si="56">(B68+E68+F68)*44/12+(C68+D68)*0.475*44/12</f>
        <v>256.66666666666669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134.64362224914908</v>
      </c>
      <c r="T68" s="59">
        <f t="shared" si="34"/>
        <v>312.46749071109713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26.629974895939412</v>
      </c>
      <c r="AA68" s="21">
        <f>EXP(-LN(2)/25)*AA67+(1-EXP(-LN(2)/25))/(LN(2)/25)*Calculateur!V68*Calculateur!X68*VLOOKUP('Données projet'!$B$9,Paramètres!$A$1:$I$89,3,0)*0.475*44/12</f>
        <v>4.9852834535358541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31.615258349475265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144.46767095844729</v>
      </c>
      <c r="AO68" s="59">
        <f t="shared" si="36"/>
        <v>335.56739599097097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28.801923203055033</v>
      </c>
      <c r="AV68" s="21">
        <f>EXP(-LN(2)/25)*AV67+(1-EXP(-LN(2)/25))/(LN(2)/25)*Calculateur!AQ68*Calculateur!AS68*VLOOKUP('Données projet'!$B$10,Paramètres!$A$1:$I$89,3,0)*0.475*44/12</f>
        <v>5.3918845862710443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34.19380778932608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110.21219780294564</v>
      </c>
      <c r="BJ68" s="59">
        <f t="shared" si="38"/>
        <v>310.34820112478593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25.230889619220832</v>
      </c>
      <c r="BQ68" s="21">
        <f>EXP(-LN(2)/25)*BQ67+(1-EXP(-LN(2)/25))/(LN(2)/25)*Calculateur!BL68*Calculateur!BN68*VLOOKUP('Données projet'!$B$11,Paramètres!$A$1:$I$89,3,0)*0.475*44/12</f>
        <v>4.6124389899843186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29.843328609205152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102.77795559500703</v>
      </c>
      <c r="CE68" s="59">
        <f t="shared" si="40"/>
        <v>288.83946957374047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23.328232369246802</v>
      </c>
      <c r="CL68" s="21">
        <f>EXP(-LN(2)/25)*CL67+(1-EXP(-LN(2)/25))/(LN(2)/25)*Calculateur!CG68*Calculateur!CI68*VLOOKUP('Données projet'!$B$12,Paramètres!$A$1:$I$89,3,0)*0.475*44/12</f>
        <v>4.2646157218871368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27.592848091133938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6">
        <f t="shared" si="56"/>
        <v>256.66666666666669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134.64362224914908</v>
      </c>
      <c r="T69" s="59">
        <f t="shared" ref="T69:T132" si="88">$T$3</f>
        <v>312.46749071109713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26.107777330910896</v>
      </c>
      <c r="AA69" s="21">
        <f>EXP(-LN(2)/25)*AA68+(1-EXP(-LN(2)/25))/(LN(2)/25)*Calculateur!V69*Calculateur!X69*VLOOKUP('Données projet'!$B$9,Paramètres!$A$1:$I$89,3,0)*0.475*44/12</f>
        <v>4.8489606153342537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30.956737946245148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144.46767095844729</v>
      </c>
      <c r="AO69" s="59">
        <f t="shared" ref="AO69:AO132" si="90">$AO$3</f>
        <v>335.56739599097097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28.237135056481637</v>
      </c>
      <c r="AV69" s="21">
        <f>EXP(-LN(2)/25)*AV68+(1-EXP(-LN(2)/25))/(LN(2)/25)*Calculateur!AQ69*Calculateur!AS69*VLOOKUP('Données projet'!$B$10,Paramètres!$A$1:$I$89,3,0)*0.475*44/12</f>
        <v>5.2444432187125756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33.481578275194209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110.21219780294564</v>
      </c>
      <c r="BJ69" s="59">
        <f t="shared" ref="BJ69:BJ132" si="92">$BJ$3</f>
        <v>310.34820112478593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24.736127263111008</v>
      </c>
      <c r="BQ69" s="21">
        <f>EXP(-LN(2)/25)*BQ68+(1-EXP(-LN(2)/25))/(LN(2)/25)*Calculateur!BL69*Calculateur!BN69*VLOOKUP('Données projet'!$B$11,Paramètres!$A$1:$I$89,3,0)*0.475*44/12</f>
        <v>4.4863116032455723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29.22243886635658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102.77795559500703</v>
      </c>
      <c r="CE69" s="59">
        <f t="shared" ref="CE69:CE132" si="94">$CE$3</f>
        <v>288.83946957374047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22.870779961302638</v>
      </c>
      <c r="CL69" s="21">
        <f>EXP(-LN(2)/25)*CL68+(1-EXP(-LN(2)/25))/(LN(2)/25)*Calculateur!CG69*Calculateur!CI69*VLOOKUP('Données projet'!$B$12,Paramètres!$A$1:$I$89,3,0)*0.475*44/12</f>
        <v>4.147999580705739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27.018779542008378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6">
        <f t="shared" si="56"/>
        <v>256.66666666666669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134.64362224914908</v>
      </c>
      <c r="T70" s="59">
        <f t="shared" si="88"/>
        <v>312.46749071109713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25.595819741623522</v>
      </c>
      <c r="AA70" s="21">
        <f>EXP(-LN(2)/25)*AA69+(1-EXP(-LN(2)/25))/(LN(2)/25)*Calculateur!V70*Calculateur!X70*VLOOKUP('Données projet'!$B$9,Paramètres!$A$1:$I$89,3,0)*0.475*44/12</f>
        <v>4.7163655323121825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30.312185273935704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144.46767095844729</v>
      </c>
      <c r="AO70" s="59">
        <f t="shared" si="90"/>
        <v>335.56739599097097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27.683422060975793</v>
      </c>
      <c r="AV70" s="21">
        <f>EXP(-LN(2)/25)*AV69+(1-EXP(-LN(2)/25))/(LN(2)/25)*Calculateur!AQ70*Calculateur!AS70*VLOOKUP('Données projet'!$B$10,Paramètres!$A$1:$I$89,3,0)*0.475*44/12</f>
        <v>5.1010336431035981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32.784455704079392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110.21219780294564</v>
      </c>
      <c r="BJ70" s="59">
        <f t="shared" si="92"/>
        <v>310.34820112478593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24.251066895029261</v>
      </c>
      <c r="BQ70" s="21">
        <f>EXP(-LN(2)/25)*BQ69+(1-EXP(-LN(2)/25))/(LN(2)/25)*Calculateur!BL70*Calculateur!BN70*VLOOKUP('Données projet'!$B$11,Paramètres!$A$1:$I$89,3,0)*0.475*44/12</f>
        <v>4.363633176529949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28.614700071559209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102.77795559500703</v>
      </c>
      <c r="CE70" s="59">
        <f t="shared" si="94"/>
        <v>288.83946957374047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22.42229791605984</v>
      </c>
      <c r="CL70" s="21">
        <f>EXP(-LN(2)/25)*CL69+(1-EXP(-LN(2)/25))/(LN(2)/25)*Calculateur!CG70*Calculateur!CI70*VLOOKUP('Données projet'!$B$12,Paramètres!$A$1:$I$89,3,0)*0.475*44/12</f>
        <v>4.0345723140375229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26.456870230097362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6">
        <f t="shared" si="56"/>
        <v>256.66666666666669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134.64362224914908</v>
      </c>
      <c r="T71" s="59">
        <f t="shared" si="88"/>
        <v>312.46749071109713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25.093901328398779</v>
      </c>
      <c r="AA71" s="21">
        <f>EXP(-LN(2)/25)*AA70+(1-EXP(-LN(2)/25))/(LN(2)/25)*Calculateur!V71*Calculateur!X71*VLOOKUP('Données projet'!$B$9,Paramètres!$A$1:$I$89,3,0)*0.475*44/12</f>
        <v>4.5873962688082219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29.681297597206999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144.46767095844729</v>
      </c>
      <c r="AO71" s="59">
        <f t="shared" si="90"/>
        <v>335.56739599097097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27.140567039580237</v>
      </c>
      <c r="AV71" s="21">
        <f>EXP(-LN(2)/25)*AV70+(1-EXP(-LN(2)/25))/(LN(2)/25)*Calculateur!AQ71*Calculateur!AS71*VLOOKUP('Données projet'!$B$10,Paramètres!$A$1:$I$89,3,0)*0.475*44/12</f>
        <v>4.9615456098812292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32.102112649461468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110.21219780294564</v>
      </c>
      <c r="BJ71" s="59">
        <f t="shared" si="92"/>
        <v>310.34820112478593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23.775518264907983</v>
      </c>
      <c r="BQ71" s="21">
        <f>EXP(-LN(2)/25)*BQ70+(1-EXP(-LN(2)/25))/(LN(2)/25)*Calculateur!BL71*Calculateur!BN71*VLOOKUP('Données projet'!$B$11,Paramètres!$A$1:$I$89,3,0)*0.475*44/12</f>
        <v>4.2443093978442423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28.019827662752228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102.77795559500703</v>
      </c>
      <c r="CE71" s="59">
        <f t="shared" si="94"/>
        <v>288.83946957374047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21.982610330177216</v>
      </c>
      <c r="CL71" s="21">
        <f>EXP(-LN(2)/25)*CL70+(1-EXP(-LN(2)/25))/(LN(2)/25)*Calculateur!CG71*Calculateur!CI71*VLOOKUP('Données projet'!$B$12,Paramètres!$A$1:$I$89,3,0)*0.475*44/12</f>
        <v>3.92424672194123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25.906857052118447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6">
        <f t="shared" si="56"/>
        <v>256.66666666666669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134.64362224914908</v>
      </c>
      <c r="T72" s="59">
        <f t="shared" si="88"/>
        <v>312.46749071109713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24.60182522911737</v>
      </c>
      <c r="AA72" s="21">
        <f>EXP(-LN(2)/25)*AA71+(1-EXP(-LN(2)/25))/(LN(2)/25)*Calculateur!V72*Calculateur!X72*VLOOKUP('Données projet'!$B$9,Paramètres!$A$1:$I$89,3,0)*0.475*44/12</f>
        <v>4.4619536765969761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29.063778905714347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144.46767095844729</v>
      </c>
      <c r="AO72" s="59">
        <f t="shared" si="90"/>
        <v>335.56739599097097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26.608357074045379</v>
      </c>
      <c r="AV72" s="21">
        <f>EXP(-LN(2)/25)*AV71+(1-EXP(-LN(2)/25))/(LN(2)/25)*Calculateur!AQ72*Calculateur!AS72*VLOOKUP('Données projet'!$B$10,Paramètres!$A$1:$I$89,3,0)*0.475*44/12</f>
        <v>4.8258718842626829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31.434228958308061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110.21219780294564</v>
      </c>
      <c r="BJ72" s="59">
        <f t="shared" si="92"/>
        <v>310.34820112478593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23.309294853367362</v>
      </c>
      <c r="BQ72" s="21">
        <f>EXP(-LN(2)/25)*BQ71+(1-EXP(-LN(2)/25))/(LN(2)/25)*Calculateur!BL72*Calculateur!BN72*VLOOKUP('Données projet'!$B$11,Paramètres!$A$1:$I$89,3,0)*0.475*44/12</f>
        <v>4.1282485341616608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27.437543387529022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102.77795559500703</v>
      </c>
      <c r="CE72" s="59">
        <f t="shared" si="94"/>
        <v>288.83946957374047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21.551544749670807</v>
      </c>
      <c r="CL72" s="21">
        <f>EXP(-LN(2)/25)*CL71+(1-EXP(-LN(2)/25))/(LN(2)/25)*Calculateur!CG72*Calculateur!CI72*VLOOKUP('Données projet'!$B$12,Paramètres!$A$1:$I$89,3,0)*0.475*44/12</f>
        <v>3.816937988962581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25.368482738633389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6">
        <f t="shared" si="56"/>
        <v>256.66666666666669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134.64362224914908</v>
      </c>
      <c r="T73" s="59">
        <f t="shared" si="88"/>
        <v>312.46749071109713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24.119398442006084</v>
      </c>
      <c r="AA73" s="21">
        <f>EXP(-LN(2)/25)*AA72+(1-EXP(-LN(2)/25))/(LN(2)/25)*Calculateur!V73*Calculateur!X73*VLOOKUP('Données projet'!$B$9,Paramètres!$A$1:$I$89,3,0)*0.475*44/12</f>
        <v>4.3399413186664857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28.45933976067257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144.46767095844729</v>
      </c>
      <c r="AO73" s="59">
        <f t="shared" si="90"/>
        <v>335.56739599097097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26.086583421318636</v>
      </c>
      <c r="AV73" s="21">
        <f>EXP(-LN(2)/25)*AV72+(1-EXP(-LN(2)/25))/(LN(2)/25)*Calculateur!AQ73*Calculateur!AS73*VLOOKUP('Données projet'!$B$10,Paramètres!$A$1:$I$89,3,0)*0.475*44/12</f>
        <v>4.693908163805947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30.780491585124583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110.21219780294564</v>
      </c>
      <c r="BJ73" s="59">
        <f t="shared" si="92"/>
        <v>310.34820112478593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22.85221379855885</v>
      </c>
      <c r="BQ73" s="21">
        <f>EXP(-LN(2)/25)*BQ72+(1-EXP(-LN(2)/25))/(LN(2)/25)*Calculateur!BL73*Calculateur!BN73*VLOOKUP('Données projet'!$B$11,Paramètres!$A$1:$I$89,3,0)*0.475*44/12</f>
        <v>4.0153613608998553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26.867575159458706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102.77795559500703</v>
      </c>
      <c r="CE73" s="59">
        <f t="shared" si="94"/>
        <v>288.83946957374047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21.128932102274085</v>
      </c>
      <c r="CL73" s="21">
        <f>EXP(-LN(2)/25)*CL72+(1-EXP(-LN(2)/25))/(LN(2)/25)*Calculateur!CG73*Calculateur!CI73*VLOOKUP('Données projet'!$B$12,Paramètres!$A$1:$I$89,3,0)*0.475*44/12</f>
        <v>3.7125636189303539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24.841495721204438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6">
        <f t="shared" si="56"/>
        <v>256.66666666666669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134.64362224914908</v>
      </c>
      <c r="T74" s="59">
        <f t="shared" si="88"/>
        <v>312.46749071109713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23.646431749938767</v>
      </c>
      <c r="AA74" s="21">
        <f>EXP(-LN(2)/25)*AA73+(1-EXP(-LN(2)/25))/(LN(2)/25)*Calculateur!V74*Calculateur!X74*VLOOKUP('Données projet'!$B$9,Paramètres!$A$1:$I$89,3,0)*0.475*44/12</f>
        <v>4.2212653950799561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27.867697145018724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144.46767095844729</v>
      </c>
      <c r="AO74" s="59">
        <f t="shared" si="90"/>
        <v>335.56739599097097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25.575041431671359</v>
      </c>
      <c r="AV74" s="21">
        <f>EXP(-LN(2)/25)*AV73+(1-EXP(-LN(2)/25))/(LN(2)/25)*Calculateur!AQ74*Calculateur!AS74*VLOOKUP('Données projet'!$B$10,Paramètres!$A$1:$I$89,3,0)*0.475*44/12</f>
        <v>4.5655529982247707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30.140594429896129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110.21219780294564</v>
      </c>
      <c r="BJ74" s="59">
        <f t="shared" si="92"/>
        <v>310.34820112478593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22.404095824443218</v>
      </c>
      <c r="BQ74" s="21">
        <f>EXP(-LN(2)/25)*BQ73+(1-EXP(-LN(2)/25))/(LN(2)/25)*Calculateur!BL74*Calculateur!BN74*VLOOKUP('Données projet'!$B$11,Paramètres!$A$1:$I$89,3,0)*0.475*44/12</f>
        <v>3.9055610933273721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26.309656917770589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102.77795559500703</v>
      </c>
      <c r="CE74" s="59">
        <f t="shared" si="94"/>
        <v>288.83946957374047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20.71460663112455</v>
      </c>
      <c r="CL74" s="21">
        <f>EXP(-LN(2)/25)*CL73+(1-EXP(-LN(2)/25))/(LN(2)/25)*Calculateur!CG74*Calculateur!CI74*VLOOKUP('Données projet'!$B$12,Paramètres!$A$1:$I$89,3,0)*0.475*44/12</f>
        <v>3.6110433715354677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24.325650002660019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6">
        <f t="shared" si="56"/>
        <v>256.66666666666669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134.64362224914908</v>
      </c>
      <c r="T75" s="59">
        <f t="shared" si="88"/>
        <v>312.46749071109713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23.182739646221691</v>
      </c>
      <c r="AA75" s="21">
        <f>EXP(-LN(2)/25)*AA74+(1-EXP(-LN(2)/25))/(LN(2)/25)*Calculateur!V75*Calculateur!X75*VLOOKUP('Données projet'!$B$9,Paramètres!$A$1:$I$89,3,0)*0.475*44/12</f>
        <v>4.1058346708647955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27.288574317086486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144.46767095844729</v>
      </c>
      <c r="AO75" s="59">
        <f t="shared" si="90"/>
        <v>335.56739599097097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25.073530468431262</v>
      </c>
      <c r="AV75" s="21">
        <f>EXP(-LN(2)/25)*AV74+(1-EXP(-LN(2)/25))/(LN(2)/25)*Calculateur!AQ75*Calculateur!AS75*VLOOKUP('Données projet'!$B$10,Paramètres!$A$1:$I$89,3,0)*0.475*44/12</f>
        <v>4.4407077113963167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29.514238179827579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110.21219780294564</v>
      </c>
      <c r="BJ75" s="59">
        <f t="shared" si="92"/>
        <v>310.34820112478593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21.964765170475019</v>
      </c>
      <c r="BQ75" s="21">
        <f>EXP(-LN(2)/25)*BQ74+(1-EXP(-LN(2)/25))/(LN(2)/25)*Calculateur!BL75*Calculateur!BN75*VLOOKUP('Données projet'!$B$11,Paramètres!$A$1:$I$89,3,0)*0.475*44/12</f>
        <v>3.7987633198458033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25.763528490320823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102.77795559500703</v>
      </c>
      <c r="CE75" s="59">
        <f t="shared" si="94"/>
        <v>288.83946957374047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20.308405829750672</v>
      </c>
      <c r="CL75" s="21">
        <f>EXP(-LN(2)/25)*CL74+(1-EXP(-LN(2)/25))/(LN(2)/25)*Calculateur!CG75*Calculateur!CI75*VLOOKUP('Données projet'!$B$12,Paramètres!$A$1:$I$89,3,0)*0.475*44/12</f>
        <v>3.5122992006443128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23.820705030394986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6">
        <f t="shared" si="56"/>
        <v>256.66666666666669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134.64362224914908</v>
      </c>
      <c r="T76" s="59">
        <f t="shared" si="88"/>
        <v>312.46749071109713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22.728140261834252</v>
      </c>
      <c r="AA76" s="21">
        <f>EXP(-LN(2)/25)*AA75+(1-EXP(-LN(2)/25))/(LN(2)/25)*Calculateur!V76*Calculateur!X76*VLOOKUP('Données projet'!$B$9,Paramètres!$A$1:$I$89,3,0)*0.475*44/12</f>
        <v>3.9935604058735361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26.721700667707786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144.46767095844729</v>
      </c>
      <c r="AO76" s="59">
        <f t="shared" si="90"/>
        <v>335.56739599097097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24.581853829288818</v>
      </c>
      <c r="AV76" s="21">
        <f>EXP(-LN(2)/25)*AV75+(1-EXP(-LN(2)/25))/(LN(2)/25)*Calculateur!AQ76*Calculateur!AS76*VLOOKUP('Données projet'!$B$10,Paramètres!$A$1:$I$89,3,0)*0.475*44/12</f>
        <v>4.319276325501515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28.901130154790334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110.21219780294564</v>
      </c>
      <c r="BJ76" s="59">
        <f t="shared" si="92"/>
        <v>310.34820112478593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21.534049522665896</v>
      </c>
      <c r="BQ76" s="21">
        <f>EXP(-LN(2)/25)*BQ75+(1-EXP(-LN(2)/25))/(LN(2)/25)*Calculateur!BL76*Calculateur!BN76*VLOOKUP('Données projet'!$B$11,Paramètres!$A$1:$I$89,3,0)*0.475*44/12</f>
        <v>3.6948859370963389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25.228935459762234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102.77795559500703</v>
      </c>
      <c r="CE76" s="59">
        <f t="shared" si="94"/>
        <v>288.83946957374047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19.910170378333714</v>
      </c>
      <c r="CL76" s="21">
        <f>EXP(-LN(2)/25)*CL75+(1-EXP(-LN(2)/25))/(LN(2)/25)*Calculateur!CG76*Calculateur!CI76*VLOOKUP('Données projet'!$B$12,Paramètres!$A$1:$I$89,3,0)*0.475*44/12</f>
        <v>3.4162551942989063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23.326425572632619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6">
        <f t="shared" si="56"/>
        <v>256.66666666666669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134.64362224914908</v>
      </c>
      <c r="T77" s="59">
        <f t="shared" si="88"/>
        <v>312.46749071109713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22.282455294096405</v>
      </c>
      <c r="AA77" s="21">
        <f>EXP(-LN(2)/25)*AA76+(1-EXP(-LN(2)/25))/(LN(2)/25)*Calculateur!V77*Calculateur!X77*VLOOKUP('Données projet'!$B$9,Paramètres!$A$1:$I$89,3,0)*0.475*44/12</f>
        <v>3.8843562865627099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26.166811580659115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144.46767095844729</v>
      </c>
      <c r="AO77" s="59">
        <f t="shared" si="90"/>
        <v>335.56739599097097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24.099818669146821</v>
      </c>
      <c r="AV77" s="21">
        <f>EXP(-LN(2)/25)*AV76+(1-EXP(-LN(2)/25))/(LN(2)/25)*Calculateur!AQ77*Calculateur!AS77*VLOOKUP('Données projet'!$B$10,Paramètres!$A$1:$I$89,3,0)*0.475*44/12</f>
        <v>4.2011654872398063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28.300984156386626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110.21219780294564</v>
      </c>
      <c r="BJ77" s="59">
        <f t="shared" si="92"/>
        <v>310.34820112478593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21.111779945999704</v>
      </c>
      <c r="BQ77" s="21">
        <f>EXP(-LN(2)/25)*BQ76+(1-EXP(-LN(2)/25))/(LN(2)/25)*Calculateur!BL77*Calculateur!BN77*VLOOKUP('Données projet'!$B$11,Paramètres!$A$1:$I$89,3,0)*0.475*44/12</f>
        <v>3.5938490868408328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24.705629032840537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102.77795559500703</v>
      </c>
      <c r="CE77" s="59">
        <f t="shared" si="94"/>
        <v>288.83946957374047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19.5197440812194</v>
      </c>
      <c r="CL77" s="21">
        <f>EXP(-LN(2)/25)*CL76+(1-EXP(-LN(2)/25))/(LN(2)/25)*Calculateur!CG77*Calculateur!CI77*VLOOKUP('Données projet'!$B$12,Paramètres!$A$1:$I$89,3,0)*0.475*44/12</f>
        <v>3.3228375163577502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22.842581597577151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6">
        <f t="shared" si="56"/>
        <v>256.66666666666669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134.64362224914908</v>
      </c>
      <c r="T78" s="59">
        <f t="shared" si="88"/>
        <v>312.46749071109713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21.84550993673491</v>
      </c>
      <c r="AA78" s="21">
        <f>EXP(-LN(2)/25)*AA77+(1-EXP(-LN(2)/25))/(LN(2)/25)*Calculateur!V78*Calculateur!X78*VLOOKUP('Données projet'!$B$9,Paramètres!$A$1:$I$89,3,0)*0.475*44/12</f>
        <v>3.7781383596372335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25.623648296372142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144.46767095844729</v>
      </c>
      <c r="AO78" s="59">
        <f t="shared" si="90"/>
        <v>335.56739599097097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23.62723592448279</v>
      </c>
      <c r="AV78" s="21">
        <f>EXP(-LN(2)/25)*AV77+(1-EXP(-LN(2)/25))/(LN(2)/25)*Calculateur!AQ78*Calculateur!AS78*VLOOKUP('Données projet'!$B$10,Paramètres!$A$1:$I$89,3,0)*0.475*44/12</f>
        <v>4.0862843960615427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27.713520320544333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110.21219780294564</v>
      </c>
      <c r="BJ78" s="59">
        <f t="shared" si="92"/>
        <v>310.34820112478593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20.697790818172926</v>
      </c>
      <c r="BQ78" s="21">
        <f>EXP(-LN(2)/25)*BQ77+(1-EXP(-LN(2)/25))/(LN(2)/25)*Calculateur!BL78*Calculateur!BN78*VLOOKUP('Données projet'!$B$11,Paramètres!$A$1:$I$89,3,0)*0.475*44/12</f>
        <v>3.4955750945688608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24.193365912741786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102.77795559500703</v>
      </c>
      <c r="CE78" s="59">
        <f t="shared" si="94"/>
        <v>288.83946957374047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19.136973805654971</v>
      </c>
      <c r="CL78" s="21">
        <f>EXP(-LN(2)/25)*CL77+(1-EXP(-LN(2)/25))/(LN(2)/25)*Calculateur!CG78*Calculateur!CI78*VLOOKUP('Données projet'!$B$12,Paramètres!$A$1:$I$89,3,0)*0.475*44/12</f>
        <v>3.2319743497325168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22.368948155387489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6">
        <f t="shared" si="56"/>
        <v>256.66666666666669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134.64362224914908</v>
      </c>
      <c r="T79" s="59">
        <f t="shared" si="88"/>
        <v>312.46749071109713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21.417132811320919</v>
      </c>
      <c r="AA79" s="21">
        <f>EXP(-LN(2)/25)*AA78+(1-EXP(-LN(2)/25))/(LN(2)/25)*Calculateur!V79*Calculateur!X79*VLOOKUP('Données projet'!$B$9,Paramètres!$A$1:$I$89,3,0)*0.475*44/12</f>
        <v>3.6748249675092923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25.09195777883021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144.46767095844729</v>
      </c>
      <c r="AO79" s="59">
        <f t="shared" si="90"/>
        <v>335.56739599097097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23.16392023919461</v>
      </c>
      <c r="AV79" s="21">
        <f>EXP(-LN(2)/25)*AV78+(1-EXP(-LN(2)/25))/(LN(2)/25)*Calculateur!AQ79*Calculateur!AS79*VLOOKUP('Données projet'!$B$10,Paramètres!$A$1:$I$89,3,0)*0.475*44/12</f>
        <v>3.9745447343628828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27.138464973557493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110.21219780294564</v>
      </c>
      <c r="BJ79" s="59">
        <f t="shared" si="92"/>
        <v>310.34820112478593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20.291919764634397</v>
      </c>
      <c r="BQ79" s="21">
        <f>EXP(-LN(2)/25)*BQ78+(1-EXP(-LN(2)/25))/(LN(2)/25)*Calculateur!BL79*Calculateur!BN79*VLOOKUP('Données projet'!$B$11,Paramètres!$A$1:$I$89,3,0)*0.475*44/12</f>
        <v>3.3999884097835702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23.691908174417968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102.77795559500703</v>
      </c>
      <c r="CE79" s="59">
        <f t="shared" si="94"/>
        <v>288.83946957374047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18.761709421727545</v>
      </c>
      <c r="CL79" s="21">
        <f>EXP(-LN(2)/25)*CL78+(1-EXP(-LN(2)/25))/(LN(2)/25)*Calculateur!CG79*Calculateur!CI79*VLOOKUP('Données projet'!$B$12,Paramètres!$A$1:$I$89,3,0)*0.475*44/12</f>
        <v>3.1435958411769369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21.905305262904481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6">
        <f t="shared" si="56"/>
        <v>256.66666666666669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134.64362224914908</v>
      </c>
      <c r="T80" s="59">
        <f t="shared" si="88"/>
        <v>312.46749071109713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20.99715590005205</v>
      </c>
      <c r="AA80" s="21">
        <f>EXP(-LN(2)/25)*AA79+(1-EXP(-LN(2)/25))/(LN(2)/25)*Calculateur!V80*Calculateur!X80*VLOOKUP('Données projet'!$B$9,Paramètres!$A$1:$I$89,3,0)*0.475*44/12</f>
        <v>3.5743366855221046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24.571492585574155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144.46767095844729</v>
      </c>
      <c r="AO80" s="59">
        <f t="shared" si="90"/>
        <v>335.56739599097097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22.709689891900268</v>
      </c>
      <c r="AV80" s="21">
        <f>EXP(-LN(2)/25)*AV79+(1-EXP(-LN(2)/25))/(LN(2)/25)*Calculateur!AQ80*Calculateur!AS80*VLOOKUP('Données projet'!$B$10,Paramètres!$A$1:$I$89,3,0)*0.475*44/12</f>
        <v>3.8658605995895061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26.575550491489775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110.21219780294564</v>
      </c>
      <c r="BJ80" s="59">
        <f t="shared" si="92"/>
        <v>310.34820112478593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19.894007594898859</v>
      </c>
      <c r="BQ80" s="21">
        <f>EXP(-LN(2)/25)*BQ79+(1-EXP(-LN(2)/25))/(LN(2)/25)*Calculateur!BL80*Calculateur!BN80*VLOOKUP('Données projet'!$B$11,Paramètres!$A$1:$I$89,3,0)*0.475*44/12</f>
        <v>3.3070155479204186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23.201023142819277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102.77795559500703</v>
      </c>
      <c r="CE80" s="59">
        <f t="shared" si="94"/>
        <v>288.83946957374047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18.393803743480262</v>
      </c>
      <c r="CL80" s="21">
        <f>EXP(-LN(2)/25)*CL79+(1-EXP(-LN(2)/25))/(LN(2)/25)*Calculateur!CG80*Calculateur!CI80*VLOOKUP('Données projet'!$B$12,Paramètres!$A$1:$I$89,3,0)*0.475*44/12</f>
        <v>3.0576340475854331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21.451437791065697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6">
        <f t="shared" si="56"/>
        <v>256.66666666666669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134.64362224914908</v>
      </c>
      <c r="T81" s="59">
        <f t="shared" si="88"/>
        <v>312.46749071109713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20.585414479852542</v>
      </c>
      <c r="AA81" s="21">
        <f>EXP(-LN(2)/25)*AA80+(1-EXP(-LN(2)/25))/(LN(2)/25)*Calculateur!V81*Calculateur!X81*VLOOKUP('Données projet'!$B$9,Paramètres!$A$1:$I$89,3,0)*0.475*44/12</f>
        <v>3.4765962608903056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24.062010740742849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144.46767095844729</v>
      </c>
      <c r="AO81" s="59">
        <f t="shared" si="90"/>
        <v>335.56739599097097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22.264366724663212</v>
      </c>
      <c r="AV81" s="21">
        <f>EXP(-LN(2)/25)*AV80+(1-EXP(-LN(2)/25))/(LN(2)/25)*Calculateur!AQ81*Calculateur!AS81*VLOOKUP('Données projet'!$B$10,Paramètres!$A$1:$I$89,3,0)*0.475*44/12</f>
        <v>3.7601484381969579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26.024515162860169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110.21219780294564</v>
      </c>
      <c r="BJ81" s="59">
        <f t="shared" si="92"/>
        <v>310.34820112478593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19.503898240109379</v>
      </c>
      <c r="BQ81" s="21">
        <f>EXP(-LN(2)/25)*BQ80+(1-EXP(-LN(2)/25))/(LN(2)/25)*Calculateur!BL81*Calculateur!BN81*VLOOKUP('Données projet'!$B$11,Paramètres!$A$1:$I$89,3,0)*0.475*44/12</f>
        <v>3.2165850338541455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22.720483273963524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102.77795559500703</v>
      </c>
      <c r="CE81" s="59">
        <f t="shared" si="94"/>
        <v>288.83946957374047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18.033112471183102</v>
      </c>
      <c r="CL81" s="21">
        <f>EXP(-LN(2)/25)*CL80+(1-EXP(-LN(2)/25))/(LN(2)/25)*Calculateur!CG81*Calculateur!CI81*VLOOKUP('Données projet'!$B$12,Paramètres!$A$1:$I$89,3,0)*0.475*44/12</f>
        <v>2.9740228837602234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21.007135354943326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6">
        <f t="shared" si="56"/>
        <v>256.66666666666669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134.64362224914908</v>
      </c>
      <c r="T82" s="59">
        <f t="shared" si="88"/>
        <v>312.46749071109713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20.181747057765676</v>
      </c>
      <c r="AA82" s="21">
        <f>EXP(-LN(2)/25)*AA81+(1-EXP(-LN(2)/25))/(LN(2)/25)*Calculateur!V82*Calculateur!X82*VLOOKUP('Données projet'!$B$9,Paramètres!$A$1:$I$89,3,0)*0.475*44/12</f>
        <v>3.3815285533100088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23.563275611075685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144.46767095844729</v>
      </c>
      <c r="AO82" s="59">
        <f t="shared" si="90"/>
        <v>335.56739599097097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21.827776073115363</v>
      </c>
      <c r="AV82" s="21">
        <f>EXP(-LN(2)/25)*AV81+(1-EXP(-LN(2)/25))/(LN(2)/25)*Calculateur!AQ82*Calculateur!AS82*VLOOKUP('Données projet'!$B$10,Paramètres!$A$1:$I$89,3,0)*0.475*44/12</f>
        <v>3.6573269814168494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25.48510305453221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110.21219780294564</v>
      </c>
      <c r="BJ82" s="59">
        <f t="shared" si="92"/>
        <v>310.34820112478593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19.121438691824107</v>
      </c>
      <c r="BQ82" s="21">
        <f>EXP(-LN(2)/25)*BQ81+(1-EXP(-LN(2)/25))/(LN(2)/25)*Calculateur!BL82*Calculateur!BN82*VLOOKUP('Données projet'!$B$11,Paramètres!$A$1:$I$89,3,0)*0.475*44/12</f>
        <v>3.1286273469505486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22.250066038774655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102.77795559500703</v>
      </c>
      <c r="CE82" s="59">
        <f t="shared" si="94"/>
        <v>288.83946957374047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17.679494134735737</v>
      </c>
      <c r="CL82" s="21">
        <f>EXP(-LN(2)/25)*CL81+(1-EXP(-LN(2)/25))/(LN(2)/25)*Calculateur!CG82*Calculateur!CI82*VLOOKUP('Données projet'!$B$12,Paramètres!$A$1:$I$89,3,0)*0.475*44/12</f>
        <v>2.8926980716067336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20.572192206342471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6">
        <f t="shared" si="56"/>
        <v>256.66666666666669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134.64362224914908</v>
      </c>
      <c r="T83" s="59">
        <f t="shared" si="88"/>
        <v>312.46749071109713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19.785995307613121</v>
      </c>
      <c r="AA83" s="21">
        <f>EXP(-LN(2)/25)*AA82+(1-EXP(-LN(2)/25))/(LN(2)/25)*Calculateur!V83*Calculateur!X83*VLOOKUP('Données projet'!$B$9,Paramètres!$A$1:$I$89,3,0)*0.475*44/12</f>
        <v>3.2890604771928884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23.075055784806008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144.46767095844729</v>
      </c>
      <c r="AO83" s="59">
        <f t="shared" si="90"/>
        <v>335.56739599097097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21.399746697950363</v>
      </c>
      <c r="AV83" s="21">
        <f>EXP(-LN(2)/25)*AV82+(1-EXP(-LN(2)/25))/(LN(2)/25)*Calculateur!AQ83*Calculateur!AS83*VLOOKUP('Données projet'!$B$10,Paramètres!$A$1:$I$89,3,0)*0.475*44/12</f>
        <v>3.5573171827795385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24.957063880729901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110.21219780294564</v>
      </c>
      <c r="BJ83" s="59">
        <f t="shared" si="92"/>
        <v>310.34820112478593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18.746478942003421</v>
      </c>
      <c r="BQ83" s="21">
        <f>EXP(-LN(2)/25)*BQ82+(1-EXP(-LN(2)/25))/(LN(2)/25)*Calculateur!BL83*Calculateur!BN83*VLOOKUP('Données projet'!$B$11,Paramètres!$A$1:$I$89,3,0)*0.475*44/12</f>
        <v>3.0430748676208244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21.789553809624245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102.77795559500703</v>
      </c>
      <c r="CE83" s="59">
        <f t="shared" si="94"/>
        <v>288.83946957374047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17.332810038180217</v>
      </c>
      <c r="CL83" s="21">
        <f>EXP(-LN(2)/25)*CL82+(1-EXP(-LN(2)/25))/(LN(2)/25)*Calculateur!CG83*Calculateur!CI83*VLOOKUP('Données projet'!$B$12,Paramètres!$A$1:$I$89,3,0)*0.475*44/12</f>
        <v>2.8135970907182672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20.146407128898485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6">
        <f t="shared" si="56"/>
        <v>256.66666666666669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134.64362224914908</v>
      </c>
      <c r="T84" s="59">
        <f t="shared" si="88"/>
        <v>312.46749071109713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19.398004007896322</v>
      </c>
      <c r="AA84" s="21">
        <f>EXP(-LN(2)/25)*AA83+(1-EXP(-LN(2)/25))/(LN(2)/25)*Calculateur!V84*Calculateur!X84*VLOOKUP('Données projet'!$B$9,Paramètres!$A$1:$I$89,3,0)*0.475*44/12</f>
        <v>3.1991209454798755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22.597124953376198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144.46767095844729</v>
      </c>
      <c r="AO84" s="59">
        <f t="shared" si="90"/>
        <v>335.56739599097097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20.980110717760208</v>
      </c>
      <c r="AV84" s="21">
        <f>EXP(-LN(2)/25)*AV83+(1-EXP(-LN(2)/25))/(LN(2)/25)*Calculateur!AQ84*Calculateur!AS84*VLOOKUP('Données projet'!$B$10,Paramètres!$A$1:$I$89,3,0)*0.475*44/12</f>
        <v>3.4600421573452516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24.440152875105461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110.21219780294564</v>
      </c>
      <c r="BJ84" s="59">
        <f t="shared" si="92"/>
        <v>310.34820112478593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18.378871924173854</v>
      </c>
      <c r="BQ84" s="21">
        <f>EXP(-LN(2)/25)*BQ83+(1-EXP(-LN(2)/25))/(LN(2)/25)*Calculateur!BL84*Calculateur!BN84*VLOOKUP('Données projet'!$B$11,Paramètres!$A$1:$I$89,3,0)*0.475*44/12</f>
        <v>2.9598618253373807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21.338733749511235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102.77795559500703</v>
      </c>
      <c r="CE84" s="59">
        <f t="shared" si="94"/>
        <v>288.83946957374047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16.99292420530173</v>
      </c>
      <c r="CL84" s="21">
        <f>EXP(-LN(2)/25)*CL83+(1-EXP(-LN(2)/25))/(LN(2)/25)*Calculateur!CG84*Calculateur!CI84*VLOOKUP('Données projet'!$B$12,Paramètres!$A$1:$I$89,3,0)*0.475*44/12</f>
        <v>2.7366591303119359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19.729583335613665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6">
        <f t="shared" si="56"/>
        <v>256.66666666666669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134.64362224914908</v>
      </c>
      <c r="T85" s="59">
        <f t="shared" si="88"/>
        <v>312.46749071109713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19.017620980915645</v>
      </c>
      <c r="AA85" s="21">
        <f>EXP(-LN(2)/25)*AA84+(1-EXP(-LN(2)/25))/(LN(2)/25)*Calculateur!V85*Calculateur!X85*VLOOKUP('Données projet'!$B$9,Paramètres!$A$1:$I$89,3,0)*0.475*44/12</f>
        <v>3.1116408149912695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22.129261795906913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144.46767095844729</v>
      </c>
      <c r="AO85" s="59">
        <f t="shared" si="90"/>
        <v>335.56739599097097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20.56870354318891</v>
      </c>
      <c r="AV85" s="21">
        <f>EXP(-LN(2)/25)*AV84+(1-EXP(-LN(2)/25))/(LN(2)/25)*Calculateur!AQ85*Calculateur!AS85*VLOOKUP('Données projet'!$B$10,Paramètres!$A$1:$I$89,3,0)*0.475*44/12</f>
        <v>3.3654271225969365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23.934130665785847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110.21219780294564</v>
      </c>
      <c r="BJ85" s="59">
        <f t="shared" si="92"/>
        <v>310.34820112478593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18.018473455745781</v>
      </c>
      <c r="BQ85" s="21">
        <f>EXP(-LN(2)/25)*BQ84+(1-EXP(-LN(2)/25))/(LN(2)/25)*Calculateur!BL85*Calculateur!BN85*VLOOKUP('Données projet'!$B$11,Paramètres!$A$1:$I$89,3,0)*0.475*44/12</f>
        <v>2.8789242480711614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20.897397703816942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102.77795559500703</v>
      </c>
      <c r="CE85" s="59">
        <f t="shared" si="94"/>
        <v>288.83946957374047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16.659703326296103</v>
      </c>
      <c r="CL85" s="21">
        <f>EXP(-LN(2)/25)*CL84+(1-EXP(-LN(2)/25))/(LN(2)/25)*Calculateur!CG85*Calculateur!CI85*VLOOKUP('Données projet'!$B$12,Paramètres!$A$1:$I$89,3,0)*0.475*44/12</f>
        <v>2.6618250424789069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19.321528368775009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6">
        <f t="shared" si="56"/>
        <v>256.66666666666669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134.64362224914908</v>
      </c>
      <c r="T86" s="59">
        <f t="shared" si="88"/>
        <v>312.46749071109713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18.644697033083322</v>
      </c>
      <c r="AA86" s="21">
        <f>EXP(-LN(2)/25)*AA85+(1-EXP(-LN(2)/25))/(LN(2)/25)*Calculateur!V86*Calculateur!X86*VLOOKUP('Données projet'!$B$9,Paramètres!$A$1:$I$89,3,0)*0.475*44/12</f>
        <v>3.0265528332712544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21.671249866354575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144.46767095844729</v>
      </c>
      <c r="AO86" s="59">
        <f t="shared" si="90"/>
        <v>335.56739599097097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20.165363812377354</v>
      </c>
      <c r="AV86" s="21">
        <f>EXP(-LN(2)/25)*AV85+(1-EXP(-LN(2)/25))/(LN(2)/25)*Calculateur!AQ86*Calculateur!AS86*VLOOKUP('Données projet'!$B$10,Paramètres!$A$1:$I$89,3,0)*0.475*44/12</f>
        <v>3.2733993409494029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23.438763153326757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110.21219780294564</v>
      </c>
      <c r="BJ86" s="59">
        <f t="shared" si="92"/>
        <v>310.34820112478593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17.665142181462222</v>
      </c>
      <c r="BQ86" s="21">
        <f>EXP(-LN(2)/25)*BQ85+(1-EXP(-LN(2)/25))/(LN(2)/25)*Calculateur!BL86*Calculateur!BN86*VLOOKUP('Données projet'!$B$11,Paramètres!$A$1:$I$89,3,0)*0.475*44/12</f>
        <v>2.8001999131116091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20.465342094573831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102.77795559500703</v>
      </c>
      <c r="CE86" s="59">
        <f t="shared" si="94"/>
        <v>288.83946957374047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16.333016705483111</v>
      </c>
      <c r="CL86" s="21">
        <f>EXP(-LN(2)/25)*CL85+(1-EXP(-LN(2)/25))/(LN(2)/25)*Calculateur!CG86*Calculateur!CI86*VLOOKUP('Données projet'!$B$12,Paramètres!$A$1:$I$89,3,0)*0.475*44/12</f>
        <v>2.589037296713026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18.922054002196138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6">
        <f t="shared" si="56"/>
        <v>256.66666666666669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134.64362224914908</v>
      </c>
      <c r="T87" s="59">
        <f t="shared" si="88"/>
        <v>312.46749071109713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18.279085896406841</v>
      </c>
      <c r="AA87" s="21">
        <f>EXP(-LN(2)/25)*AA86+(1-EXP(-LN(2)/25))/(LN(2)/25)*Calculateur!V87*Calculateur!X87*VLOOKUP('Données projet'!$B$9,Paramètres!$A$1:$I$89,3,0)*0.475*44/12</f>
        <v>2.9437915868859559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21.222877483292798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144.46767095844729</v>
      </c>
      <c r="AO87" s="59">
        <f t="shared" si="90"/>
        <v>335.56739599097097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19.769933327674071</v>
      </c>
      <c r="AV87" s="21">
        <f>EXP(-LN(2)/25)*AV86+(1-EXP(-LN(2)/25))/(LN(2)/25)*Calculateur!AQ87*Calculateur!AS87*VLOOKUP('Données projet'!$B$10,Paramètres!$A$1:$I$89,3,0)*0.475*44/12</f>
        <v>3.1838880638305516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22.953821391504622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110.21219780294564</v>
      </c>
      <c r="BJ87" s="59">
        <f t="shared" si="92"/>
        <v>310.34820112478593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17.318739517956569</v>
      </c>
      <c r="BQ87" s="21">
        <f>EXP(-LN(2)/25)*BQ86+(1-EXP(-LN(2)/25))/(LN(2)/25)*Calculateur!BL87*Calculateur!BN87*VLOOKUP('Données projet'!$B$11,Paramètres!$A$1:$I$89,3,0)*0.475*44/12</f>
        <v>2.7236282992314584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20.042367817188026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102.77795559500703</v>
      </c>
      <c r="CE87" s="59">
        <f t="shared" si="94"/>
        <v>288.83946957374047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16.012736210045095</v>
      </c>
      <c r="CL87" s="21">
        <f>EXP(-LN(2)/25)*CL86+(1-EXP(-LN(2)/25))/(LN(2)/25)*Calculateur!CG87*Calculateur!CI87*VLOOKUP('Données projet'!$B$12,Paramètres!$A$1:$I$89,3,0)*0.475*44/12</f>
        <v>2.5182399356828542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18.530976145727948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6">
        <f t="shared" si="56"/>
        <v>256.66666666666669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134.64362224914908</v>
      </c>
      <c r="T88" s="59">
        <f t="shared" si="88"/>
        <v>312.46749071109713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17.920644171119815</v>
      </c>
      <c r="AA88" s="21">
        <f>EXP(-LN(2)/25)*AA87+(1-EXP(-LN(2)/25))/(LN(2)/25)*Calculateur!V88*Calculateur!X88*VLOOKUP('Données projet'!$B$9,Paramètres!$A$1:$I$89,3,0)*0.475*44/12</f>
        <v>2.8632934511352879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20.783937622255102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144.46767095844729</v>
      </c>
      <c r="AO88" s="59">
        <f t="shared" si="90"/>
        <v>335.56739599097097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19.382256993587038</v>
      </c>
      <c r="AV88" s="21">
        <f>EXP(-LN(2)/25)*AV87+(1-EXP(-LN(2)/25))/(LN(2)/25)*Calculateur!AQ88*Calculateur!AS88*VLOOKUP('Données projet'!$B$10,Paramètres!$A$1:$I$89,3,0)*0.475*44/12</f>
        <v>3.0968244772917086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22.479081470878747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110.21219780294564</v>
      </c>
      <c r="BJ88" s="59">
        <f t="shared" si="92"/>
        <v>310.34820112478593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16.979129599397499</v>
      </c>
      <c r="BQ88" s="21">
        <f>EXP(-LN(2)/25)*BQ87+(1-EXP(-LN(2)/25))/(LN(2)/25)*Calculateur!BL88*Calculateur!BN88*VLOOKUP('Données projet'!$B$11,Paramètres!$A$1:$I$89,3,0)*0.475*44/12</f>
        <v>2.649150540159587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19.628280139557084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102.77795559500703</v>
      </c>
      <c r="CE88" s="59">
        <f t="shared" si="94"/>
        <v>288.83946957374047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15.698736219770806</v>
      </c>
      <c r="CL88" s="21">
        <f>EXP(-LN(2)/25)*CL87+(1-EXP(-LN(2)/25))/(LN(2)/25)*Calculateur!CG88*Calculateur!CI88*VLOOKUP('Données projet'!$B$12,Paramètres!$A$1:$I$89,3,0)*0.475*44/12</f>
        <v>2.4493785322131241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18.148114751983929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6">
        <f t="shared" si="56"/>
        <v>256.66666666666669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134.64362224914908</v>
      </c>
      <c r="T89" s="59">
        <f t="shared" si="88"/>
        <v>312.46749071109713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17.5692312694378</v>
      </c>
      <c r="AA89" s="21">
        <f>EXP(-LN(2)/25)*AA88+(1-EXP(-LN(2)/25))/(LN(2)/25)*Calculateur!V89*Calculateur!X89*VLOOKUP('Données projet'!$B$9,Paramètres!$A$1:$I$89,3,0)*0.475*44/12</f>
        <v>2.7849965411399351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20.354227810577736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144.46767095844729</v>
      </c>
      <c r="AO89" s="59">
        <f t="shared" si="90"/>
        <v>335.56739599097097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19.002182755952237</v>
      </c>
      <c r="AV89" s="21">
        <f>EXP(-LN(2)/25)*AV88+(1-EXP(-LN(2)/25))/(LN(2)/25)*Calculateur!AQ89*Calculateur!AS89*VLOOKUP('Données projet'!$B$10,Paramètres!$A$1:$I$89,3,0)*0.475*44/12</f>
        <v>3.0121416491052453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22.014324405057483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110.21219780294564</v>
      </c>
      <c r="BJ89" s="59">
        <f t="shared" si="92"/>
        <v>310.34820112478593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16.646179224199777</v>
      </c>
      <c r="BQ89" s="21">
        <f>EXP(-LN(2)/25)*BQ88+(1-EXP(-LN(2)/25))/(LN(2)/25)*Calculateur!BL89*Calculateur!BN89*VLOOKUP('Données projet'!$B$11,Paramètres!$A$1:$I$89,3,0)*0.475*44/12</f>
        <v>2.5767093793261511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19.222888603525927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102.77795559500703</v>
      </c>
      <c r="CE89" s="59">
        <f t="shared" si="94"/>
        <v>288.83946957374047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15.390893577784714</v>
      </c>
      <c r="CL89" s="21">
        <f>EXP(-LN(2)/25)*CL88+(1-EXP(-LN(2)/25))/(LN(2)/25)*Calculateur!CG89*Calculateur!CI89*VLOOKUP('Données projet'!$B$12,Paramètres!$A$1:$I$89,3,0)*0.475*44/12</f>
        <v>2.3824001474425374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17.773293725227251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6">
        <f t="shared" si="56"/>
        <v>256.66666666666669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134.64362224914908</v>
      </c>
      <c r="T90" s="59">
        <f t="shared" si="88"/>
        <v>312.46749071109713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17.224709360417066</v>
      </c>
      <c r="AA90" s="21">
        <f>EXP(-LN(2)/25)*AA89+(1-EXP(-LN(2)/25))/(LN(2)/25)*Calculateur!V90*Calculateur!X90*VLOOKUP('Données projet'!$B$9,Paramètres!$A$1:$I$89,3,0)*0.475*44/12</f>
        <v>2.7088406642658609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19.933550024682926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144.46767095844729</v>
      </c>
      <c r="AO90" s="59">
        <f t="shared" si="90"/>
        <v>335.56739599097097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18.629561542295058</v>
      </c>
      <c r="AV90" s="21">
        <f>EXP(-LN(2)/25)*AV89+(1-EXP(-LN(2)/25))/(LN(2)/25)*Calculateur!AQ90*Calculateur!AS90*VLOOKUP('Données projet'!$B$10,Paramètres!$A$1:$I$89,3,0)*0.475*44/12</f>
        <v>2.9297744773088175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21.559336019603876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110.21219780294564</v>
      </c>
      <c r="BJ90" s="59">
        <f t="shared" si="92"/>
        <v>310.34820112478593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16.319757802780003</v>
      </c>
      <c r="BQ90" s="21">
        <f>EXP(-LN(2)/25)*BQ89+(1-EXP(-LN(2)/25))/(LN(2)/25)*Calculateur!BL90*Calculateur!BN90*VLOOKUP('Données projet'!$B$11,Paramètres!$A$1:$I$89,3,0)*0.475*44/12</f>
        <v>2.5062491258452204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18.826006928625223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102.77795559500703</v>
      </c>
      <c r="CE90" s="59">
        <f t="shared" si="94"/>
        <v>288.83946957374047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15.089087542242499</v>
      </c>
      <c r="CL90" s="21">
        <f>EXP(-LN(2)/25)*CL89+(1-EXP(-LN(2)/25))/(LN(2)/25)*Calculateur!CG90*Calculateur!CI90*VLOOKUP('Données projet'!$B$12,Paramètres!$A$1:$I$89,3,0)*0.475*44/12</f>
        <v>2.3172532901257425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17.40634083236824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6">
        <f t="shared" si="56"/>
        <v>256.66666666666669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134.64362224914908</v>
      </c>
      <c r="T91" s="59">
        <f t="shared" si="88"/>
        <v>312.46749071109713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16.886943315894612</v>
      </c>
      <c r="AA91" s="21">
        <f>EXP(-LN(2)/25)*AA90+(1-EXP(-LN(2)/25))/(LN(2)/25)*Calculateur!V91*Calculateur!X91*VLOOKUP('Données projet'!$B$9,Paramètres!$A$1:$I$89,3,0)*0.475*44/12</f>
        <v>2.6347672738497714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19.521710589744384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144.46767095844729</v>
      </c>
      <c r="AO91" s="59">
        <f t="shared" si="90"/>
        <v>335.56739599097097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18.264247203361197</v>
      </c>
      <c r="AV91" s="21">
        <f>EXP(-LN(2)/25)*AV90+(1-EXP(-LN(2)/25))/(LN(2)/25)*Calculateur!AQ91*Calculateur!AS91*VLOOKUP('Données projet'!$B$10,Paramètres!$A$1:$I$89,3,0)*0.475*44/12</f>
        <v>2.8496596401566641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21.11390684351786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110.21219780294564</v>
      </c>
      <c r="BJ91" s="59">
        <f t="shared" si="92"/>
        <v>310.34820112478593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15.999737306336865</v>
      </c>
      <c r="BQ91" s="21">
        <f>EXP(-LN(2)/25)*BQ90+(1-EXP(-LN(2)/25))/(LN(2)/25)*Calculateur!BL91*Calculateur!BN91*VLOOKUP('Données projet'!$B$11,Paramètres!$A$1:$I$89,3,0)*0.475*44/12</f>
        <v>2.4377156117010697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18.437452918037934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102.77795559500703</v>
      </c>
      <c r="CE91" s="59">
        <f t="shared" si="94"/>
        <v>288.83946957374047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14.79319973897376</v>
      </c>
      <c r="CL91" s="21">
        <f>EXP(-LN(2)/25)*CL90+(1-EXP(-LN(2)/25))/(LN(2)/25)*Calculateur!CG91*Calculateur!CI91*VLOOKUP('Données projet'!$B$12,Paramètres!$A$1:$I$89,3,0)*0.475*44/12</f>
        <v>2.2538878770481996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17.047087616021958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6">
        <f t="shared" si="56"/>
        <v>256.66666666666669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134.64362224914908</v>
      </c>
      <c r="T92" s="59">
        <f t="shared" si="88"/>
        <v>312.46749071109713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16.555800657488298</v>
      </c>
      <c r="AA92" s="21">
        <f>EXP(-LN(2)/25)*AA91+(1-EXP(-LN(2)/25))/(LN(2)/25)*Calculateur!V92*Calculateur!X92*VLOOKUP('Données projet'!$B$9,Paramètres!$A$1:$I$89,3,0)*0.475*44/12</f>
        <v>2.5627194241899605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19.118520081678259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144.46767095844729</v>
      </c>
      <c r="AO92" s="59">
        <f t="shared" si="90"/>
        <v>335.56739599097097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17.906096455794085</v>
      </c>
      <c r="AV92" s="21">
        <f>EXP(-LN(2)/25)*AV91+(1-EXP(-LN(2)/25))/(LN(2)/25)*Calculateur!AQ92*Calculateur!AS92*VLOOKUP('Données projet'!$B$10,Paramètres!$A$1:$I$89,3,0)*0.475*44/12</f>
        <v>2.7717355474394925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20.677832003233576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110.21219780294564</v>
      </c>
      <c r="BJ92" s="59">
        <f t="shared" si="92"/>
        <v>310.34820112478593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15.685992216635746</v>
      </c>
      <c r="BQ92" s="21">
        <f>EXP(-LN(2)/25)*BQ91+(1-EXP(-LN(2)/25))/(LN(2)/25)*Calculateur!BL92*Calculateur!BN92*VLOOKUP('Données projet'!$B$11,Paramètres!$A$1:$I$89,3,0)*0.475*44/12</f>
        <v>2.3710561501052112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18.057048366740958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102.77795559500703</v>
      </c>
      <c r="CE92" s="59">
        <f t="shared" si="94"/>
        <v>288.83946957374047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14.503114115053382</v>
      </c>
      <c r="CL92" s="21">
        <f>EXP(-LN(2)/25)*CL91+(1-EXP(-LN(2)/25))/(LN(2)/25)*Calculateur!CG92*Calculateur!CI92*VLOOKUP('Données projet'!$B$12,Paramètres!$A$1:$I$89,3,0)*0.475*44/12</f>
        <v>2.1922551945235043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16.695369309576886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6">
        <f t="shared" si="56"/>
        <v>256.66666666666669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134.64362224914908</v>
      </c>
      <c r="T93" s="59">
        <f t="shared" si="88"/>
        <v>312.46749071109713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16.231151504636255</v>
      </c>
      <c r="AA93" s="21">
        <f>EXP(-LN(2)/25)*AA92+(1-EXP(-LN(2)/25))/(LN(2)/25)*Calculateur!V93*Calculateur!X93*VLOOKUP('Données projet'!$B$9,Paramètres!$A$1:$I$89,3,0)*0.475*44/12</f>
        <v>2.4926417267679288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18.723793231404184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144.46767095844729</v>
      </c>
      <c r="AO93" s="59">
        <f t="shared" si="90"/>
        <v>335.56739599097097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17.554968825936378</v>
      </c>
      <c r="AV93" s="21">
        <f>EXP(-LN(2)/25)*AV92+(1-EXP(-LN(2)/25))/(LN(2)/25)*Calculateur!AQ93*Calculateur!AS93*VLOOKUP('Données projet'!$B$10,Paramètres!$A$1:$I$89,3,0)*0.475*44/12</f>
        <v>2.6959422931355221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20.250911119071901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110.21219780294564</v>
      </c>
      <c r="BJ93" s="59">
        <f t="shared" si="92"/>
        <v>310.34820112478593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15.378399476778059</v>
      </c>
      <c r="BQ93" s="21">
        <f>EXP(-LN(2)/25)*BQ92+(1-EXP(-LN(2)/25))/(LN(2)/25)*Calculateur!BL93*Calculateur!BN93*VLOOKUP('Données projet'!$B$11,Paramètres!$A$1:$I$89,3,0)*0.475*44/12</f>
        <v>2.3062194949921602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17.68461897177022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102.77795559500703</v>
      </c>
      <c r="CE93" s="59">
        <f t="shared" si="94"/>
        <v>288.83946957374047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14.218716893283323</v>
      </c>
      <c r="CL93" s="21">
        <f>EXP(-LN(2)/25)*CL92+(1-EXP(-LN(2)/25))/(LN(2)/25)*Calculateur!CG93*Calculateur!CI93*VLOOKUP('Données projet'!$B$12,Paramètres!$A$1:$I$89,3,0)*0.475*44/12</f>
        <v>2.1323078609435688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16.351024754226891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6">
        <f t="shared" si="56"/>
        <v>256.66666666666669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134.64362224914908</v>
      </c>
      <c r="T94" s="59">
        <f t="shared" si="88"/>
        <v>312.46749071109713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15.912868523655209</v>
      </c>
      <c r="AA94" s="21">
        <f>EXP(-LN(2)/25)*AA93+(1-EXP(-LN(2)/25))/(LN(2)/25)*Calculateur!V94*Calculateur!X94*VLOOKUP('Données projet'!$B$9,Paramètres!$A$1:$I$89,3,0)*0.475*44/12</f>
        <v>2.4244803076671286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18.337348831322338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144.46767095844729</v>
      </c>
      <c r="AO94" s="59">
        <f t="shared" si="90"/>
        <v>335.56739599097097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17.210726594733472</v>
      </c>
      <c r="AV94" s="21">
        <f>EXP(-LN(2)/25)*AV93+(1-EXP(-LN(2)/25))/(LN(2)/25)*Calculateur!AQ94*Calculateur!AS94*VLOOKUP('Données projet'!$B$10,Paramètres!$A$1:$I$89,3,0)*0.475*44/12</f>
        <v>2.6222216093562878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19.83294820408976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110.21219780294564</v>
      </c>
      <c r="BJ94" s="59">
        <f t="shared" si="92"/>
        <v>310.34820112478593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15.076838442935934</v>
      </c>
      <c r="BQ94" s="21">
        <f>EXP(-LN(2)/25)*BQ93+(1-EXP(-LN(2)/25))/(LN(2)/25)*Calculateur!BL94*Calculateur!BN94*VLOOKUP('Données projet'!$B$11,Paramètres!$A$1:$I$89,3,0)*0.475*44/12</f>
        <v>2.243155801622787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17.319994244558721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102.77795559500703</v>
      </c>
      <c r="CE94" s="59">
        <f t="shared" si="94"/>
        <v>288.83946957374047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13.939896527566997</v>
      </c>
      <c r="CL94" s="21">
        <f>EXP(-LN(2)/25)*CL93+(1-EXP(-LN(2)/25))/(LN(2)/25)*Calculateur!CG94*Calculateur!CI94*VLOOKUP('Données projet'!$B$12,Paramètres!$A$1:$I$89,3,0)*0.475*44/12</f>
        <v>2.07399979035287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16.013896317919865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6">
        <f t="shared" si="56"/>
        <v>256.66666666666669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134.64362224914908</v>
      </c>
      <c r="T95" s="59">
        <f t="shared" si="88"/>
        <v>312.46749071109713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15.600826877797752</v>
      </c>
      <c r="AA95" s="21">
        <f>EXP(-LN(2)/25)*AA94+(1-EXP(-LN(2)/25))/(LN(2)/25)*Calculateur!V95*Calculateur!X95*VLOOKUP('Données projet'!$B$9,Paramètres!$A$1:$I$89,3,0)*0.475*44/12</f>
        <v>2.358182766156093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17.959009643953845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144.46767095844729</v>
      </c>
      <c r="AO95" s="59">
        <f t="shared" si="90"/>
        <v>335.56739599097097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16.873234743717429</v>
      </c>
      <c r="AV95" s="21">
        <f>EXP(-LN(2)/25)*AV94+(1-EXP(-LN(2)/25))/(LN(2)/25)*Calculateur!AQ95*Calculateur!AS95*VLOOKUP('Données projet'!$B$10,Paramètres!$A$1:$I$89,3,0)*0.475*44/12</f>
        <v>2.550516821551799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19.423751565269228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110.21219780294564</v>
      </c>
      <c r="BJ95" s="59">
        <f t="shared" si="92"/>
        <v>310.34820112478593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14.781190837033384</v>
      </c>
      <c r="BQ95" s="21">
        <f>EXP(-LN(2)/25)*BQ94+(1-EXP(-LN(2)/25))/(LN(2)/25)*Calculateur!BL95*Calculateur!BN95*VLOOKUP('Données projet'!$B$11,Paramètres!$A$1:$I$89,3,0)*0.475*44/12</f>
        <v>2.1818165882649749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16.963007425298358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102.77795559500703</v>
      </c>
      <c r="CE95" s="59">
        <f t="shared" si="94"/>
        <v>288.83946957374047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13.666543659158739</v>
      </c>
      <c r="CL95" s="21">
        <f>EXP(-LN(2)/25)*CL94+(1-EXP(-LN(2)/25))/(LN(2)/25)*Calculateur!CG95*Calculateur!CI95*VLOOKUP('Données projet'!$B$12,Paramètres!$A$1:$I$89,3,0)*0.475*44/12</f>
        <v>2.0172861570187619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15.6838298161775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6">
        <f t="shared" si="56"/>
        <v>256.66666666666669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134.64362224914908</v>
      </c>
      <c r="T96" s="59">
        <f t="shared" si="88"/>
        <v>312.46749071109713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15.294904178288951</v>
      </c>
      <c r="AA96" s="21">
        <f>EXP(-LN(2)/25)*AA95+(1-EXP(-LN(2)/25))/(LN(2)/25)*Calculateur!V96*Calculateur!X96*VLOOKUP('Données projet'!$B$9,Paramètres!$A$1:$I$89,3,0)*0.475*44/12</f>
        <v>2.2936981344041127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17.588602312693062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144.46767095844729</v>
      </c>
      <c r="AO96" s="59">
        <f t="shared" si="90"/>
        <v>335.56739599097097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16.542360902050106</v>
      </c>
      <c r="AV96" s="21">
        <f>EXP(-LN(2)/25)*AV95+(1-EXP(-LN(2)/25))/(LN(2)/25)*Calculateur!AQ96*Calculateur!AS96*VLOOKUP('Données projet'!$B$10,Paramètres!$A$1:$I$89,3,0)*0.475*44/12</f>
        <v>2.4807728049406146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19.02313370699072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110.21219780294564</v>
      </c>
      <c r="BJ96" s="59">
        <f t="shared" si="92"/>
        <v>310.34820112478593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14.49134070035535</v>
      </c>
      <c r="BQ96" s="21">
        <f>EXP(-LN(2)/25)*BQ95+(1-EXP(-LN(2)/25))/(LN(2)/25)*Calculateur!BL96*Calculateur!BN96*VLOOKUP('Données projet'!$B$11,Paramètres!$A$1:$I$89,3,0)*0.475*44/12</f>
        <v>2.1221546989221216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16.613495399277472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102.77795559500703</v>
      </c>
      <c r="CE96" s="59">
        <f t="shared" si="94"/>
        <v>288.83946957374047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13.398551073771179</v>
      </c>
      <c r="CL96" s="21">
        <f>EXP(-LN(2)/25)*CL95+(1-EXP(-LN(2)/25))/(LN(2)/25)*Calculateur!CG96*Calculateur!CI96*VLOOKUP('Données projet'!$B$12,Paramètres!$A$1:$I$89,3,0)*0.475*44/12</f>
        <v>1.9621233609706155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15.360674434741794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6">
        <f t="shared" si="56"/>
        <v>256.66666666666669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134.64362224914908</v>
      </c>
      <c r="T97" s="59">
        <f t="shared" si="88"/>
        <v>312.46749071109713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14.994980436323093</v>
      </c>
      <c r="AA97" s="21">
        <f>EXP(-LN(2)/25)*AA96+(1-EXP(-LN(2)/25))/(LN(2)/25)*Calculateur!V97*Calculateur!X97*VLOOKUP('Données projet'!$B$9,Paramètres!$A$1:$I$89,3,0)*0.475*44/12</f>
        <v>2.2309768382984898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17.225957274621582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144.46767095844729</v>
      </c>
      <c r="AO97" s="59">
        <f t="shared" si="90"/>
        <v>335.56739599097097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16.217975294604763</v>
      </c>
      <c r="AV97" s="21">
        <f>EXP(-LN(2)/25)*AV96+(1-EXP(-LN(2)/25))/(LN(2)/25)*Calculateur!AQ97*Calculateur!AS97*VLOOKUP('Données projet'!$B$10,Paramètres!$A$1:$I$89,3,0)*0.475*44/12</f>
        <v>2.4129359421313414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18.630911236736104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110.21219780294564</v>
      </c>
      <c r="BJ97" s="59">
        <f t="shared" si="92"/>
        <v>310.34820112478593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14.207174348066445</v>
      </c>
      <c r="BQ97" s="21">
        <f>EXP(-LN(2)/25)*BQ96+(1-EXP(-LN(2)/25))/(LN(2)/25)*Calculateur!BL97*Calculateur!BN97*VLOOKUP('Données projet'!$B$11,Paramètres!$A$1:$I$89,3,0)*0.475*44/12</f>
        <v>2.0641242670808309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16.271298615147277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102.77795559500703</v>
      </c>
      <c r="CE97" s="59">
        <f t="shared" si="94"/>
        <v>288.83946957374047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13.135813659523732</v>
      </c>
      <c r="CL97" s="21">
        <f>EXP(-LN(2)/25)*CL96+(1-EXP(-LN(2)/25))/(LN(2)/25)*Calculateur!CG97*Calculateur!CI97*VLOOKUP('Données projet'!$B$12,Paramètres!$A$1:$I$89,3,0)*0.475*44/12</f>
        <v>1.9084689944812909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15.044282654005023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6">
        <f t="shared" si="56"/>
        <v>256.66666666666669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134.64362224914908</v>
      </c>
      <c r="T98" s="59">
        <f t="shared" si="88"/>
        <v>312.46749071109713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14.700938016001768</v>
      </c>
      <c r="AA98" s="21">
        <f>EXP(-LN(2)/25)*AA97+(1-EXP(-LN(2)/25))/(LN(2)/25)*Calculateur!V98*Calculateur!X98*VLOOKUP('Données projet'!$B$9,Paramètres!$A$1:$I$89,3,0)*0.475*44/12</f>
        <v>2.1699706593332446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16.870908675335013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144.46767095844729</v>
      </c>
      <c r="AO98" s="59">
        <f t="shared" si="90"/>
        <v>335.56739599097097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15.89995069106574</v>
      </c>
      <c r="AV98" s="21">
        <f>EXP(-LN(2)/25)*AV97+(1-EXP(-LN(2)/25))/(LN(2)/25)*Calculateur!AQ98*Calculateur!AS98*VLOOKUP('Données projet'!$B$10,Paramètres!$A$1:$I$89,3,0)*0.475*44/12</f>
        <v>2.3469540819029735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18.246904772968712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110.21219780294564</v>
      </c>
      <c r="BJ98" s="59">
        <f t="shared" si="92"/>
        <v>310.34820112478593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13.928580324621565</v>
      </c>
      <c r="BQ98" s="21">
        <f>EXP(-LN(2)/25)*BQ97+(1-EXP(-LN(2)/25))/(LN(2)/25)*Calculateur!BL98*Calculateur!BN98*VLOOKUP('Données projet'!$B$11,Paramètres!$A$1:$I$89,3,0)*0.475*44/12</f>
        <v>2.0076806804499281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15.936261005071493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102.77795559500703</v>
      </c>
      <c r="CE98" s="59">
        <f t="shared" si="94"/>
        <v>288.83946957374047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12.87822836571568</v>
      </c>
      <c r="CL98" s="21">
        <f>EXP(-LN(2)/25)*CL97+(1-EXP(-LN(2)/25))/(LN(2)/25)*Calculateur!CG98*Calculateur!CI98*VLOOKUP('Données projet'!$B$12,Paramètres!$A$1:$I$89,3,0)*0.475*44/12</f>
        <v>1.8562818094651774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14.734510175180857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6">
        <f t="shared" si="56"/>
        <v>256.66666666666669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134.64362224914908</v>
      </c>
      <c r="T99" s="59">
        <f t="shared" si="88"/>
        <v>312.46749071109713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14.412661588194776</v>
      </c>
      <c r="AA99" s="21">
        <f>EXP(-LN(2)/25)*AA98+(1-EXP(-LN(2)/25))/(LN(2)/25)*Calculateur!V99*Calculateur!X99*VLOOKUP('Données projet'!$B$9,Paramètres!$A$1:$I$89,3,0)*0.475*44/12</f>
        <v>2.1106326975399794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16.523294285734757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144.46767095844729</v>
      </c>
      <c r="AO99" s="59">
        <f t="shared" si="90"/>
        <v>335.56739599097097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15.588162356026263</v>
      </c>
      <c r="AV99" s="21">
        <f>EXP(-LN(2)/25)*AV98+(1-EXP(-LN(2)/25))/(LN(2)/25)*Calculateur!AQ99*Calculateur!AS99*VLOOKUP('Données projet'!$B$10,Paramètres!$A$1:$I$89,3,0)*0.475*44/12</f>
        <v>2.2827764991123853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17.870938855138647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110.21219780294564</v>
      </c>
      <c r="BJ99" s="59">
        <f t="shared" si="92"/>
        <v>310.34820112478593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13.655449360050865</v>
      </c>
      <c r="BQ99" s="21">
        <f>EXP(-LN(2)/25)*BQ98+(1-EXP(-LN(2)/25))/(LN(2)/25)*Calculateur!BL99*Calculateur!BN99*VLOOKUP('Données projet'!$B$11,Paramètres!$A$1:$I$89,3,0)*0.475*44/12</f>
        <v>1.9527805466636865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15.608229906714552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102.77795559500703</v>
      </c>
      <c r="CE99" s="59">
        <f t="shared" si="94"/>
        <v>288.83946957374047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12.625694162407687</v>
      </c>
      <c r="CL99" s="21">
        <f>EXP(-LN(2)/25)*CL98+(1-EXP(-LN(2)/25))/(LN(2)/25)*Calculateur!CG99*Calculateur!CI99*VLOOKUP('Données projet'!$B$12,Paramètres!$A$1:$I$89,3,0)*0.475*44/12</f>
        <v>1.8055216857677343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14.431215848175421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6">
        <f t="shared" si="56"/>
        <v>256.66666666666669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134.64362224914908</v>
      </c>
      <c r="T100" s="59">
        <f t="shared" si="88"/>
        <v>312.46749071109713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14.13003808530582</v>
      </c>
      <c r="AA100" s="21">
        <f>EXP(-LN(2)/25)*AA99+(1-EXP(-LN(2)/25))/(LN(2)/25)*Calculateur!V100*Calculateur!X100*VLOOKUP('Données projet'!$B$9,Paramètres!$A$1:$I$89,3,0)*0.475*44/12</f>
        <v>2.0529173354323991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16.182955420738217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144.46767095844729</v>
      </c>
      <c r="AO100" s="59">
        <f t="shared" si="90"/>
        <v>335.56739599097097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15.282488000064804</v>
      </c>
      <c r="AV100" s="21">
        <f>EXP(-LN(2)/25)*AV99+(1-EXP(-LN(2)/25))/(LN(2)/25)*Calculateur!AQ100*Calculateur!AS100*VLOOKUP('Données projet'!$B$10,Paramètres!$A$1:$I$89,3,0)*0.475*44/12</f>
        <v>2.2203538556981584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17.502841855762963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110.21219780294564</v>
      </c>
      <c r="BJ100" s="59">
        <f t="shared" si="92"/>
        <v>310.34820112478593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13.387674327101957</v>
      </c>
      <c r="BQ100" s="21">
        <f>EXP(-LN(2)/25)*BQ99+(1-EXP(-LN(2)/25))/(LN(2)/25)*Calculateur!BL100*Calculateur!BN100*VLOOKUP('Données projet'!$B$11,Paramètres!$A$1:$I$89,3,0)*0.475*44/12</f>
        <v>1.8993816599229021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15.287055987024859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102.77795559500703</v>
      </c>
      <c r="CE100" s="59">
        <f t="shared" si="94"/>
        <v>288.83946957374047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12.378112000795909</v>
      </c>
      <c r="CL100" s="21">
        <f>EXP(-LN(2)/25)*CL99+(1-EXP(-LN(2)/25))/(LN(2)/25)*Calculateur!CG100*Calculateur!CI100*VLOOKUP('Données projet'!$B$12,Paramètres!$A$1:$I$89,3,0)*0.475*44/12</f>
        <v>1.7561496003221568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14.134261601118066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6">
        <f t="shared" si="56"/>
        <v>256.66666666666669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134.64362224914908</v>
      </c>
      <c r="T101" s="59">
        <f t="shared" si="88"/>
        <v>312.46749071109713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13.852956656925201</v>
      </c>
      <c r="AA101" s="21">
        <f>EXP(-LN(2)/25)*AA100+(1-EXP(-LN(2)/25))/(LN(2)/25)*Calculateur!V101*Calculateur!X101*VLOOKUP('Données projet'!$B$9,Paramètres!$A$1:$I$89,3,0)*0.475*44/12</f>
        <v>1.9967802029367694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15.84973685986197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144.46767095844729</v>
      </c>
      <c r="AO101" s="59">
        <f t="shared" si="90"/>
        <v>335.56739599097097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14.982807731780802</v>
      </c>
      <c r="AV101" s="21">
        <f>EXP(-LN(2)/25)*AV100+(1-EXP(-LN(2)/25))/(LN(2)/25)*Calculateur!AQ101*Calculateur!AS101*VLOOKUP('Données projet'!$B$10,Paramètres!$A$1:$I$89,3,0)*0.475*44/12</f>
        <v>2.1596381627507575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17.142445894531559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110.21219780294564</v>
      </c>
      <c r="BJ101" s="59">
        <f t="shared" si="92"/>
        <v>310.34820112478593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13.125150199222533</v>
      </c>
      <c r="BQ101" s="21">
        <f>EXP(-LN(2)/25)*BQ100+(1-EXP(-LN(2)/25))/(LN(2)/25)*Calculateur!BL101*Calculateur!BN101*VLOOKUP('Données projet'!$B$11,Paramètres!$A$1:$I$89,3,0)*0.475*44/12</f>
        <v>1.8474429685481699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14.972593167770704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102.77795559500703</v>
      </c>
      <c r="CE101" s="59">
        <f t="shared" si="94"/>
        <v>288.83946957374047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12.13538477436313</v>
      </c>
      <c r="CL101" s="21">
        <f>EXP(-LN(2)/25)*CL100+(1-EXP(-LN(2)/25))/(LN(2)/25)*Calculateur!CG101*Calculateur!CI101*VLOOKUP('Données projet'!$B$12,Paramètres!$A$1:$I$89,3,0)*0.475*44/12</f>
        <v>1.7081275971494536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13.843512371512585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6">
        <f t="shared" si="56"/>
        <v>256.66666666666669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134.64362224914908</v>
      </c>
      <c r="T102" s="59">
        <f t="shared" si="88"/>
        <v>312.46749071109713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13.581308626352143</v>
      </c>
      <c r="AA102" s="21">
        <f>EXP(-LN(2)/25)*AA101+(1-EXP(-LN(2)/25))/(LN(2)/25)*Calculateur!V102*Calculateur!X102*VLOOKUP('Données projet'!$B$9,Paramètres!$A$1:$I$89,3,0)*0.475*44/12</f>
        <v>1.9421781432813563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15.5234867696335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144.46767095844729</v>
      </c>
      <c r="AO102" s="59">
        <f t="shared" si="90"/>
        <v>335.56739599097097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14.689004010770935</v>
      </c>
      <c r="AV102" s="21">
        <f>EXP(-LN(2)/25)*AV101+(1-EXP(-LN(2)/25))/(LN(2)/25)*Calculateur!AQ102*Calculateur!AS102*VLOOKUP('Données projet'!$B$10,Paramètres!$A$1:$I$89,3,0)*0.475*44/12</f>
        <v>2.1005827436199032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16.789586754390839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110.21219780294564</v>
      </c>
      <c r="BJ102" s="59">
        <f t="shared" si="92"/>
        <v>310.34820112478593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12.867774009366919</v>
      </c>
      <c r="BQ102" s="21">
        <f>EXP(-LN(2)/25)*BQ101+(1-EXP(-LN(2)/25))/(LN(2)/25)*Calculateur!BL102*Calculateur!BN102*VLOOKUP('Données projet'!$B$11,Paramètres!$A$1:$I$89,3,0)*0.475*44/12</f>
        <v>1.7969245434204169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14.664698552787335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102.77795559500703</v>
      </c>
      <c r="CE102" s="59">
        <f t="shared" si="94"/>
        <v>288.83946957374047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11.897417280791709</v>
      </c>
      <c r="CL102" s="21">
        <f>EXP(-LN(2)/25)*CL101+(1-EXP(-LN(2)/25))/(LN(2)/25)*Calculateur!CG102*Calculateur!CI102*VLOOKUP('Données projet'!$B$12,Paramètres!$A$1:$I$89,3,0)*0.475*44/12</f>
        <v>1.6614187581788755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13.558836038970584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6">
        <f t="shared" si="56"/>
        <v>256.66666666666669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134.64362224914908</v>
      </c>
      <c r="T103" s="59">
        <f t="shared" si="88"/>
        <v>312.46749071109713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13.314987447969685</v>
      </c>
      <c r="AA103" s="21">
        <f>EXP(-LN(2)/25)*AA102+(1-EXP(-LN(2)/25))/(LN(2)/25)*Calculateur!V103*Calculateur!X103*VLOOKUP('Données projet'!$B$9,Paramètres!$A$1:$I$89,3,0)*0.475*44/12</f>
        <v>1.8890691798186179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15.204056627788303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144.46767095844729</v>
      </c>
      <c r="AO103" s="59">
        <f t="shared" si="90"/>
        <v>335.56739599097097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14.400961601527495</v>
      </c>
      <c r="AV103" s="21">
        <f>EXP(-LN(2)/25)*AV102+(1-EXP(-LN(2)/25))/(LN(2)/25)*Calculateur!AQ103*Calculateur!AS103*VLOOKUP('Données projet'!$B$10,Paramètres!$A$1:$I$89,3,0)*0.475*44/12</f>
        <v>2.0431421980307714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16.444103799558267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110.21219780294564</v>
      </c>
      <c r="BJ103" s="59">
        <f t="shared" si="92"/>
        <v>310.34820112478593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12.615444809610397</v>
      </c>
      <c r="BQ103" s="21">
        <f>EXP(-LN(2)/25)*BQ102+(1-EXP(-LN(2)/25))/(LN(2)/25)*Calculateur!BL103*Calculateur!BN103*VLOOKUP('Données projet'!$B$11,Paramètres!$A$1:$I$89,3,0)*0.475*44/12</f>
        <v>1.7477875472844306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14.363232356894827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102.77795559500703</v>
      </c>
      <c r="CE103" s="59">
        <f t="shared" si="94"/>
        <v>288.83946957374047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11.664116184623385</v>
      </c>
      <c r="CL103" s="21">
        <f>EXP(-LN(2)/25)*CL102+(1-EXP(-LN(2)/25))/(LN(2)/25)*Calculateur!CG103*Calculateur!CI103*VLOOKUP('Données projet'!$B$12,Paramètres!$A$1:$I$89,3,0)*0.475*44/12</f>
        <v>1.6159871748662589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13.280103359489644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6">
        <f t="shared" si="56"/>
        <v>256.66666666666669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134.64362224914908</v>
      </c>
      <c r="T104" s="59">
        <f t="shared" si="88"/>
        <v>312.46749071109713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13.053888665455426</v>
      </c>
      <c r="AA104" s="21">
        <f>EXP(-LN(2)/25)*AA103+(1-EXP(-LN(2)/25))/(LN(2)/25)*Calculateur!V104*Calculateur!X104*VLOOKUP('Données projet'!$B$9,Paramètres!$A$1:$I$89,3,0)*0.475*44/12</f>
        <v>1.8374124837546471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14.891301149210074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144.46767095844729</v>
      </c>
      <c r="AO104" s="59">
        <f t="shared" si="90"/>
        <v>335.56739599097097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14.118567528240797</v>
      </c>
      <c r="AV104" s="21">
        <f>EXP(-LN(2)/25)*AV103+(1-EXP(-LN(2)/25))/(LN(2)/25)*Calculateur!AQ104*Calculateur!AS104*VLOOKUP('Données projet'!$B$10,Paramètres!$A$1:$I$89,3,0)*0.475*44/12</f>
        <v>1.9872723671814414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16.105839895422239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110.21219780294564</v>
      </c>
      <c r="BJ104" s="59">
        <f t="shared" si="92"/>
        <v>310.34820112478593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12.368063631555486</v>
      </c>
      <c r="BQ104" s="21">
        <f>EXP(-LN(2)/25)*BQ103+(1-EXP(-LN(2)/25))/(LN(2)/25)*Calculateur!BL104*Calculateur!BN104*VLOOKUP('Données projet'!$B$11,Paramètres!$A$1:$I$89,3,0)*0.475*44/12</f>
        <v>1.6999942048917853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14.068057836447272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102.77795559500703</v>
      </c>
      <c r="CE104" s="59">
        <f t="shared" si="94"/>
        <v>288.83946957374047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11.435389980651303</v>
      </c>
      <c r="CL104" s="21">
        <f>EXP(-LN(2)/25)*CL103+(1-EXP(-LN(2)/25))/(LN(2)/25)*Calculateur!CG104*Calculateur!CI104*VLOOKUP('Données projet'!$B$12,Paramètres!$A$1:$I$89,3,0)*0.475*44/12</f>
        <v>1.5717979205884689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13.007187901239773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6">
        <f t="shared" si="56"/>
        <v>256.66666666666669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134.64362224914908</v>
      </c>
      <c r="T105" s="59">
        <f t="shared" si="88"/>
        <v>312.46749071109713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12.797909870811742</v>
      </c>
      <c r="AA105" s="21">
        <f>EXP(-LN(2)/25)*AA104+(1-EXP(-LN(2)/25))/(LN(2)/25)*Calculateur!V105*Calculateur!X105*VLOOKUP('Données projet'!$B$9,Paramètres!$A$1:$I$89,3,0)*0.475*44/12</f>
        <v>1.7871683427610532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14.585078213572794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144.46767095844729</v>
      </c>
      <c r="AO105" s="59">
        <f t="shared" si="90"/>
        <v>335.56739599097097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13.841711030487875</v>
      </c>
      <c r="AV105" s="21">
        <f>EXP(-LN(2)/25)*AV104+(1-EXP(-LN(2)/25))/(LN(2)/25)*Calculateur!AQ105*Calculateur!AS105*VLOOKUP('Données projet'!$B$10,Paramètres!$A$1:$I$89,3,0)*0.475*44/12</f>
        <v>1.9329302997947531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15.774641330282629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110.21219780294564</v>
      </c>
      <c r="BJ105" s="59">
        <f t="shared" si="92"/>
        <v>310.34820112478593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12.125533447514613</v>
      </c>
      <c r="BQ105" s="21">
        <f>EXP(-LN(2)/25)*BQ104+(1-EXP(-LN(2)/25))/(LN(2)/25)*Calculateur!BL105*Calculateur!BN105*VLOOKUP('Données projet'!$B$11,Paramètres!$A$1:$I$89,3,0)*0.475*44/12</f>
        <v>1.6535077739602095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13.779041221474822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102.77795559500703</v>
      </c>
      <c r="CE105" s="59">
        <f t="shared" si="94"/>
        <v>288.83946957374047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11.211148958029906</v>
      </c>
      <c r="CL105" s="21">
        <f>EXP(-LN(2)/25)*CL104+(1-EXP(-LN(2)/25))/(LN(2)/25)*Calculateur!CG105*Calculateur!CI105*VLOOKUP('Données projet'!$B$12,Paramètres!$A$1:$I$89,3,0)*0.475*44/12</f>
        <v>1.528817023792717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12.739965981822623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6">
        <f t="shared" si="56"/>
        <v>256.66666666666669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134.64362224914908</v>
      </c>
      <c r="T106" s="59">
        <f t="shared" si="88"/>
        <v>312.46749071109713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12.54695066419937</v>
      </c>
      <c r="AA106" s="21">
        <f>EXP(-LN(2)/25)*AA105+(1-EXP(-LN(2)/25))/(LN(2)/25)*Calculateur!V106*Calculateur!X106*VLOOKUP('Données projet'!$B$9,Paramètres!$A$1:$I$89,3,0)*0.475*44/12</f>
        <v>1.7382981304451537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14.285248794644524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144.46767095844729</v>
      </c>
      <c r="AO106" s="59">
        <f t="shared" si="90"/>
        <v>335.56739599097097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13.570283519790099</v>
      </c>
      <c r="AV106" s="21">
        <f>EXP(-LN(2)/25)*AV105+(1-EXP(-LN(2)/25))/(LN(2)/25)*Calculateur!AQ106*Calculateur!AS106*VLOOKUP('Données projet'!$B$10,Paramètres!$A$1:$I$89,3,0)*0.475*44/12</f>
        <v>1.8800742190984789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15.450357738888577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110.21219780294564</v>
      </c>
      <c r="BJ106" s="59">
        <f t="shared" si="92"/>
        <v>310.34820112478593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11.887759132453976</v>
      </c>
      <c r="BQ106" s="21">
        <f>EXP(-LN(2)/25)*BQ105+(1-EXP(-LN(2)/25))/(LN(2)/25)*Calculateur!BL106*Calculateur!BN106*VLOOKUP('Données projet'!$B$11,Paramètres!$A$1:$I$89,3,0)*0.475*44/12</f>
        <v>1.608292516927073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13.496051649381048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102.77795559500703</v>
      </c>
      <c r="CE106" s="59">
        <f t="shared" si="94"/>
        <v>288.83946957374047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10.991305165088594</v>
      </c>
      <c r="CL106" s="21">
        <f>EXP(-LN(2)/25)*CL105+(1-EXP(-LN(2)/25))/(LN(2)/25)*Calculateur!CG106*Calculateur!CI106*VLOOKUP('Données projet'!$B$12,Paramètres!$A$1:$I$89,3,0)*0.475*44/12</f>
        <v>1.4870114418801121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12.478316606968706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6">
        <f t="shared" si="56"/>
        <v>256.66666666666669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134.64362224914908</v>
      </c>
      <c r="T107" s="59">
        <f t="shared" si="88"/>
        <v>312.46749071109713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12.300912614558666</v>
      </c>
      <c r="AA107" s="21">
        <f>EXP(-LN(2)/25)*AA106+(1-EXP(-LN(2)/25))/(LN(2)/25)*Calculateur!V107*Calculateur!X107*VLOOKUP('Données projet'!$B$9,Paramètres!$A$1:$I$89,3,0)*0.475*44/12</f>
        <v>1.6907642766550053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13.991676891213672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144.46767095844729</v>
      </c>
      <c r="AO107" s="59">
        <f t="shared" si="90"/>
        <v>335.56739599097097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13.30417853702267</v>
      </c>
      <c r="AV107" s="21">
        <f>EXP(-LN(2)/25)*AV106+(1-EXP(-LN(2)/25))/(LN(2)/25)*Calculateur!AQ107*Calculateur!AS107*VLOOKUP('Données projet'!$B$10,Paramètres!$A$1:$I$89,3,0)*0.475*44/12</f>
        <v>1.8286634907084247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15.132842027731094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110.21219780294564</v>
      </c>
      <c r="BJ107" s="59">
        <f t="shared" si="92"/>
        <v>310.34820112478593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11.654647426683665</v>
      </c>
      <c r="BQ107" s="21">
        <f>EXP(-LN(2)/25)*BQ106+(1-EXP(-LN(2)/25))/(LN(2)/25)*Calculateur!BL107*Calculateur!BN107*VLOOKUP('Données projet'!$B$11,Paramètres!$A$1:$I$89,3,0)*0.475*44/12</f>
        <v>1.5643136734752745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13.218961100158939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102.77795559500703</v>
      </c>
      <c r="CE107" s="59">
        <f t="shared" si="94"/>
        <v>288.83946957374047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10.775772374835389</v>
      </c>
      <c r="CL107" s="21">
        <f>EXP(-LN(2)/25)*CL106+(1-EXP(-LN(2)/25))/(LN(2)/25)*Calculateur!CG107*Calculateur!CI107*VLOOKUP('Données projet'!$B$12,Paramètres!$A$1:$I$89,3,0)*0.475*44/12</f>
        <v>1.4463490358033673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12.222121410638756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6">
        <f t="shared" si="56"/>
        <v>256.66666666666669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134.64362224914908</v>
      </c>
      <c r="T108" s="59">
        <f t="shared" si="88"/>
        <v>312.46749071109713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12.059699221003024</v>
      </c>
      <c r="AA108" s="21">
        <f>EXP(-LN(2)/25)*AA107+(1-EXP(-LN(2)/25))/(LN(2)/25)*Calculateur!V108*Calculateur!X108*VLOOKUP('Données projet'!$B$9,Paramètres!$A$1:$I$89,3,0)*0.475*44/12</f>
        <v>1.6445302385964451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13.704229459599469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144.46767095844729</v>
      </c>
      <c r="AO108" s="59">
        <f t="shared" si="90"/>
        <v>335.56739599097097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13.043291710659298</v>
      </c>
      <c r="AV108" s="21">
        <f>EXP(-LN(2)/25)*AV107+(1-EXP(-LN(2)/25))/(LN(2)/25)*Calculateur!AQ108*Calculateur!AS108*VLOOKUP('Données projet'!$B$10,Paramètres!$A$1:$I$89,3,0)*0.475*44/12</f>
        <v>1.7786585913897692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14.821950302049068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110.21219780294564</v>
      </c>
      <c r="BJ108" s="59">
        <f t="shared" si="92"/>
        <v>310.34820112478593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11.426106899279409</v>
      </c>
      <c r="BQ108" s="21">
        <f>EXP(-LN(2)/25)*BQ107+(1-EXP(-LN(2)/25))/(LN(2)/25)*Calculateur!BL108*Calculateur!BN108*VLOOKUP('Données projet'!$B$11,Paramètres!$A$1:$I$89,3,0)*0.475*44/12</f>
        <v>1.5215374338104124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12.947644333089821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102.77795559500703</v>
      </c>
      <c r="CE108" s="59">
        <f t="shared" si="94"/>
        <v>288.83946957374047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10.564466051137028</v>
      </c>
      <c r="CL108" s="21">
        <f>EXP(-LN(2)/25)*CL107+(1-EXP(-LN(2)/25))/(LN(2)/25)*Calculateur!CG108*Calculateur!CI108*VLOOKUP('Données projet'!$B$12,Paramètres!$A$1:$I$89,3,0)*0.475*44/12</f>
        <v>1.4067985453591341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11.971264596496162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6">
        <f t="shared" si="56"/>
        <v>256.66666666666669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134.64362224914908</v>
      </c>
      <c r="T109" s="59">
        <f t="shared" si="88"/>
        <v>312.46749071109713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11.823215874969366</v>
      </c>
      <c r="AA109" s="21">
        <f>EXP(-LN(2)/25)*AA108+(1-EXP(-LN(2)/25))/(LN(2)/25)*Calculateur!V109*Calculateur!X109*VLOOKUP('Données projet'!$B$9,Paramètres!$A$1:$I$89,3,0)*0.475*44/12</f>
        <v>1.5995604727399386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13.422776347709304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144.46767095844729</v>
      </c>
      <c r="AO109" s="59">
        <f t="shared" si="90"/>
        <v>335.56739599097097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12.78752071583566</v>
      </c>
      <c r="AV109" s="21">
        <f>EXP(-LN(2)/25)*AV108+(1-EXP(-LN(2)/25))/(LN(2)/25)*Calculateur!AQ109*Calculateur!AS109*VLOOKUP('Données projet'!$B$10,Paramètres!$A$1:$I$89,3,0)*0.475*44/12</f>
        <v>1.7300210786726258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14.517541794508286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110.21219780294564</v>
      </c>
      <c r="BJ109" s="59">
        <f t="shared" si="92"/>
        <v>310.34820112478593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11.202047912221593</v>
      </c>
      <c r="BQ109" s="21">
        <f>EXP(-LN(2)/25)*BQ108+(1-EXP(-LN(2)/25))/(LN(2)/25)*Calculateur!BL109*Calculateur!BN109*VLOOKUP('Données projet'!$B$11,Paramètres!$A$1:$I$89,3,0)*0.475*44/12</f>
        <v>1.4799309126686906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12.681978824890283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102.77795559500703</v>
      </c>
      <c r="CE109" s="59">
        <f t="shared" si="94"/>
        <v>288.83946957374047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10.357303315562261</v>
      </c>
      <c r="CL109" s="21">
        <f>EXP(-LN(2)/25)*CL108+(1-EXP(-LN(2)/25))/(LN(2)/25)*Calculateur!CG109*Calculateur!CI109*VLOOKUP('Données projet'!$B$12,Paramètres!$A$1:$I$89,3,0)*0.475*44/12</f>
        <v>1.3683295651559684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11.72563288071823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6">
        <f t="shared" si="56"/>
        <v>256.66666666666669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134.64362224914908</v>
      </c>
      <c r="T110" s="59">
        <f t="shared" si="88"/>
        <v>312.46749071109713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11.591369823110828</v>
      </c>
      <c r="AA110" s="21">
        <f>EXP(-LN(2)/25)*AA109+(1-EXP(-LN(2)/25))/(LN(2)/25)*Calculateur!V110*Calculateur!X110*VLOOKUP('Données projet'!$B$9,Paramètres!$A$1:$I$89,3,0)*0.475*44/12</f>
        <v>1.5558204074956357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13.147190230606464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144.46767095844729</v>
      </c>
      <c r="AO110" s="59">
        <f t="shared" si="90"/>
        <v>335.56739599097097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12.536765234215611</v>
      </c>
      <c r="AV110" s="21">
        <f>EXP(-LN(2)/25)*AV109+(1-EXP(-LN(2)/25))/(LN(2)/25)*Calculateur!AQ110*Calculateur!AS110*VLOOKUP('Données projet'!$B$10,Paramètres!$A$1:$I$89,3,0)*0.475*44/12</f>
        <v>1.6827135612984683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14.21947879551408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110.21219780294564</v>
      </c>
      <c r="BJ110" s="59">
        <f t="shared" si="92"/>
        <v>310.34820112478593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10.982382585237493</v>
      </c>
      <c r="BQ110" s="21">
        <f>EXP(-LN(2)/25)*BQ109+(1-EXP(-LN(2)/25))/(LN(2)/25)*Calculateur!BL110*Calculateur!BN110*VLOOKUP('Données projet'!$B$11,Paramètres!$A$1:$I$89,3,0)*0.475*44/12</f>
        <v>1.4394621240355809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12.421844709273074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102.77795559500703</v>
      </c>
      <c r="CE110" s="59">
        <f t="shared" si="94"/>
        <v>288.83946957374047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10.154202914875322</v>
      </c>
      <c r="CL110" s="21">
        <f>EXP(-LN(2)/25)*CL109+(1-EXP(-LN(2)/25))/(LN(2)/25)*Calculateur!CG110*Calculateur!CI110*VLOOKUP('Données projet'!$B$12,Paramètres!$A$1:$I$89,3,0)*0.475*44/12</f>
        <v>1.3309125212394539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11.485115436114775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6">
        <f t="shared" si="56"/>
        <v>256.66666666666669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134.64362224914908</v>
      </c>
      <c r="T111" s="59">
        <f t="shared" si="88"/>
        <v>312.46749071109713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11.364070130917108</v>
      </c>
      <c r="AA111" s="21">
        <f>EXP(-LN(2)/25)*AA110+(1-EXP(-LN(2)/25))/(LN(2)/25)*Calculateur!V111*Calculateur!X111*VLOOKUP('Données projet'!$B$9,Paramètres!$A$1:$I$89,3,0)*0.475*44/12</f>
        <v>1.5132764166356281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12.877346547552737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144.46767095844729</v>
      </c>
      <c r="AO111" s="59">
        <f t="shared" si="90"/>
        <v>335.56739599097097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12.290926914644389</v>
      </c>
      <c r="AV111" s="21">
        <f>EXP(-LN(2)/25)*AV110+(1-EXP(-LN(2)/25))/(LN(2)/25)*Calculateur!AQ111*Calculateur!AS111*VLOOKUP('Données projet'!$B$10,Paramètres!$A$1:$I$89,3,0)*0.475*44/12</f>
        <v>1.6366996704747014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13.927626585119091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110.21219780294564</v>
      </c>
      <c r="BJ111" s="59">
        <f t="shared" si="92"/>
        <v>310.34820112478593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10.767024761332932</v>
      </c>
      <c r="BQ111" s="21">
        <f>EXP(-LN(2)/25)*BQ110+(1-EXP(-LN(2)/25))/(LN(2)/25)*Calculateur!BL111*Calculateur!BN111*VLOOKUP('Données projet'!$B$11,Paramètres!$A$1:$I$89,3,0)*0.475*44/12</f>
        <v>1.4000999565558048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12.167124717888736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102.77795559500703</v>
      </c>
      <c r="CE111" s="59">
        <f t="shared" si="94"/>
        <v>288.83946957374047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9.9550851891668426</v>
      </c>
      <c r="CL111" s="21">
        <f>EXP(-LN(2)/25)*CL110+(1-EXP(-LN(2)/25))/(LN(2)/25)*Calculateur!CG111*Calculateur!CI111*VLOOKUP('Données projet'!$B$12,Paramètres!$A$1:$I$89,3,0)*0.475*44/12</f>
        <v>1.2945186483565134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11.249603837523356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6">
        <f t="shared" si="56"/>
        <v>256.66666666666669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134.64362224914908</v>
      </c>
      <c r="T112" s="59">
        <f t="shared" si="88"/>
        <v>312.46749071109713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11.141227647048185</v>
      </c>
      <c r="AA112" s="21">
        <f>EXP(-LN(2)/25)*AA111+(1-EXP(-LN(2)/25))/(LN(2)/25)*Calculateur!V112*Calculateur!X112*VLOOKUP('Données projet'!$B$9,Paramètres!$A$1:$I$89,3,0)*0.475*44/12</f>
        <v>1.4718957934429786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12.613123440491163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144.46767095844729</v>
      </c>
      <c r="AO112" s="59">
        <f t="shared" si="90"/>
        <v>335.56739599097097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12.049909334573391</v>
      </c>
      <c r="AV112" s="21">
        <f>EXP(-LN(2)/25)*AV111+(1-EXP(-LN(2)/25))/(LN(2)/25)*Calculateur!AQ112*Calculateur!AS112*VLOOKUP('Données projet'!$B$10,Paramètres!$A$1:$I$89,3,0)*0.475*44/12</f>
        <v>1.5919440319152758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13.641853366488666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110.21219780294564</v>
      </c>
      <c r="BJ112" s="59">
        <f t="shared" si="92"/>
        <v>310.34820112478593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10.555889972999838</v>
      </c>
      <c r="BQ112" s="21">
        <f>EXP(-LN(2)/25)*BQ111+(1-EXP(-LN(2)/25))/(LN(2)/25)*Calculateur!BL112*Calculateur!BN112*VLOOKUP('Données projet'!$B$11,Paramètres!$A$1:$I$89,3,0)*0.475*44/12</f>
        <v>1.3618141496157294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11.917704122615568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102.77795559500703</v>
      </c>
      <c r="CE112" s="59">
        <f t="shared" si="94"/>
        <v>288.83946957374047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9.7598720406096859</v>
      </c>
      <c r="CL112" s="21">
        <f>EXP(-LN(2)/25)*CL111+(1-EXP(-LN(2)/25))/(LN(2)/25)*Calculateur!CG112*Calculateur!CI112*VLOOKUP('Données projet'!$B$12,Paramètres!$A$1:$I$89,3,0)*0.475*44/12</f>
        <v>1.2591199678414275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11.018992008451114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6">
        <f t="shared" si="56"/>
        <v>256.66666666666669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134.64362224914908</v>
      </c>
      <c r="T113" s="59">
        <f t="shared" si="88"/>
        <v>312.46749071109713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10.922754968367437</v>
      </c>
      <c r="AA113" s="21">
        <f>EXP(-LN(2)/25)*AA112+(1-EXP(-LN(2)/25))/(LN(2)/25)*Calculateur!V113*Calculateur!X113*VLOOKUP('Données projet'!$B$9,Paramètres!$A$1:$I$89,3,0)*0.475*44/12</f>
        <v>1.4316467255676446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12.354401693935081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144.46767095844729</v>
      </c>
      <c r="AO113" s="59">
        <f t="shared" si="90"/>
        <v>335.56739599097097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11.813617962241377</v>
      </c>
      <c r="AV113" s="21">
        <f>EXP(-LN(2)/25)*AV112+(1-EXP(-LN(2)/25))/(LN(2)/25)*Calculateur!AQ113*Calculateur!AS113*VLOOKUP('Données projet'!$B$10,Paramètres!$A$1:$I$89,3,0)*0.475*44/12</f>
        <v>1.5484122386458543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13.362030200887231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110.21219780294564</v>
      </c>
      <c r="BJ113" s="59">
        <f t="shared" si="92"/>
        <v>310.34820112478593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10.348895409086449</v>
      </c>
      <c r="BQ113" s="21">
        <f>EXP(-LN(2)/25)*BQ112+(1-EXP(-LN(2)/25))/(LN(2)/25)*Calculateur!BL113*Calculateur!BN113*VLOOKUP('Données projet'!$B$11,Paramètres!$A$1:$I$89,3,0)*0.475*44/12</f>
        <v>1.3245752700797937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11.673470679166243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102.77795559500703</v>
      </c>
      <c r="CE113" s="59">
        <f t="shared" si="94"/>
        <v>288.83946957374047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9.5684869028274715</v>
      </c>
      <c r="CL113" s="21">
        <f>EXP(-LN(2)/25)*CL112+(1-EXP(-LN(2)/25))/(LN(2)/25)*Calculateur!CG113*Calculateur!CI113*VLOOKUP('Données projet'!$B$12,Paramètres!$A$1:$I$89,3,0)*0.475*44/12</f>
        <v>1.2246892661065623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10.793176168934034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6">
        <f t="shared" si="56"/>
        <v>256.66666666666669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134.64362224914908</v>
      </c>
      <c r="T114" s="59">
        <f t="shared" si="88"/>
        <v>312.46749071109713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10.708566405660443</v>
      </c>
      <c r="AA114" s="21">
        <f>EXP(-LN(2)/25)*AA113+(1-EXP(-LN(2)/25))/(LN(2)/25)*Calculateur!V114*Calculateur!X114*VLOOKUP('Données projet'!$B$9,Paramètres!$A$1:$I$89,3,0)*0.475*44/12</f>
        <v>1.3924982705699682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12.101064676230411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144.46767095844729</v>
      </c>
      <c r="AO114" s="59">
        <f t="shared" si="90"/>
        <v>335.56739599097097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11.581960119597287</v>
      </c>
      <c r="AV114" s="21">
        <f>EXP(-LN(2)/25)*AV113+(1-EXP(-LN(2)/25))/(LN(2)/25)*Calculateur!AQ114*Calculateur!AS114*VLOOKUP('Données projet'!$B$10,Paramètres!$A$1:$I$89,3,0)*0.475*44/12</f>
        <v>1.5060708245526226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13.08803094414991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110.21219780294564</v>
      </c>
      <c r="BJ114" s="59">
        <f t="shared" si="92"/>
        <v>310.34820112478593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10.145959882317184</v>
      </c>
      <c r="BQ114" s="21">
        <f>EXP(-LN(2)/25)*BQ113+(1-EXP(-LN(2)/25))/(LN(2)/25)*Calculateur!BL114*Calculateur!BN114*VLOOKUP('Données projet'!$B$11,Paramètres!$A$1:$I$89,3,0)*0.475*44/12</f>
        <v>1.2883546896630755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11.434314571980259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102.77795559500703</v>
      </c>
      <c r="CE114" s="59">
        <f t="shared" si="94"/>
        <v>288.83946957374047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9.3808547108637583</v>
      </c>
      <c r="CL114" s="21">
        <f>EXP(-LN(2)/25)*CL113+(1-EXP(-LN(2)/25))/(LN(2)/25)*Calculateur!CG114*Calculateur!CI114*VLOOKUP('Données projet'!$B$12,Paramètres!$A$1:$I$89,3,0)*0.475*44/12</f>
        <v>1.1912000737212689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10.572054784585028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6">
        <f t="shared" si="56"/>
        <v>256.66666666666669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134.64362224914908</v>
      </c>
      <c r="T115" s="59">
        <f t="shared" si="88"/>
        <v>312.46749071109713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10.498577950026009</v>
      </c>
      <c r="AA115" s="21">
        <f>EXP(-LN(2)/25)*AA114+(1-EXP(-LN(2)/25))/(LN(2)/25)*Calculateur!V115*Calculateur!X115*VLOOKUP('Données projet'!$B$9,Paramètres!$A$1:$I$89,3,0)*0.475*44/12</f>
        <v>1.3544203321329309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11.852998282158939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144.46767095844729</v>
      </c>
      <c r="AO115" s="59">
        <f t="shared" si="90"/>
        <v>335.56739599097097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11.354844945950116</v>
      </c>
      <c r="AV115" s="21">
        <f>EXP(-LN(2)/25)*AV114+(1-EXP(-LN(2)/25))/(LN(2)/25)*Calculateur!AQ115*Calculateur!AS115*VLOOKUP('Données projet'!$B$10,Paramètres!$A$1:$I$89,3,0)*0.475*44/12</f>
        <v>1.4648872386544087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12.819732184604526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110.21219780294564</v>
      </c>
      <c r="BJ115" s="59">
        <f t="shared" si="92"/>
        <v>310.34820112478593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9.9470037974494154</v>
      </c>
      <c r="BQ115" s="21">
        <f>EXP(-LN(2)/25)*BQ114+(1-EXP(-LN(2)/25))/(LN(2)/25)*Calculateur!BL115*Calculateur!BN115*VLOOKUP('Données projet'!$B$11,Paramètres!$A$1:$I$89,3,0)*0.475*44/12</f>
        <v>1.2531245629226102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11.200128360372025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102.77795559500703</v>
      </c>
      <c r="CE115" s="59">
        <f t="shared" si="94"/>
        <v>288.83946957374047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9.196901871740117</v>
      </c>
      <c r="CL115" s="21">
        <f>EXP(-LN(2)/25)*CL114+(1-EXP(-LN(2)/25))/(LN(2)/25)*Calculateur!CG115*Calculateur!CI115*VLOOKUP('Données projet'!$B$12,Paramètres!$A$1:$I$89,3,0)*0.475*44/12</f>
        <v>1.1586266450628715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10.355528516802988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6">
        <f t="shared" si="56"/>
        <v>256.66666666666669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134.64362224914908</v>
      </c>
      <c r="T116" s="59">
        <f t="shared" si="88"/>
        <v>312.46749071109713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10.292707239926255</v>
      </c>
      <c r="AA116" s="21">
        <f>EXP(-LN(2)/25)*AA115+(1-EXP(-LN(2)/25))/(LN(2)/25)*Calculateur!V116*Calculateur!X116*VLOOKUP('Données projet'!$B$9,Paramètres!$A$1:$I$89,3,0)*0.475*44/12</f>
        <v>1.3173836369248861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11.610090876851141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144.46767095844729</v>
      </c>
      <c r="AO116" s="59">
        <f t="shared" si="90"/>
        <v>335.56739599097097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11.132183362331588</v>
      </c>
      <c r="AV116" s="21">
        <f>EXP(-LN(2)/25)*AV115+(1-EXP(-LN(2)/25))/(LN(2)/25)*Calculateur!AQ116*Calculateur!AS116*VLOOKUP('Données projet'!$B$10,Paramètres!$A$1:$I$89,3,0)*0.475*44/12</f>
        <v>1.424829820078332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12.55701318240992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110.21219780294564</v>
      </c>
      <c r="BJ116" s="59">
        <f t="shared" si="92"/>
        <v>310.34820112478593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9.7519491200546753</v>
      </c>
      <c r="BQ116" s="21">
        <f>EXP(-LN(2)/25)*BQ115+(1-EXP(-LN(2)/25))/(LN(2)/25)*Calculateur!BL116*Calculateur!BN116*VLOOKUP('Données projet'!$B$11,Paramètres!$A$1:$I$89,3,0)*0.475*44/12</f>
        <v>1.2188578058505348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10.97080692590521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102.77795559500703</v>
      </c>
      <c r="CE116" s="59">
        <f t="shared" si="94"/>
        <v>288.83946957374047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9.016556235591537</v>
      </c>
      <c r="CL116" s="21">
        <f>EXP(-LN(2)/25)*CL115+(1-EXP(-LN(2)/25))/(LN(2)/25)*Calculateur!CG116*Calculateur!CI116*VLOOKUP('Données projet'!$B$12,Paramètres!$A$1:$I$89,3,0)*0.475*44/12</f>
        <v>1.1269439385241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10.143500174115637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6">
        <f t="shared" si="56"/>
        <v>256.66666666666669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134.64362224914908</v>
      </c>
      <c r="T117" s="59">
        <f t="shared" si="88"/>
        <v>312.46749071109713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10.090873528882824</v>
      </c>
      <c r="AA117" s="21">
        <f>EXP(-LN(2)/25)*AA116+(1-EXP(-LN(2)/25))/(LN(2)/25)*Calculateur!V117*Calculateur!X117*VLOOKUP('Données projet'!$B$9,Paramètres!$A$1:$I$89,3,0)*0.475*44/12</f>
        <v>1.2813597120949807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11.372233240977804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144.46767095844729</v>
      </c>
      <c r="AO117" s="59">
        <f t="shared" si="90"/>
        <v>335.56739599097097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10.913888036557664</v>
      </c>
      <c r="AV117" s="21">
        <f>EXP(-LN(2)/25)*AV116+(1-EXP(-LN(2)/25))/(LN(2)/25)*Calculateur!AQ117*Calculateur!AS117*VLOOKUP('Données projet'!$B$10,Paramètres!$A$1:$I$89,3,0)*0.475*44/12</f>
        <v>1.3858677737197462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12.299755810277411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110.21219780294564</v>
      </c>
      <c r="BJ117" s="59">
        <f t="shared" si="92"/>
        <v>310.34820112478593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9.5607193459120392</v>
      </c>
      <c r="BQ117" s="21">
        <f>EXP(-LN(2)/25)*BQ116+(1-EXP(-LN(2)/25))/(LN(2)/25)*Calculateur!BL117*Calculateur!BN117*VLOOKUP('Données projet'!$B$11,Paramètres!$A$1:$I$89,3,0)*0.475*44/12</f>
        <v>1.1855280750526056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10.746247420964645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102.77795559500703</v>
      </c>
      <c r="CE117" s="59">
        <f t="shared" si="94"/>
        <v>288.83946957374047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8.8397470673678544</v>
      </c>
      <c r="CL117" s="21">
        <f>EXP(-LN(2)/25)*CL116+(1-EXP(-LN(2)/25))/(LN(2)/25)*Calculateur!CG117*Calculateur!CI117*VLOOKUP('Données projet'!$B$12,Paramètres!$A$1:$I$89,3,0)*0.475*44/12</f>
        <v>1.0961275972617524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9.9358746646296066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6">
        <f t="shared" si="56"/>
        <v>256.66666666666669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134.64362224914908</v>
      </c>
      <c r="T118" s="59">
        <f t="shared" si="88"/>
        <v>312.46749071109713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9.8929976538065461</v>
      </c>
      <c r="AA118" s="21">
        <f>EXP(-LN(2)/25)*AA117+(1-EXP(-LN(2)/25))/(LN(2)/25)*Calculateur!V118*Calculateur!X118*VLOOKUP('Données projet'!$B$9,Paramètres!$A$1:$I$89,3,0)*0.475*44/12</f>
        <v>1.2463208633839649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11.13931851719051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144.46767095844729</v>
      </c>
      <c r="AO118" s="59">
        <f t="shared" si="90"/>
        <v>335.56739599097097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10.699873348975164</v>
      </c>
      <c r="AV118" s="21">
        <f>EXP(-LN(2)/25)*AV117+(1-EXP(-LN(2)/25))/(LN(2)/25)*Calculateur!AQ118*Calculateur!AS118*VLOOKUP('Données projet'!$B$10,Paramètres!$A$1:$I$89,3,0)*0.475*44/12</f>
        <v>1.3479711465677611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12.047844495542925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110.21219780294564</v>
      </c>
      <c r="BJ118" s="59">
        <f t="shared" si="92"/>
        <v>310.34820112478593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9.3732394710016962</v>
      </c>
      <c r="BQ118" s="21">
        <f>EXP(-LN(2)/25)*BQ117+(1-EXP(-LN(2)/25))/(LN(2)/25)*Calculateur!BL118*Calculateur!BN118*VLOOKUP('Données projet'!$B$11,Paramètres!$A$1:$I$89,3,0)*0.475*44/12</f>
        <v>1.1531097474960801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10.526349218497776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102.77795559500703</v>
      </c>
      <c r="CE118" s="59">
        <f t="shared" si="94"/>
        <v>288.83946957374047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8.6664050190900941</v>
      </c>
      <c r="CL118" s="21">
        <f>EXP(-LN(2)/25)*CL117+(1-EXP(-LN(2)/25))/(LN(2)/25)*Calculateur!CG118*Calculateur!CI118*VLOOKUP('Données projet'!$B$12,Paramètres!$A$1:$I$89,3,0)*0.475*44/12</f>
        <v>1.0661539304717846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9.7325589495618789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6">
        <f t="shared" si="56"/>
        <v>256.66666666666669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134.64362224914908</v>
      </c>
      <c r="T119" s="59">
        <f t="shared" si="88"/>
        <v>312.46749071109713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9.6990020039481468</v>
      </c>
      <c r="AA119" s="21">
        <f>EXP(-LN(2)/25)*AA118+(1-EXP(-LN(2)/25))/(LN(2)/25)*Calculateur!V119*Calculateur!X119*VLOOKUP('Données projet'!$B$9,Paramètres!$A$1:$I$89,3,0)*0.475*44/12</f>
        <v>1.2122401538335645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10.911242157781711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144.46767095844729</v>
      </c>
      <c r="AO119" s="59">
        <f t="shared" si="90"/>
        <v>335.56739599097097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10.490055358880086</v>
      </c>
      <c r="AV119" s="21">
        <f>EXP(-LN(2)/25)*AV118+(1-EXP(-LN(2)/25))/(LN(2)/25)*Calculateur!AQ119*Calculateur!AS119*VLOOKUP('Données projet'!$B$10,Paramètres!$A$1:$I$89,3,0)*0.475*44/12</f>
        <v>1.3111108046781439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11.80116616355823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110.21219780294564</v>
      </c>
      <c r="BJ119" s="59">
        <f t="shared" si="92"/>
        <v>310.34820112478593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9.1894359620869128</v>
      </c>
      <c r="BQ119" s="21">
        <f>EXP(-LN(2)/25)*BQ118+(1-EXP(-LN(2)/25))/(LN(2)/25)*Calculateur!BL119*Calculateur!BN119*VLOOKUP('Données projet'!$B$11,Paramètres!$A$1:$I$89,3,0)*0.475*44/12</f>
        <v>1.1215779008113935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10.311013862898307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102.77795559500703</v>
      </c>
      <c r="CE119" s="59">
        <f t="shared" si="94"/>
        <v>288.83946957374047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8.4964621026508507</v>
      </c>
      <c r="CL119" s="21">
        <f>EXP(-LN(2)/25)*CL118+(1-EXP(-LN(2)/25))/(LN(2)/25)*Calculateur!CG119*Calculateur!CI119*VLOOKUP('Données projet'!$B$12,Paramètres!$A$1:$I$89,3,0)*0.475*44/12</f>
        <v>1.0369998951764352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9.5334619978272865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6">
        <f t="shared" si="56"/>
        <v>256.66666666666669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134.64362224914908</v>
      </c>
      <c r="T120" s="59">
        <f t="shared" si="88"/>
        <v>312.46749071109713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9.5088104904578081</v>
      </c>
      <c r="AA120" s="21">
        <f>EXP(-LN(2)/25)*AA119+(1-EXP(-LN(2)/25))/(LN(2)/25)*Calculateur!V120*Calculateur!X120*VLOOKUP('Données projet'!$B$9,Paramètres!$A$1:$I$89,3,0)*0.475*44/12</f>
        <v>1.1790913830780467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10.687901873535855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144.46767095844729</v>
      </c>
      <c r="AO120" s="59">
        <f t="shared" si="90"/>
        <v>335.56739599097097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10.284351771594437</v>
      </c>
      <c r="AV120" s="21">
        <f>EXP(-LN(2)/25)*AV119+(1-EXP(-LN(2)/25))/(LN(2)/25)*Calculateur!AQ120*Calculateur!AS120*VLOOKUP('Données projet'!$B$10,Paramètres!$A$1:$I$89,3,0)*0.475*44/12</f>
        <v>1.2752584107758995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11.559610182370337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110.21219780294564</v>
      </c>
      <c r="BJ120" s="59">
        <f t="shared" si="92"/>
        <v>310.34820112478593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9.009236727872878</v>
      </c>
      <c r="BQ120" s="21">
        <f>EXP(-LN(2)/25)*BQ119+(1-EXP(-LN(2)/25))/(LN(2)/25)*Calculateur!BL120*Calculateur!BN120*VLOOKUP('Données projet'!$B$11,Paramètres!$A$1:$I$89,3,0)*0.475*44/12</f>
        <v>1.0909082941324875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10.100145022005366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102.77795559500703</v>
      </c>
      <c r="CE120" s="59">
        <f t="shared" si="94"/>
        <v>288.83946957374047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8.3298516631480375</v>
      </c>
      <c r="CL120" s="21">
        <f>EXP(-LN(2)/25)*CL119+(1-EXP(-LN(2)/25))/(LN(2)/25)*Calculateur!CG120*Calculateur!CI120*VLOOKUP('Données projet'!$B$12,Paramètres!$A$1:$I$89,3,0)*0.475*44/12</f>
        <v>1.0086430785093812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9.3384947416574189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6">
        <f t="shared" si="56"/>
        <v>256.66666666666669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134.64362224914908</v>
      </c>
      <c r="T121" s="59">
        <f t="shared" si="88"/>
        <v>312.46749071109713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9.3223485165416466</v>
      </c>
      <c r="AA121" s="21">
        <f>EXP(-LN(2)/25)*AA120+(1-EXP(-LN(2)/25))/(LN(2)/25)*Calculateur!V121*Calculateur!X121*VLOOKUP('Données projet'!$B$9,Paramètres!$A$1:$I$89,3,0)*0.475*44/12</f>
        <v>1.1468490672020566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10.469197583743703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144.46767095844729</v>
      </c>
      <c r="AO121" s="59">
        <f t="shared" si="90"/>
        <v>335.56739599097097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10.082681906188659</v>
      </c>
      <c r="AV121" s="21">
        <f>EXP(-LN(2)/25)*AV120+(1-EXP(-LN(2)/25))/(LN(2)/25)*Calculateur!AQ121*Calculateur!AS121*VLOOKUP('Données projet'!$B$10,Paramètres!$A$1:$I$89,3,0)*0.475*44/12</f>
        <v>1.2403864024703073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11.323068308658966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110.21219780294564</v>
      </c>
      <c r="BJ121" s="59">
        <f t="shared" si="92"/>
        <v>310.34820112478593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8.8325710907310988</v>
      </c>
      <c r="BQ121" s="21">
        <f>EXP(-LN(2)/25)*BQ120+(1-EXP(-LN(2)/25))/(LN(2)/25)*Calculateur!BL121*Calculateur!BN121*VLOOKUP('Données projet'!$B$11,Paramètres!$A$1:$I$89,3,0)*0.475*44/12</f>
        <v>1.0610773494610608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9.8936484401921589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102.77795559500703</v>
      </c>
      <c r="CE121" s="59">
        <f t="shared" si="94"/>
        <v>288.83946957374047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8.1665083527415412</v>
      </c>
      <c r="CL121" s="21">
        <f>EXP(-LN(2)/25)*CL120+(1-EXP(-LN(2)/25))/(LN(2)/25)*Calculateur!CG121*Calculateur!CI121*VLOOKUP('Données projet'!$B$12,Paramètres!$A$1:$I$89,3,0)*0.475*44/12</f>
        <v>0.98106168048530795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9.1475700332268488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6">
        <f t="shared" si="56"/>
        <v>256.66666666666669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134.64362224914908</v>
      </c>
      <c r="T122" s="59">
        <f t="shared" si="88"/>
        <v>312.46749071109713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9.1395429482034078</v>
      </c>
      <c r="AA122" s="21">
        <f>EXP(-LN(2)/25)*AA121+(1-EXP(-LN(2)/25))/(LN(2)/25)*Calculateur!V122*Calculateur!X122*VLOOKUP('Données projet'!$B$9,Paramètres!$A$1:$I$89,3,0)*0.475*44/12</f>
        <v>1.1154884191492451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10.255031367352654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144.46767095844729</v>
      </c>
      <c r="AO122" s="59">
        <f t="shared" si="90"/>
        <v>335.56739599097097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9.8849666638370177</v>
      </c>
      <c r="AV122" s="21">
        <f>EXP(-LN(2)/25)*AV121+(1-EXP(-LN(2)/25))/(LN(2)/25)*Calculateur!AQ122*Calculateur!AS122*VLOOKUP('Données projet'!$B$10,Paramètres!$A$1:$I$89,3,0)*0.475*44/12</f>
        <v>1.2064679710656707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11.091434634902688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110.21219780294564</v>
      </c>
      <c r="BJ122" s="59">
        <f t="shared" si="92"/>
        <v>310.34820112478593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8.6593697589782721</v>
      </c>
      <c r="BQ122" s="21">
        <f>EXP(-LN(2)/25)*BQ121+(1-EXP(-LN(2)/25))/(LN(2)/25)*Calculateur!BL122*Calculateur!BN122*VLOOKUP('Données projet'!$B$11,Paramètres!$A$1:$I$89,3,0)*0.475*44/12</f>
        <v>1.0320621335404154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9.691431892518688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102.77795559500703</v>
      </c>
      <c r="CE122" s="59">
        <f t="shared" si="94"/>
        <v>288.83946957374047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8.0063681050225348</v>
      </c>
      <c r="CL122" s="21">
        <f>EXP(-LN(2)/25)*CL121+(1-EXP(-LN(2)/25))/(LN(2)/25)*Calculateur!CG122*Calculateur!CI122*VLOOKUP('Données projet'!$B$12,Paramètres!$A$1:$I$89,3,0)*0.475*44/12</f>
        <v>0.95423449724064568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8.9606026022631813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6">
        <f t="shared" si="56"/>
        <v>256.66666666666669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134.64362224914908</v>
      </c>
      <c r="T123" s="59">
        <f t="shared" si="88"/>
        <v>312.46749071109713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8.9603220855598948</v>
      </c>
      <c r="AA123" s="21">
        <f>EXP(-LN(2)/25)*AA122+(1-EXP(-LN(2)/25))/(LN(2)/25)*Calculateur!V123*Calculateur!X123*VLOOKUP('Données projet'!$B$9,Paramètres!$A$1:$I$89,3,0)*0.475*44/12</f>
        <v>1.0849853296666225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10.045307415226517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144.46767095844729</v>
      </c>
      <c r="AO123" s="59">
        <f t="shared" si="90"/>
        <v>335.56739599097097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9.6911284967935014</v>
      </c>
      <c r="AV123" s="21">
        <f>EXP(-LN(2)/25)*AV122+(1-EXP(-LN(2)/25))/(LN(2)/25)*Calculateur!AQ123*Calculateur!AS123*VLOOKUP('Données projet'!$B$10,Paramètres!$A$1:$I$89,3,0)*0.475*44/12</f>
        <v>1.1734770409514867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10.864605537744989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110.21219780294564</v>
      </c>
      <c r="BJ123" s="59">
        <f t="shared" si="92"/>
        <v>310.34820112478593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8.4895647996987371</v>
      </c>
      <c r="BQ123" s="21">
        <f>EXP(-LN(2)/25)*BQ122+(1-EXP(-LN(2)/25))/(LN(2)/25)*Calculateur!BL123*Calculateur!BN123*VLOOKUP('Données projet'!$B$11,Paramètres!$A$1:$I$89,3,0)*0.475*44/12</f>
        <v>1.003840340224964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9.4934051399237021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102.77795559500703</v>
      </c>
      <c r="CE123" s="59">
        <f t="shared" si="94"/>
        <v>288.83946957374047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7.8493681098853907</v>
      </c>
      <c r="CL123" s="21">
        <f>EXP(-LN(2)/25)*CL122+(1-EXP(-LN(2)/25))/(LN(2)/25)*Calculateur!CG123*Calculateur!CI123*VLOOKUP('Données projet'!$B$12,Paramètres!$A$1:$I$89,3,0)*0.475*44/12</f>
        <v>0.92814090473258892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8.7775090146179799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6">
        <f t="shared" si="56"/>
        <v>256.66666666666669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134.64362224914908</v>
      </c>
      <c r="T124" s="59">
        <f t="shared" si="88"/>
        <v>312.46749071109713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8.7846156347188877</v>
      </c>
      <c r="AA124" s="21">
        <f>EXP(-LN(2)/25)*AA123+(1-EXP(-LN(2)/25))/(LN(2)/25)*Calculateur!V124*Calculateur!X124*VLOOKUP('Données projet'!$B$9,Paramètres!$A$1:$I$89,3,0)*0.475*44/12</f>
        <v>1.0553163487699899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9.8399319834888779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144.46767095844729</v>
      </c>
      <c r="AO124" s="59">
        <f t="shared" si="90"/>
        <v>335.56739599097097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9.5010913779761008</v>
      </c>
      <c r="AV124" s="21">
        <f>EXP(-LN(2)/25)*AV123+(1-EXP(-LN(2)/25))/(LN(2)/25)*Calculateur!AQ124*Calculateur!AS124*VLOOKUP('Données projet'!$B$10,Paramètres!$A$1:$I$89,3,0)*0.475*44/12</f>
        <v>1.1413882495561927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10.642479627532293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110.21219780294564</v>
      </c>
      <c r="BJ124" s="59">
        <f t="shared" si="92"/>
        <v>310.34820112478593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8.3230896120998761</v>
      </c>
      <c r="BQ124" s="21">
        <f>EXP(-LN(2)/25)*BQ123+(1-EXP(-LN(2)/25))/(LN(2)/25)*Calculateur!BL124*Calculateur!BN124*VLOOKUP('Données projet'!$B$11,Paramètres!$A$1:$I$89,3,0)*0.475*44/12</f>
        <v>0.97639027333184325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9.2994798854317189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102.77795559500703</v>
      </c>
      <c r="CE124" s="59">
        <f t="shared" si="94"/>
        <v>288.83946957374047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7.6954467888923448</v>
      </c>
      <c r="CL124" s="21">
        <f>EXP(-LN(2)/25)*CL123+(1-EXP(-LN(2)/25))/(LN(2)/25)*Calculateur!CG124*Calculateur!CI124*VLOOKUP('Données projet'!$B$12,Paramètres!$A$1:$I$89,3,0)*0.475*44/12</f>
        <v>0.90276084288386738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8.5982076317762122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6">
        <f t="shared" si="56"/>
        <v>256.66666666666669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134.64362224914908</v>
      </c>
      <c r="T125" s="59">
        <f t="shared" si="88"/>
        <v>312.46749071109713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8.6123546802085205</v>
      </c>
      <c r="AA125" s="21">
        <f>EXP(-LN(2)/25)*AA124+(1-EXP(-LN(2)/25))/(LN(2)/25)*Calculateur!V125*Calculateur!X125*VLOOKUP('Données projet'!$B$9,Paramètres!$A$1:$I$89,3,0)*0.475*44/12</f>
        <v>1.0264586677161998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9.6388133479247209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144.46767095844729</v>
      </c>
      <c r="AO125" s="59">
        <f t="shared" si="90"/>
        <v>335.56739599097097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9.3147807711475128</v>
      </c>
      <c r="AV125" s="21">
        <f>EXP(-LN(2)/25)*AV124+(1-EXP(-LN(2)/25))/(LN(2)/25)*Calculateur!AQ125*Calculateur!AS125*VLOOKUP('Données projet'!$B$10,Paramètres!$A$1:$I$89,3,0)*0.475*44/12</f>
        <v>1.1101769278490792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10.424957698996591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110.21219780294564</v>
      </c>
      <c r="BJ125" s="59">
        <f t="shared" si="92"/>
        <v>310.34820112478593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8.1598789013899893</v>
      </c>
      <c r="BQ125" s="21">
        <f>EXP(-LN(2)/25)*BQ124+(1-EXP(-LN(2)/25))/(LN(2)/25)*Calculateur!BL125*Calculateur!BN125*VLOOKUP('Données projet'!$B$11,Paramètres!$A$1:$I$89,3,0)*0.475*44/12</f>
        <v>0.94969082996145104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9.1095697313514403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102.77795559500703</v>
      </c>
      <c r="CE125" s="59">
        <f t="shared" si="94"/>
        <v>288.83946957374047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7.5445437711212371</v>
      </c>
      <c r="CL125" s="21">
        <f>EXP(-LN(2)/25)*CL124+(1-EXP(-LN(2)/25))/(LN(2)/25)*Calculateur!CG125*Calculateur!CI125*VLOOKUP('Données projet'!$B$12,Paramètres!$A$1:$I$89,3,0)*0.475*44/12</f>
        <v>0.87807480016107853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8.4226185712823156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6">
        <f t="shared" si="56"/>
        <v>256.66666666666669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134.64362224914908</v>
      </c>
      <c r="T126" s="59">
        <f t="shared" si="88"/>
        <v>312.46749071109713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8.4434716579472937</v>
      </c>
      <c r="AA126" s="21">
        <f>EXP(-LN(2)/25)*AA125+(1-EXP(-LN(2)/25))/(LN(2)/25)*Calculateur!V126*Calculateur!X126*VLOOKUP('Données projet'!$B$9,Paramètres!$A$1:$I$89,3,0)*0.475*44/12</f>
        <v>0.99839010146838492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9.4418617594156782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144.46767095844729</v>
      </c>
      <c r="AO126" s="59">
        <f t="shared" si="90"/>
        <v>335.56739599097097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9.1321236016805827</v>
      </c>
      <c r="AV126" s="21">
        <f>EXP(-LN(2)/25)*AV125+(1-EXP(-LN(2)/25))/(LN(2)/25)*Calculateur!AQ126*Calculateur!AS126*VLOOKUP('Données projet'!$B$10,Paramètres!$A$1:$I$89,3,0)*0.475*44/12</f>
        <v>1.0798190813753787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10.211942683055961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110.21219780294564</v>
      </c>
      <c r="BJ126" s="59">
        <f t="shared" si="92"/>
        <v>310.34820112478593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7.99986865316842</v>
      </c>
      <c r="BQ126" s="21">
        <f>EXP(-LN(2)/25)*BQ125+(1-EXP(-LN(2)/25))/(LN(2)/25)*Calculateur!BL126*Calculateur!BN126*VLOOKUP('Données projet'!$B$11,Paramètres!$A$1:$I$89,3,0)*0.475*44/12</f>
        <v>0.92372148427408496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8.9235901374425044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102.77795559500703</v>
      </c>
      <c r="CE126" s="59">
        <f t="shared" si="94"/>
        <v>288.83946957374047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7.3965998694868684</v>
      </c>
      <c r="CL126" s="21">
        <f>EXP(-LN(2)/25)*CL125+(1-EXP(-LN(2)/25))/(LN(2)/25)*Calculateur!CG126*Calculateur!CI126*VLOOKUP('Données projet'!$B$12,Paramètres!$A$1:$I$89,3,0)*0.475*44/12</f>
        <v>0.85406379857472692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8.2506636680615948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6">
        <f t="shared" si="56"/>
        <v>256.66666666666669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134.64362224914908</v>
      </c>
      <c r="T127" s="59">
        <f t="shared" si="88"/>
        <v>312.46749071109713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8.2779003287441366</v>
      </c>
      <c r="AA127" s="21">
        <f>EXP(-LN(2)/25)*AA126+(1-EXP(-LN(2)/25))/(LN(2)/25)*Calculateur!V127*Calculateur!X127*VLOOKUP('Données projet'!$B$9,Paramètres!$A$1:$I$89,3,0)*0.475*44/12</f>
        <v>0.97108907164067837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9.248989400384815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144.46767095844729</v>
      </c>
      <c r="AO127" s="59">
        <f t="shared" si="90"/>
        <v>335.56739599097097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8.9530482278970265</v>
      </c>
      <c r="AV127" s="21">
        <f>EXP(-LN(2)/25)*AV126+(1-EXP(-LN(2)/25))/(LN(2)/25)*Calculateur!AQ127*Calculateur!AS127*VLOOKUP('Données projet'!$B$10,Paramètres!$A$1:$I$89,3,0)*0.475*44/12</f>
        <v>1.0502913718099516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10.003339599706978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110.21219780294564</v>
      </c>
      <c r="BJ127" s="59">
        <f t="shared" si="92"/>
        <v>310.34820112478593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7.8429961083178616</v>
      </c>
      <c r="BQ127" s="21">
        <f>EXP(-LN(2)/25)*BQ126+(1-EXP(-LN(2)/25))/(LN(2)/25)*Calculateur!BL127*Calculateur!BN127*VLOOKUP('Données projet'!$B$11,Paramètres!$A$1:$I$89,3,0)*0.475*44/12</f>
        <v>0.89846227171020843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8.741458380028071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102.77795559500703</v>
      </c>
      <c r="CE127" s="59">
        <f t="shared" si="94"/>
        <v>288.83946957374047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7.2515570575266795</v>
      </c>
      <c r="CL127" s="21">
        <f>EXP(-LN(2)/25)*CL126+(1-EXP(-LN(2)/25))/(LN(2)/25)*Calculateur!CG127*Calculateur!CI127*VLOOKUP('Données projet'!$B$12,Paramètres!$A$1:$I$89,3,0)*0.475*44/12</f>
        <v>0.83070937908943787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8.0822664366161181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6">
        <f t="shared" si="56"/>
        <v>256.66666666666669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134.64362224914908</v>
      </c>
      <c r="T128" s="59">
        <f t="shared" si="88"/>
        <v>312.46749071109713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8.1155757523181151</v>
      </c>
      <c r="AA128" s="21">
        <f>EXP(-LN(2)/25)*AA127+(1-EXP(-LN(2)/25))/(LN(2)/25)*Calculateur!V128*Calculateur!X128*VLOOKUP('Données projet'!$B$9,Paramètres!$A$1:$I$89,3,0)*0.475*44/12</f>
        <v>0.94453458990930916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9.060110342227425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144.46767095844729</v>
      </c>
      <c r="AO128" s="59">
        <f t="shared" si="90"/>
        <v>335.56739599097097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8.7774844129681728</v>
      </c>
      <c r="AV128" s="21">
        <f>EXP(-LN(2)/25)*AV127+(1-EXP(-LN(2)/25))/(LN(2)/25)*Calculateur!AQ128*Calculateur!AS128*VLOOKUP('Données projet'!$B$10,Paramètres!$A$1:$I$89,3,0)*0.475*44/12</f>
        <v>1.0215710990153857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9.7990555119835587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110.21219780294564</v>
      </c>
      <c r="BJ128" s="59">
        <f t="shared" si="92"/>
        <v>310.34820112478593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7.6891997383890178</v>
      </c>
      <c r="BQ128" s="21">
        <f>EXP(-LN(2)/25)*BQ127+(1-EXP(-LN(2)/25))/(LN(2)/25)*Calculateur!BL128*Calculateur!BN128*VLOOKUP('Données projet'!$B$11,Paramètres!$A$1:$I$89,3,0)*0.475*44/12</f>
        <v>0.87389377364221532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8.5630935120312337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102.77795559500703</v>
      </c>
      <c r="CE128" s="59">
        <f t="shared" si="94"/>
        <v>288.83946957374047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7.1093584466416502</v>
      </c>
      <c r="CL128" s="21">
        <f>EXP(-LN(2)/25)*CL127+(1-EXP(-LN(2)/25))/(LN(2)/25)*Calculateur!CG128*Calculateur!CI128*VLOOKUP('Données projet'!$B$12,Paramètres!$A$1:$I$89,3,0)*0.475*44/12</f>
        <v>0.80799358743312955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7.9173520340747796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6">
        <f t="shared" si="56"/>
        <v>256.66666666666669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134.64362224914908</v>
      </c>
      <c r="T129" s="59">
        <f t="shared" si="88"/>
        <v>312.46749071109713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7.9564342618275923</v>
      </c>
      <c r="AA129" s="21">
        <f>EXP(-LN(2)/25)*AA128+(1-EXP(-LN(2)/25))/(LN(2)/25)*Calculateur!V129*Calculateur!X129*VLOOKUP('Données projet'!$B$9,Paramètres!$A$1:$I$89,3,0)*0.475*44/12</f>
        <v>0.91870624187732375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8.875140503704916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144.46767095844729</v>
      </c>
      <c r="AO129" s="59">
        <f t="shared" si="90"/>
        <v>335.56739599097097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8.605363297366722</v>
      </c>
      <c r="AV129" s="21">
        <f>EXP(-LN(2)/25)*AV128+(1-EXP(-LN(2)/25))/(LN(2)/25)*Calculateur!AQ129*Calculateur!AS129*VLOOKUP('Données projet'!$B$10,Paramètres!$A$1:$I$89,3,0)*0.475*44/12</f>
        <v>0.9936361835907207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9.5989994809574419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110.21219780294564</v>
      </c>
      <c r="BJ129" s="59">
        <f t="shared" si="92"/>
        <v>310.34820112478593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7.5384192214679553</v>
      </c>
      <c r="BQ129" s="21">
        <f>EXP(-LN(2)/25)*BQ128+(1-EXP(-LN(2)/25))/(LN(2)/25)*Calculateur!BL129*Calculateur!BN129*VLOOKUP('Données projet'!$B$11,Paramètres!$A$1:$I$89,3,0)*0.475*44/12</f>
        <v>0.84999710244589266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8.3884163239138481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102.77795559500703</v>
      </c>
      <c r="CE129" s="59">
        <f t="shared" si="94"/>
        <v>288.83946957374047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6.969948263783488</v>
      </c>
      <c r="CL129" s="21">
        <f>EXP(-LN(2)/25)*CL128+(1-EXP(-LN(2)/25))/(LN(2)/25)*Calculateur!CG129*Calculateur!CI129*VLOOKUP('Données projet'!$B$12,Paramètres!$A$1:$I$89,3,0)*0.475*44/12</f>
        <v>0.78589896029423456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7.7558472240777228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6">
        <f t="shared" si="56"/>
        <v>256.66666666666669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134.64362224914908</v>
      </c>
      <c r="T130" s="59">
        <f t="shared" si="88"/>
        <v>312.46749071109713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7.8004134388988646</v>
      </c>
      <c r="AA130" s="21">
        <f>EXP(-LN(2)/25)*AA129+(1-EXP(-LN(2)/25))/(LN(2)/25)*Calculateur!V130*Calculateur!X130*VLOOKUP('Données projet'!$B$9,Paramètres!$A$1:$I$89,3,0)*0.475*44/12</f>
        <v>0.89358417138052681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8.693997610279391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144.46767095844729</v>
      </c>
      <c r="AO130" s="59">
        <f t="shared" si="90"/>
        <v>335.56739599097097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8.4366173718587003</v>
      </c>
      <c r="AV130" s="21">
        <f>EXP(-LN(2)/25)*AV129+(1-EXP(-LN(2)/25))/(LN(2)/25)*Calculateur!AQ130*Calculateur!AS130*VLOOKUP('Données projet'!$B$10,Paramètres!$A$1:$I$89,3,0)*0.475*44/12</f>
        <v>0.96646514989737653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9.4030825217560761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110.21219780294564</v>
      </c>
      <c r="BJ130" s="59">
        <f t="shared" si="92"/>
        <v>310.34820112478593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7.3905954185166811</v>
      </c>
      <c r="BQ130" s="21">
        <f>EXP(-LN(2)/25)*BQ129+(1-EXP(-LN(2)/25))/(LN(2)/25)*Calculateur!BL130*Calculateur!BN130*VLOOKUP('Données projet'!$B$11,Paramètres!$A$1:$I$89,3,0)*0.475*44/12</f>
        <v>0.82675388698010477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8.2173493054967857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102.77795559500703</v>
      </c>
      <c r="CE130" s="59">
        <f t="shared" si="94"/>
        <v>288.83946957374047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6.8332718295793589</v>
      </c>
      <c r="CL130" s="21">
        <f>EXP(-LN(2)/25)*CL129+(1-EXP(-LN(2)/25))/(LN(2)/25)*Calculateur!CG130*Calculateur!CI130*VLOOKUP('Données projet'!$B$12,Paramètres!$A$1:$I$89,3,0)*0.475*44/12</f>
        <v>0.76440851189635861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7.5976803414757175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6">
        <f t="shared" si="56"/>
        <v>256.66666666666669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134.64362224914908</v>
      </c>
      <c r="T131" s="59">
        <f t="shared" si="88"/>
        <v>312.46749071109713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7.6474520891444637</v>
      </c>
      <c r="AA131" s="21">
        <f>EXP(-LN(2)/25)*AA130+(1-EXP(-LN(2)/25))/(LN(2)/25)*Calculateur!V131*Calculateur!X131*VLOOKUP('Données projet'!$B$9,Paramètres!$A$1:$I$89,3,0)*0.475*44/12</f>
        <v>0.86914906522257707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8.5166011543670415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144.46767095844729</v>
      </c>
      <c r="AO131" s="59">
        <f t="shared" si="90"/>
        <v>335.56739599097097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8.2711804510250388</v>
      </c>
      <c r="AV131" s="21">
        <f>EXP(-LN(2)/25)*AV130+(1-EXP(-LN(2)/25))/(LN(2)/25)*Calculateur!AQ131*Calculateur!AS131*VLOOKUP('Données projet'!$B$10,Paramètres!$A$1:$I$89,3,0)*0.475*44/12</f>
        <v>0.94003710954923947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9.2112175605742781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110.21219780294564</v>
      </c>
      <c r="BJ131" s="59">
        <f t="shared" si="92"/>
        <v>310.34820112478593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7.2456703501776643</v>
      </c>
      <c r="BQ131" s="21">
        <f>EXP(-LN(2)/25)*BQ130+(1-EXP(-LN(2)/25))/(LN(2)/25)*Calculateur!BL131*Calculateur!BN131*VLOOKUP('Données projet'!$B$11,Paramètres!$A$1:$I$89,3,0)*0.475*44/12</f>
        <v>0.80414625846353649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8.0498166086412013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102.77795559500703</v>
      </c>
      <c r="CE131" s="59">
        <f t="shared" si="94"/>
        <v>288.83946957374047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6.6992755368855796</v>
      </c>
      <c r="CL131" s="21">
        <f>EXP(-LN(2)/25)*CL130+(1-EXP(-LN(2)/25))/(LN(2)/25)*Calculateur!CG131*Calculateur!CI131*VLOOKUP('Données projet'!$B$12,Paramètres!$A$1:$I$89,3,0)*0.475*44/12</f>
        <v>0.74350572094005607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7.4427812578256356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6">
        <f t="shared" ref="H132:H195" si="110">(B132+E132+F132)*44/12+(C132+D132)*0.475*44/12</f>
        <v>256.66666666666669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134.64362224914908</v>
      </c>
      <c r="T132" s="59">
        <f t="shared" si="88"/>
        <v>312.46749071109713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7.4974902181615359</v>
      </c>
      <c r="AA132" s="21">
        <f>EXP(-LN(2)/25)*AA131+(1-EXP(-LN(2)/25))/(LN(2)/25)*Calculateur!V132*Calculateur!X132*VLOOKUP('Données projet'!$B$9,Paramètres!$A$1:$I$89,3,0)*0.475*44/12</f>
        <v>0.84538213832750286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8.342872356489039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144.46767095844729</v>
      </c>
      <c r="AO132" s="59">
        <f t="shared" si="90"/>
        <v>335.56739599097097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8.108987647302369</v>
      </c>
      <c r="AV132" s="21">
        <f>EXP(-LN(2)/25)*AV131+(1-EXP(-LN(2)/25))/(LN(2)/25)*Calculateur!AQ132*Calculateur!AS132*VLOOKUP('Données projet'!$B$10,Paramètres!$A$1:$I$89,3,0)*0.475*44/12</f>
        <v>0.91433174535421236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9.0233193926565818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110.21219780294564</v>
      </c>
      <c r="BJ132" s="59">
        <f t="shared" si="92"/>
        <v>310.34820112478593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7.1035871740332119</v>
      </c>
      <c r="BQ132" s="21">
        <f>EXP(-LN(2)/25)*BQ131+(1-EXP(-LN(2)/25))/(LN(2)/25)*Calculateur!BL132*Calculateur!BN132*VLOOKUP('Données projet'!$B$11,Paramètres!$A$1:$I$89,3,0)*0.475*44/12</f>
        <v>0.78215683673763725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7.885744010770849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102.77795559500703</v>
      </c>
      <c r="CE132" s="59">
        <f t="shared" si="94"/>
        <v>288.83946957374047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6.5679068297618564</v>
      </c>
      <c r="CL132" s="21">
        <f>EXP(-LN(2)/25)*CL131+(1-EXP(-LN(2)/25))/(LN(2)/25)*Calculateur!CG132*Calculateur!CI132*VLOOKUP('Données projet'!$B$12,Paramètres!$A$1:$I$89,3,0)*0.475*44/12</f>
        <v>0.72317451790168363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7.2910813476635399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6">
        <f t="shared" si="110"/>
        <v>256.66666666666669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134.64362224914908</v>
      </c>
      <c r="T133" s="59">
        <f t="shared" ref="T133:T196" si="142">$T$3</f>
        <v>312.46749071109713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7.3504690080008732</v>
      </c>
      <c r="AA133" s="21">
        <f>EXP(-LN(2)/25)*AA132+(1-EXP(-LN(2)/25))/(LN(2)/25)*Calculateur!V133*Calculateur!X133*VLOOKUP('Données projet'!$B$9,Paramètres!$A$1:$I$89,3,0)*0.475*44/12</f>
        <v>0.82226511929822277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8.1727341272990959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144.46767095844729</v>
      </c>
      <c r="AO133" s="59">
        <f t="shared" ref="AO133:AO196" si="144">$AO$3</f>
        <v>335.56739599097097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7.9499753455328577</v>
      </c>
      <c r="AV133" s="21">
        <f>EXP(-LN(2)/25)*AV132+(1-EXP(-LN(2)/25))/(LN(2)/25)*Calculateur!AQ133*Calculateur!AS133*VLOOKUP('Données projet'!$B$10,Paramètres!$A$1:$I$89,3,0)*0.475*44/12</f>
        <v>0.88932929569488461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8.8393046412277414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110.21219780294564</v>
      </c>
      <c r="BJ133" s="59">
        <f t="shared" ref="BJ133:BJ196" si="146">$BJ$3</f>
        <v>310.34820112478593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6.964290162310772</v>
      </c>
      <c r="BQ133" s="21">
        <f>EXP(-LN(2)/25)*BQ132+(1-EXP(-LN(2)/25))/(LN(2)/25)*Calculateur!BL133*Calculateur!BN133*VLOOKUP('Données projet'!$B$11,Paramètres!$A$1:$I$89,3,0)*0.475*44/12</f>
        <v>0.7607687169052062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7.725058879215978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102.77795559500703</v>
      </c>
      <c r="CE133" s="59">
        <f t="shared" ref="CE133:CE196" si="148">$CE$3</f>
        <v>288.83946957374047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6.4391141828578302</v>
      </c>
      <c r="CL133" s="21">
        <f>EXP(-LN(2)/25)*CL132+(1-EXP(-LN(2)/25))/(LN(2)/25)*Calculateur!CG133*Calculateur!CI133*VLOOKUP('Données projet'!$B$12,Paramètres!$A$1:$I$89,3,0)*0.475*44/12</f>
        <v>0.70339927267956703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7.1425134555373972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6">
        <f t="shared" si="110"/>
        <v>256.66666666666669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134.64362224914908</v>
      </c>
      <c r="T134" s="59">
        <f t="shared" si="142"/>
        <v>312.46749071109713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7.2063307940973775</v>
      </c>
      <c r="AA134" s="21">
        <f>EXP(-LN(2)/25)*AA133+(1-EXP(-LN(2)/25))/(LN(2)/25)*Calculateur!V134*Calculateur!X134*VLOOKUP('Données projet'!$B$9,Paramètres!$A$1:$I$89,3,0)*0.475*44/12</f>
        <v>0.79978023636996953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8.0061110304673466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144.46767095844729</v>
      </c>
      <c r="AO134" s="59">
        <f t="shared" si="144"/>
        <v>335.56739599097097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7.7940811780131192</v>
      </c>
      <c r="AV134" s="21">
        <f>EXP(-LN(2)/25)*AV133+(1-EXP(-LN(2)/25))/(LN(2)/25)*Calculateur!AQ134*Calculateur!AS134*VLOOKUP('Données projet'!$B$10,Paramètres!$A$1:$I$89,3,0)*0.475*44/12</f>
        <v>0.86501053933631289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8.6590917173494315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110.21219780294564</v>
      </c>
      <c r="BJ134" s="59">
        <f t="shared" si="146"/>
        <v>310.34820112478593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6.8277246800254217</v>
      </c>
      <c r="BQ134" s="21">
        <f>EXP(-LN(2)/25)*BQ133+(1-EXP(-LN(2)/25))/(LN(2)/25)*Calculateur!BL134*Calculateur!BN134*VLOOKUP('Données projet'!$B$11,Paramètres!$A$1:$I$89,3,0)*0.475*44/12</f>
        <v>0.7399654563343453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7.5676901363597668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102.77795559500703</v>
      </c>
      <c r="CE134" s="59">
        <f t="shared" si="148"/>
        <v>288.83946957374047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6.3128470812038344</v>
      </c>
      <c r="CL134" s="21">
        <f>EXP(-LN(2)/25)*CL133+(1-EXP(-LN(2)/25))/(LN(2)/25)*Calculateur!CG134*Calculateur!CI134*VLOOKUP('Données projet'!$B$12,Paramètres!$A$1:$I$89,3,0)*0.475*44/12</f>
        <v>0.68416478257798419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6.9970118637818182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6">
        <f t="shared" si="110"/>
        <v>256.66666666666669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134.64362224914908</v>
      </c>
      <c r="T135" s="59">
        <f t="shared" si="142"/>
        <v>312.46749071109713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7.0650190426529003</v>
      </c>
      <c r="AA135" s="21">
        <f>EXP(-LN(2)/25)*AA134+(1-EXP(-LN(2)/25))/(LN(2)/25)*Calculateur!V135*Calculateur!X135*VLOOKUP('Données projet'!$B$9,Paramètres!$A$1:$I$89,3,0)*0.475*44/12</f>
        <v>0.77791020374781805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7.8429292464007183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144.46767095844729</v>
      </c>
      <c r="AO135" s="59">
        <f t="shared" si="144"/>
        <v>335.56739599097097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7.6412440000323896</v>
      </c>
      <c r="AV135" s="21">
        <f>EXP(-LN(2)/25)*AV134+(1-EXP(-LN(2)/25))/(LN(2)/25)*Calculateur!AQ135*Calculateur!AS135*VLOOKUP('Données projet'!$B$10,Paramètres!$A$1:$I$89,3,0)*0.475*44/12</f>
        <v>0.84135678064923414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8.4826007806816239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110.21219780294564</v>
      </c>
      <c r="BJ135" s="59">
        <f t="shared" si="146"/>
        <v>310.34820112478593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6.6938371635509677</v>
      </c>
      <c r="BQ135" s="21">
        <f>EXP(-LN(2)/25)*BQ134+(1-EXP(-LN(2)/25))/(LN(2)/25)*Calculateur!BL135*Calculateur!BN135*VLOOKUP('Données projet'!$B$11,Paramètres!$A$1:$I$89,3,0)*0.475*44/12</f>
        <v>0.71973106201779047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7.4135682255687581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102.77795559500703</v>
      </c>
      <c r="CE135" s="59">
        <f t="shared" si="148"/>
        <v>288.83946957374047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6.1890560003979456</v>
      </c>
      <c r="CL135" s="21">
        <f>EXP(-LN(2)/25)*CL134+(1-EXP(-LN(2)/25))/(LN(2)/25)*Calculateur!CG135*Calculateur!CI135*VLOOKUP('Données projet'!$B$12,Paramètres!$A$1:$I$89,3,0)*0.475*44/12</f>
        <v>0.66545626061972696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6.854512261017673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6">
        <f t="shared" si="110"/>
        <v>256.66666666666669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134.64362224914908</v>
      </c>
      <c r="T136" s="59">
        <f t="shared" si="142"/>
        <v>312.46749071109713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6.9264783284625908</v>
      </c>
      <c r="AA136" s="21">
        <f>EXP(-LN(2)/25)*AA135+(1-EXP(-LN(2)/25))/(LN(2)/25)*Calculateur!V136*Calculateur!X136*VLOOKUP('Données projet'!$B$9,Paramètres!$A$1:$I$89,3,0)*0.475*44/12</f>
        <v>0.75663820831781425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7.6831165367804051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144.46767095844729</v>
      </c>
      <c r="AO136" s="59">
        <f t="shared" si="144"/>
        <v>335.56739599097097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7.4914038658903888</v>
      </c>
      <c r="AV136" s="21">
        <f>EXP(-LN(2)/25)*AV135+(1-EXP(-LN(2)/25))/(LN(2)/25)*Calculateur!AQ136*Calculateur!AS136*VLOOKUP('Données projet'!$B$10,Paramètres!$A$1:$I$89,3,0)*0.475*44/12</f>
        <v>0.81834983523735072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8.3097537011277396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110.21219780294564</v>
      </c>
      <c r="BJ136" s="59">
        <f t="shared" si="146"/>
        <v>310.34820112478593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6.562575099611256</v>
      </c>
      <c r="BQ136" s="21">
        <f>EXP(-LN(2)/25)*BQ135+(1-EXP(-LN(2)/25))/(LN(2)/25)*Calculateur!BL136*Calculateur!BN136*VLOOKUP('Données projet'!$B$11,Paramètres!$A$1:$I$89,3,0)*0.475*44/12</f>
        <v>0.70004997827790238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7.2626250778891581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102.77795559500703</v>
      </c>
      <c r="CE136" s="59">
        <f t="shared" si="148"/>
        <v>288.83946957374047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6.0676923871815562</v>
      </c>
      <c r="CL136" s="21">
        <f>EXP(-LN(2)/25)*CL135+(1-EXP(-LN(2)/25))/(LN(2)/25)*Calculateur!CG136*Calculateur!CI136*VLOOKUP('Données projet'!$B$12,Paramètres!$A$1:$I$89,3,0)*0.475*44/12</f>
        <v>0.64725932417825671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6.7149517113598129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6">
        <f t="shared" si="110"/>
        <v>256.66666666666669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134.64362224914908</v>
      </c>
      <c r="T137" s="59">
        <f t="shared" si="142"/>
        <v>312.46749071109713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6.7906543131760619</v>
      </c>
      <c r="AA137" s="21">
        <f>EXP(-LN(2)/25)*AA136+(1-EXP(-LN(2)/25))/(LN(2)/25)*Calculateur!V137*Calculateur!X137*VLOOKUP('Données projet'!$B$9,Paramètres!$A$1:$I$89,3,0)*0.475*44/12</f>
        <v>0.73594789672148953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7.5266022098975514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144.46767095844729</v>
      </c>
      <c r="AO137" s="59">
        <f t="shared" si="144"/>
        <v>335.56739599097097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7.3445020053854551</v>
      </c>
      <c r="AV137" s="21">
        <f>EXP(-LN(2)/25)*AV136+(1-EXP(-LN(2)/25))/(LN(2)/25)*Calculateur!AQ137*Calculateur!AS137*VLOOKUP('Données projet'!$B$10,Paramètres!$A$1:$I$89,3,0)*0.475*44/12</f>
        <v>0.79597201595763789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8.1404740213430937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110.21219780294564</v>
      </c>
      <c r="BJ137" s="59">
        <f t="shared" si="146"/>
        <v>310.34820112478593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6.4338870046834487</v>
      </c>
      <c r="BQ137" s="21">
        <f>EXP(-LN(2)/25)*BQ136+(1-EXP(-LN(2)/25))/(LN(2)/25)*Calculateur!BL137*Calculateur!BN137*VLOOKUP('Données projet'!$B$11,Paramètres!$A$1:$I$89,3,0)*0.475*44/12</f>
        <v>0.68090707480786472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7.1147940794913129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102.77795559500703</v>
      </c>
      <c r="CE137" s="59">
        <f t="shared" si="148"/>
        <v>288.83946957374047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5.9487086403958456</v>
      </c>
      <c r="CL137" s="21">
        <f>EXP(-LN(2)/25)*CL136+(1-EXP(-LN(2)/25))/(LN(2)/25)*Calculateur!CG137*Calculateur!CI137*VLOOKUP('Données projet'!$B$12,Paramètres!$A$1:$I$89,3,0)*0.475*44/12</f>
        <v>0.62955998392071377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6.5782686243165589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6">
        <f t="shared" si="110"/>
        <v>256.66666666666669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134.64362224914908</v>
      </c>
      <c r="T138" s="59">
        <f t="shared" si="142"/>
        <v>312.46749071109713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6.6574937239848326</v>
      </c>
      <c r="AA138" s="21">
        <f>EXP(-LN(2)/25)*AA137+(1-EXP(-LN(2)/25))/(LN(2)/25)*Calculateur!V138*Calculateur!X138*VLOOKUP('Données projet'!$B$9,Paramètres!$A$1:$I$89,3,0)*0.475*44/12</f>
        <v>0.71582336278382253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7.3733170867686555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144.46767095844729</v>
      </c>
      <c r="AO138" s="59">
        <f t="shared" si="144"/>
        <v>335.56739599097097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7.200480800763736</v>
      </c>
      <c r="AV138" s="21">
        <f>EXP(-LN(2)/25)*AV137+(1-EXP(-LN(2)/25))/(LN(2)/25)*Calculateur!AQ138*Calculateur!AS138*VLOOKUP('Données projet'!$B$10,Paramètres!$A$1:$I$89,3,0)*0.475*44/12</f>
        <v>0.77420611932292716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7.974686920086663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110.21219780294564</v>
      </c>
      <c r="BJ138" s="59">
        <f t="shared" si="146"/>
        <v>310.34820112478593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6.3077224048051885</v>
      </c>
      <c r="BQ138" s="21">
        <f>EXP(-LN(2)/25)*BQ137+(1-EXP(-LN(2)/25))/(LN(2)/25)*Calculateur!BL138*Calculateur!BN138*VLOOKUP('Données projet'!$B$11,Paramètres!$A$1:$I$89,3,0)*0.475*44/12</f>
        <v>0.66228763503989685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6.9700100398450857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102.77795559500703</v>
      </c>
      <c r="CE138" s="59">
        <f t="shared" si="148"/>
        <v>288.83946957374047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5.8320580923116836</v>
      </c>
      <c r="CL138" s="21">
        <f>EXP(-LN(2)/25)*CL137+(1-EXP(-LN(2)/25))/(LN(2)/25)*Calculateur!CG138*Calculateur!CI138*VLOOKUP('Données projet'!$B$12,Paramètres!$A$1:$I$89,3,0)*0.475*44/12</f>
        <v>0.61234463305328113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6.4444027253649647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6">
        <f t="shared" si="110"/>
        <v>256.66666666666669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134.64362224914908</v>
      </c>
      <c r="T139" s="59">
        <f t="shared" si="142"/>
        <v>312.46749071109713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6.5269443327277035</v>
      </c>
      <c r="AA139" s="21">
        <f>EXP(-LN(2)/25)*AA138+(1-EXP(-LN(2)/25))/(LN(2)/25)*Calculateur!V139*Calculateur!X139*VLOOKUP('Données projet'!$B$9,Paramètres!$A$1:$I$89,3,0)*0.475*44/12</f>
        <v>0.69624913528498433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7.2231934680126875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144.46767095844729</v>
      </c>
      <c r="AO139" s="59">
        <f t="shared" si="144"/>
        <v>335.56739599097097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7.0592837641203872</v>
      </c>
      <c r="AV139" s="21">
        <f>EXP(-LN(2)/25)*AV138+(1-EXP(-LN(2)/25))/(LN(2)/25)*Calculateur!AQ139*Calculateur!AS139*VLOOKUP('Données projet'!$B$10,Paramètres!$A$1:$I$89,3,0)*0.475*44/12</f>
        <v>0.75303541227631132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7.8123191763966986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110.21219780294564</v>
      </c>
      <c r="BJ139" s="59">
        <f t="shared" si="146"/>
        <v>310.34820112478593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6.1840318157777334</v>
      </c>
      <c r="BQ139" s="21">
        <f>EXP(-LN(2)/25)*BQ138+(1-EXP(-LN(2)/25))/(LN(2)/25)*Calculateur!BL139*Calculateur!BN139*VLOOKUP('Données projet'!$B$11,Paramètres!$A$1:$I$89,3,0)*0.475*44/12</f>
        <v>0.64417734483153777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6.828209160609271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102.77795559500703</v>
      </c>
      <c r="CE139" s="59">
        <f t="shared" si="148"/>
        <v>288.83946957374047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5.7176949903256427</v>
      </c>
      <c r="CL139" s="21">
        <f>EXP(-LN(2)/25)*CL138+(1-EXP(-LN(2)/25))/(LN(2)/25)*Calculateur!CG139*Calculateur!CI139*VLOOKUP('Données projet'!$B$12,Paramètres!$A$1:$I$89,3,0)*0.475*44/12</f>
        <v>0.59560003686063445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6.3132950271862773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6">
        <f t="shared" si="110"/>
        <v>256.66666666666669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134.64362224914908</v>
      </c>
      <c r="T140" s="59">
        <f t="shared" si="142"/>
        <v>312.46749071109713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6.398954935405861</v>
      </c>
      <c r="AA140" s="21">
        <f>EXP(-LN(2)/25)*AA139+(1-EXP(-LN(2)/25))/(LN(2)/25)*Calculateur!V140*Calculateur!X140*VLOOKUP('Données projet'!$B$9,Paramètres!$A$1:$I$89,3,0)*0.475*44/12</f>
        <v>0.67721016606646567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7.076165101472327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144.46767095844729</v>
      </c>
      <c r="AO140" s="59">
        <f t="shared" si="144"/>
        <v>335.56739599097097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6.9208555152439262</v>
      </c>
      <c r="AV140" s="21">
        <f>EXP(-LN(2)/25)*AV139+(1-EXP(-LN(2)/25))/(LN(2)/25)*Calculateur!AQ140*Calculateur!AS140*VLOOKUP('Données projet'!$B$10,Paramètres!$A$1:$I$89,3,0)*0.475*44/12</f>
        <v>0.73244361932720436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7.6532991345711308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110.21219780294564</v>
      </c>
      <c r="BJ140" s="59">
        <f t="shared" si="146"/>
        <v>310.34820112478593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6.0627667237572966</v>
      </c>
      <c r="BQ140" s="21">
        <f>EXP(-LN(2)/25)*BQ139+(1-EXP(-LN(2)/25))/(LN(2)/25)*Calculateur!BL140*Calculateur!BN140*VLOOKUP('Données projet'!$B$11,Paramètres!$A$1:$I$89,3,0)*0.475*44/12</f>
        <v>0.6265622814613051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6.6893290052186014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102.77795559500703</v>
      </c>
      <c r="CE140" s="59">
        <f t="shared" si="148"/>
        <v>288.83946957374047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5.605574479014944</v>
      </c>
      <c r="CL140" s="21">
        <f>EXP(-LN(2)/25)*CL139+(1-EXP(-LN(2)/25))/(LN(2)/25)*Calculateur!CG140*Calculateur!CI140*VLOOKUP('Données projet'!$B$12,Paramètres!$A$1:$I$89,3,0)*0.475*44/12</f>
        <v>0.57931332253143575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6.1848878015463793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6">
        <f t="shared" si="110"/>
        <v>256.66666666666669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134.64362224914908</v>
      </c>
      <c r="T141" s="59">
        <f t="shared" si="142"/>
        <v>312.46749071109713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6.2734753320996761</v>
      </c>
      <c r="AA141" s="21">
        <f>EXP(-LN(2)/25)*AA140+(1-EXP(-LN(2)/25))/(LN(2)/25)*Calculateur!V141*Calculateur!X141*VLOOKUP('Données projet'!$B$9,Paramètres!$A$1:$I$89,3,0)*0.475*44/12</f>
        <v>0.65869181846244329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6.932167150562119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144.46767095844729</v>
      </c>
      <c r="AO141" s="59">
        <f t="shared" si="144"/>
        <v>335.56739599097097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6.7851417598950379</v>
      </c>
      <c r="AV141" s="21">
        <f>EXP(-LN(2)/25)*AV140+(1-EXP(-LN(2)/25))/(LN(2)/25)*Calculateur!AQ141*Calculateur!AS141*VLOOKUP('Données projet'!$B$10,Paramètres!$A$1:$I$89,3,0)*0.475*44/12</f>
        <v>0.71241491003916602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7.4975566699342036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110.21219780294564</v>
      </c>
      <c r="BJ141" s="59">
        <f t="shared" si="146"/>
        <v>310.34820112478593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5.9438795662269781</v>
      </c>
      <c r="BQ141" s="21">
        <f>EXP(-LN(2)/25)*BQ140+(1-EXP(-LN(2)/25))/(LN(2)/25)*Calculateur!BL141*Calculateur!BN141*VLOOKUP('Données projet'!$B$11,Paramètres!$A$1:$I$89,3,0)*0.475*44/12</f>
        <v>0.60942890292526741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6.5533084691522454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102.77795559500703</v>
      </c>
      <c r="CE141" s="59">
        <f t="shared" si="148"/>
        <v>288.83946957374047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5.495652582544289</v>
      </c>
      <c r="CL141" s="21">
        <f>EXP(-LN(2)/25)*CL140+(1-EXP(-LN(2)/25))/(LN(2)/25)*Calculateur!CG141*Calculateur!CI141*VLOOKUP('Données projet'!$B$12,Paramètres!$A$1:$I$89,3,0)*0.475*44/12</f>
        <v>0.56347196926205001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6.059124551806339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6">
        <f t="shared" si="110"/>
        <v>256.66666666666669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134.64362224914908</v>
      </c>
      <c r="T142" s="59">
        <f t="shared" si="142"/>
        <v>312.46749071109713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6.1504563072793239</v>
      </c>
      <c r="AA142" s="21">
        <f>EXP(-LN(2)/25)*AA141+(1-EXP(-LN(2)/25))/(LN(2)/25)*Calculateur!V142*Calculateur!X142*VLOOKUP('Données projet'!$B$9,Paramètres!$A$1:$I$89,3,0)*0.475*44/12</f>
        <v>0.64067985604749056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6.7911361633268141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144.46767095844729</v>
      </c>
      <c r="AO142" s="59">
        <f t="shared" si="144"/>
        <v>335.56739599097097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6.6520892685113244</v>
      </c>
      <c r="AV142" s="21">
        <f>EXP(-LN(2)/25)*AV141+(1-EXP(-LN(2)/25))/(LN(2)/25)*Calculateur!AQ142*Calculateur!AS142*VLOOKUP('Données projet'!$B$10,Paramètres!$A$1:$I$89,3,0)*0.475*44/12</f>
        <v>0.69293388685987312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7.345023155371198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110.21219780294564</v>
      </c>
      <c r="BJ142" s="59">
        <f t="shared" si="146"/>
        <v>310.34820112478593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5.8273237133418228</v>
      </c>
      <c r="BQ142" s="21">
        <f>EXP(-LN(2)/25)*BQ141+(1-EXP(-LN(2)/25))/(LN(2)/25)*Calculateur!BL142*Calculateur!BN142*VLOOKUP('Données projet'!$B$11,Paramètres!$A$1:$I$89,3,0)*0.475*44/12</f>
        <v>0.5927640375263028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6.4200877508681256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102.77795559500703</v>
      </c>
      <c r="CE142" s="59">
        <f t="shared" si="148"/>
        <v>288.83946957374047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5.3878861874176867</v>
      </c>
      <c r="CL142" s="21">
        <f>EXP(-LN(2)/25)*CL141+(1-EXP(-LN(2)/25))/(LN(2)/25)*Calculateur!CG142*Calculateur!CI142*VLOOKUP('Données projet'!$B$12,Paramètres!$A$1:$I$89,3,0)*0.475*44/12</f>
        <v>0.54806379863087618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5.9359499860485627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6">
        <f t="shared" si="110"/>
        <v>256.66666666666669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134.64362224914908</v>
      </c>
      <c r="T143" s="59">
        <f t="shared" si="142"/>
        <v>312.46749071109713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6.0298496105015031</v>
      </c>
      <c r="AA143" s="21">
        <f>EXP(-LN(2)/25)*AA142+(1-EXP(-LN(2)/25))/(LN(2)/25)*Calculateur!V143*Calculateur!X143*VLOOKUP('Données projet'!$B$9,Paramètres!$A$1:$I$89,3,0)*0.475*44/12</f>
        <v>0.62316043169198254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6.6530100421934861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144.46767095844729</v>
      </c>
      <c r="AO143" s="59">
        <f t="shared" si="144"/>
        <v>335.56739599097097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6.5216458553296386</v>
      </c>
      <c r="AV143" s="21">
        <f>EXP(-LN(2)/25)*AV142+(1-EXP(-LN(2)/25))/(LN(2)/25)*Calculateur!AQ143*Calculateur!AS143*VLOOKUP('Données projet'!$B$10,Paramètres!$A$1:$I$89,3,0)*0.475*44/12</f>
        <v>0.67398557328388053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7.1956314286135195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110.21219780294564</v>
      </c>
      <c r="BJ143" s="59">
        <f t="shared" si="146"/>
        <v>310.34820112478593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5.7130534496396947</v>
      </c>
      <c r="BQ143" s="21">
        <f>EXP(-LN(2)/25)*BQ142+(1-EXP(-LN(2)/25))/(LN(2)/25)*Calculateur!BL143*Calculateur!BN143*VLOOKUP('Données projet'!$B$11,Paramètres!$A$1:$I$89,3,0)*0.475*44/12</f>
        <v>0.57655487374804004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6.2896083233877347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102.77795559500703</v>
      </c>
      <c r="CE143" s="59">
        <f t="shared" si="148"/>
        <v>288.83946957374047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5.2822330255685062</v>
      </c>
      <c r="CL143" s="21">
        <f>EXP(-LN(2)/25)*CL142+(1-EXP(-LN(2)/25))/(LN(2)/25)*Calculateur!CG143*Calculateur!CI143*VLOOKUP('Données projet'!$B$12,Paramètres!$A$1:$I$89,3,0)*0.475*44/12</f>
        <v>0.53307696523589232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5.8153099908043986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6">
        <f t="shared" si="110"/>
        <v>256.66666666666669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134.64362224914908</v>
      </c>
      <c r="T144" s="59">
        <f t="shared" si="142"/>
        <v>312.46749071109713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5.9116079374846739</v>
      </c>
      <c r="AA144" s="21">
        <f>EXP(-LN(2)/25)*AA143+(1-EXP(-LN(2)/25))/(LN(2)/25)*Calculateur!V144*Calculateur!X144*VLOOKUP('Données projet'!$B$9,Paramètres!$A$1:$I$89,3,0)*0.475*44/12</f>
        <v>0.60612007691678238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6.517728014401456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144.46767095844729</v>
      </c>
      <c r="AO144" s="59">
        <f t="shared" si="144"/>
        <v>335.56739599097097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6.3937603579178202</v>
      </c>
      <c r="AV144" s="21">
        <f>EXP(-LN(2)/25)*AV143+(1-EXP(-LN(2)/25))/(LN(2)/25)*Calculateur!AQ144*Calculateur!AS144*VLOOKUP('Données projet'!$B$10,Paramètres!$A$1:$I$89,3,0)*0.475*44/12</f>
        <v>0.65555540233907195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7.0493157602568921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110.21219780294564</v>
      </c>
      <c r="BJ144" s="59">
        <f t="shared" si="146"/>
        <v>310.34820112478593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5.6010239561107875</v>
      </c>
      <c r="BQ144" s="21">
        <f>EXP(-LN(2)/25)*BQ143+(1-EXP(-LN(2)/25))/(LN(2)/25)*Calculateur!BL144*Calculateur!BN144*VLOOKUP('Données projet'!$B$11,Paramètres!$A$1:$I$89,3,0)*0.475*44/12</f>
        <v>0.56078895040569676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6.1618129065164844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102.77795559500703</v>
      </c>
      <c r="CE144" s="59">
        <f t="shared" si="148"/>
        <v>288.83946957374047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5.1786516577811224</v>
      </c>
      <c r="CL144" s="21">
        <f>EXP(-LN(2)/25)*CL143+(1-EXP(-LN(2)/25))/(LN(2)/25)*Calculateur!CG144*Calculateur!CI144*VLOOKUP('Données projet'!$B$12,Paramètres!$A$1:$I$89,3,0)*0.475*44/12</f>
        <v>0.5184999475882176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5.6971516053693403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6">
        <f t="shared" si="110"/>
        <v>256.66666666666669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134.64362224914908</v>
      </c>
      <c r="T145" s="59">
        <f t="shared" si="142"/>
        <v>312.46749071109713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5.7956849115554059</v>
      </c>
      <c r="AA145" s="21">
        <f>EXP(-LN(2)/25)*AA144+(1-EXP(-LN(2)/25))/(LN(2)/25)*Calculateur!V145*Calculateur!X145*VLOOKUP('Données projet'!$B$9,Paramètres!$A$1:$I$89,3,0)*0.475*44/12</f>
        <v>0.58954569153902348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6.3852306030944295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144.46767095844729</v>
      </c>
      <c r="AO145" s="59">
        <f t="shared" si="144"/>
        <v>335.56739599097097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6.2683826171077959</v>
      </c>
      <c r="AV145" s="21">
        <f>EXP(-LN(2)/25)*AV144+(1-EXP(-LN(2)/25))/(LN(2)/25)*Calculateur!AQ145*Calculateur!AS145*VLOOKUP('Données projet'!$B$10,Paramètres!$A$1:$I$89,3,0)*0.475*44/12</f>
        <v>0.63762920538794976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6.9060118224957456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110.21219780294564</v>
      </c>
      <c r="BJ145" s="59">
        <f t="shared" si="146"/>
        <v>310.34820112478593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5.4911912926187378</v>
      </c>
      <c r="BQ145" s="21">
        <f>EXP(-LN(2)/25)*BQ144+(1-EXP(-LN(2)/25))/(LN(2)/25)*Calculateur!BL145*Calculateur!BN145*VLOOKUP('Données projet'!$B$11,Paramètres!$A$1:$I$89,3,0)*0.475*44/12</f>
        <v>0.54545414706624373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6.0366454396849818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102.77795559500703</v>
      </c>
      <c r="CE145" s="59">
        <f t="shared" si="148"/>
        <v>288.83946957374047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5.0771014574376538</v>
      </c>
      <c r="CL145" s="21">
        <f>EXP(-LN(2)/25)*CL144+(1-EXP(-LN(2)/25))/(LN(2)/25)*Calculateur!CG145*Calculateur!CI145*VLOOKUP('Données projet'!$B$12,Paramètres!$A$1:$I$89,3,0)*0.475*44/12</f>
        <v>0.50432153925469059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5.5814229966923445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6">
        <f t="shared" si="110"/>
        <v>256.66666666666669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134.64362224914908</v>
      </c>
      <c r="T146" s="59">
        <f t="shared" si="142"/>
        <v>312.46749071109713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5.6820350654585461</v>
      </c>
      <c r="AA146" s="21">
        <f>EXP(-LN(2)/25)*AA145+(1-EXP(-LN(2)/25))/(LN(2)/25)*Calculateur!V146*Calculateur!X146*VLOOKUP('Données projet'!$B$9,Paramètres!$A$1:$I$89,3,0)*0.475*44/12</f>
        <v>0.57342453360102841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6.2554595990595745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144.46767095844729</v>
      </c>
      <c r="AO146" s="59">
        <f t="shared" si="144"/>
        <v>335.56739599097097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6.1454634573221858</v>
      </c>
      <c r="AV146" s="21">
        <f>EXP(-LN(2)/25)*AV145+(1-EXP(-LN(2)/25))/(LN(2)/25)*Calculateur!AQ146*Calculateur!AS146*VLOOKUP('Données projet'!$B$10,Paramètres!$A$1:$I$89,3,0)*0.475*44/12</f>
        <v>0.62019320123515365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6.7656566585573392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110.21219780294564</v>
      </c>
      <c r="BJ146" s="59">
        <f t="shared" si="146"/>
        <v>310.34820112478593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5.3835123806664571</v>
      </c>
      <c r="BQ146" s="21">
        <f>EXP(-LN(2)/25)*BQ145+(1-EXP(-LN(2)/25))/(LN(2)/25)*Calculateur!BL146*Calculateur!BN146*VLOOKUP('Données projet'!$B$11,Paramètres!$A$1:$I$89,3,0)*0.475*44/12</f>
        <v>0.5305386747305304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5.9140510553969872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102.77795559500703</v>
      </c>
      <c r="CE146" s="59">
        <f t="shared" si="148"/>
        <v>288.83946957374047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4.9775425945834142</v>
      </c>
      <c r="CL146" s="21">
        <f>EXP(-LN(2)/25)*CL145+(1-EXP(-LN(2)/25))/(LN(2)/25)*Calculateur!CG146*Calculateur!CI146*VLOOKUP('Données projet'!$B$12,Paramètres!$A$1:$I$89,3,0)*0.475*44/12</f>
        <v>0.49053084024265398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5.468073434826068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6">
        <f t="shared" si="110"/>
        <v>256.66666666666669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134.64362224914908</v>
      </c>
      <c r="T147" s="59">
        <f t="shared" si="142"/>
        <v>312.46749071109713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5.5706138235240843</v>
      </c>
      <c r="AA147" s="21">
        <f>EXP(-LN(2)/25)*AA146+(1-EXP(-LN(2)/25))/(LN(2)/25)*Calculateur!V147*Calculateur!X147*VLOOKUP('Données projet'!$B$9,Paramètres!$A$1:$I$89,3,0)*0.475*44/12</f>
        <v>0.55774420957462267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6.1283580330987073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144.46767095844729</v>
      </c>
      <c r="AO147" s="59">
        <f t="shared" si="144"/>
        <v>335.56739599097097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6.0249546672866865</v>
      </c>
      <c r="AV147" s="21">
        <f>EXP(-LN(2)/25)*AV146+(1-EXP(-LN(2)/25))/(LN(2)/25)*Calculateur!AQ147*Calculateur!AS147*VLOOKUP('Données projet'!$B$10,Paramètres!$A$1:$I$89,3,0)*0.475*44/12</f>
        <v>0.60323398553283536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6.6281886528195217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110.21219780294564</v>
      </c>
      <c r="BJ147" s="59">
        <f t="shared" si="146"/>
        <v>310.34820112478593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5.27794498649991</v>
      </c>
      <c r="BQ147" s="21">
        <f>EXP(-LN(2)/25)*BQ146+(1-EXP(-LN(2)/25))/(LN(2)/25)*Calculateur!BL147*Calculateur!BN147*VLOOKUP('Données projet'!$B$11,Paramètres!$A$1:$I$89,3,0)*0.475*44/12</f>
        <v>0.51603106677020771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5.7939760532701179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102.77795559500703</v>
      </c>
      <c r="CE147" s="59">
        <f t="shared" si="148"/>
        <v>288.83946957374047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4.8799360203048359</v>
      </c>
      <c r="CL147" s="21">
        <f>EXP(-LN(2)/25)*CL146+(1-EXP(-LN(2)/25))/(LN(2)/25)*Calculateur!CG147*Calculateur!CI147*VLOOKUP('Données projet'!$B$12,Paramètres!$A$1:$I$89,3,0)*0.475*44/12</f>
        <v>0.47711724862032284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5.3570532689251591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6">
        <f t="shared" si="110"/>
        <v>256.66666666666669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134.64362224914908</v>
      </c>
      <c r="T148" s="59">
        <f t="shared" si="142"/>
        <v>312.46749071109713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5.4613774841837106</v>
      </c>
      <c r="AA148" s="21">
        <f>EXP(-LN(2)/25)*AA147+(1-EXP(-LN(2)/25))/(LN(2)/25)*Calculateur!V148*Calculateur!X148*VLOOKUP('Données projet'!$B$9,Paramètres!$A$1:$I$89,3,0)*0.475*44/12</f>
        <v>0.54249266483331138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6.0038701490170219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144.46767095844729</v>
      </c>
      <c r="AO148" s="59">
        <f t="shared" si="144"/>
        <v>335.56739599097097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5.9068089811206796</v>
      </c>
      <c r="AV148" s="21">
        <f>EXP(-LN(2)/25)*AV147+(1-EXP(-LN(2)/25))/(LN(2)/25)*Calculateur!AQ148*Calculateur!AS148*VLOOKUP('Données projet'!$B$10,Paramètres!$A$1:$I$89,3,0)*0.475*44/12</f>
        <v>0.58673852047574337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6.4935475015964226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110.21219780294564</v>
      </c>
      <c r="BJ148" s="59">
        <f t="shared" si="146"/>
        <v>310.34820112478593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5.1744477045432165</v>
      </c>
      <c r="BQ148" s="21">
        <f>EXP(-LN(2)/25)*BQ147+(1-EXP(-LN(2)/25))/(LN(2)/25)*Calculateur!BL148*Calculateur!BN148*VLOOKUP('Données projet'!$B$11,Paramètres!$A$1:$I$89,3,0)*0.475*44/12</f>
        <v>0.50192017011248202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5.676367874655698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102.77795559500703</v>
      </c>
      <c r="CE148" s="59">
        <f t="shared" si="148"/>
        <v>288.83946957374047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4.7842434514137286</v>
      </c>
      <c r="CL148" s="21">
        <f>EXP(-LN(2)/25)*CL147+(1-EXP(-LN(2)/25))/(LN(2)/25)*Calculateur!CG148*Calculateur!CI148*VLOOKUP('Données projet'!$B$12,Paramètres!$A$1:$I$89,3,0)*0.475*44/12</f>
        <v>0.46407045236629446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5.2483139037800228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6">
        <f t="shared" si="110"/>
        <v>256.66666666666669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134.64362224914908</v>
      </c>
      <c r="T149" s="59">
        <f t="shared" si="142"/>
        <v>312.46749071109713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5.3542832028302136</v>
      </c>
      <c r="AA149" s="21">
        <f>EXP(-LN(2)/25)*AA148+(1-EXP(-LN(2)/25))/(LN(2)/25)*Calculateur!V149*Calculateur!X149*VLOOKUP('Données projet'!$B$9,Paramètres!$A$1:$I$89,3,0)*0.475*44/12</f>
        <v>0.52765817438499507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5.8819413772152087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144.46767095844729</v>
      </c>
      <c r="AO149" s="59">
        <f t="shared" si="144"/>
        <v>335.56739599097097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5.7909800597986347</v>
      </c>
      <c r="AV149" s="21">
        <f>EXP(-LN(2)/25)*AV148+(1-EXP(-LN(2)/25))/(LN(2)/25)*Calculateur!AQ149*Calculateur!AS149*VLOOKUP('Données projet'!$B$10,Paramètres!$A$1:$I$89,3,0)*0.475*44/12</f>
        <v>0.57069412477809633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6.3616741845767315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110.21219780294564</v>
      </c>
      <c r="BJ149" s="59">
        <f t="shared" si="146"/>
        <v>310.34820112478593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5.072979941158585</v>
      </c>
      <c r="BQ149" s="21">
        <f>EXP(-LN(2)/25)*BQ148+(1-EXP(-LN(2)/25))/(LN(2)/25)*Calculateur!BL149*Calculateur!BN149*VLOOKUP('Données projet'!$B$11,Paramètres!$A$1:$I$89,3,0)*0.475*44/12</f>
        <v>0.48819513666592163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5.5611750778245064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102.77795559500703</v>
      </c>
      <c r="CE149" s="59">
        <f t="shared" si="148"/>
        <v>288.83946957374047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4.6904273554318721</v>
      </c>
      <c r="CL149" s="21">
        <f>EXP(-LN(2)/25)*CL148+(1-EXP(-LN(2)/25))/(LN(2)/25)*Calculateur!CG149*Calculateur!CI149*VLOOKUP('Données projet'!$B$12,Paramètres!$A$1:$I$89,3,0)*0.475*44/12</f>
        <v>0.45138042144193369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5.1418077768738062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6">
        <f t="shared" si="110"/>
        <v>256.66666666666669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134.64362224914908</v>
      </c>
      <c r="T150" s="59">
        <f t="shared" si="142"/>
        <v>312.46749071109713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5.2492889750129965</v>
      </c>
      <c r="AA150" s="21">
        <f>EXP(-LN(2)/25)*AA149+(1-EXP(-LN(2)/25))/(LN(2)/25)*Calculateur!V150*Calculateur!X150*VLOOKUP('Données projet'!$B$9,Paramètres!$A$1:$I$89,3,0)*0.475*44/12</f>
        <v>0.51322933385809999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5.7625183088710967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144.46767095844729</v>
      </c>
      <c r="AO150" s="59">
        <f t="shared" si="144"/>
        <v>335.56739599097097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5.6774224729750493</v>
      </c>
      <c r="AV150" s="21">
        <f>EXP(-LN(2)/25)*AV149+(1-EXP(-LN(2)/25))/(LN(2)/25)*Calculateur!AQ150*Calculateur!AS150*VLOOKUP('Données projet'!$B$10,Paramètres!$A$1:$I$89,3,0)*0.475*44/12</f>
        <v>0.55508846392453959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6.2325109368995886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110.21219780294564</v>
      </c>
      <c r="BJ150" s="59">
        <f t="shared" si="146"/>
        <v>310.34820112478593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4.9735018987247015</v>
      </c>
      <c r="BQ150" s="21">
        <f>EXP(-LN(2)/25)*BQ149+(1-EXP(-LN(2)/25))/(LN(2)/25)*Calculateur!BL150*Calculateur!BN150*VLOOKUP('Données projet'!$B$11,Paramètres!$A$1:$I$89,3,0)*0.475*44/12</f>
        <v>0.47484541498072552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5.448347313705427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102.77795559500703</v>
      </c>
      <c r="CE150" s="59">
        <f t="shared" si="148"/>
        <v>288.83946957374047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4.5984509358700514</v>
      </c>
      <c r="CL150" s="21">
        <f>EXP(-LN(2)/25)*CL149+(1-EXP(-LN(2)/25))/(LN(2)/25)*Calculateur!CG150*Calculateur!CI150*VLOOKUP('Données projet'!$B$12,Paramètres!$A$1:$I$89,3,0)*0.475*44/12</f>
        <v>0.43903740008053926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5.0374883359505906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6">
        <f t="shared" si="110"/>
        <v>256.66666666666669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134.64362224914908</v>
      </c>
      <c r="T151" s="59">
        <f t="shared" si="142"/>
        <v>312.46749071109713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5.1463536199631195</v>
      </c>
      <c r="AA151" s="21">
        <f>EXP(-LN(2)/25)*AA150+(1-EXP(-LN(2)/25))/(LN(2)/25)*Calculateur!V151*Calculateur!X151*VLOOKUP('Données projet'!$B$9,Paramètres!$A$1:$I$89,3,0)*0.475*44/12</f>
        <v>0.49919505073419257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5.6455486706973117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144.46767095844729</v>
      </c>
      <c r="AO151" s="59">
        <f t="shared" si="144"/>
        <v>335.56739599097097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5.5660916811657852</v>
      </c>
      <c r="AV151" s="21">
        <f>EXP(-LN(2)/25)*AV150+(1-EXP(-LN(2)/25))/(LN(2)/25)*Calculateur!AQ151*Calculateur!AS151*VLOOKUP('Données projet'!$B$10,Paramètres!$A$1:$I$89,3,0)*0.475*44/12</f>
        <v>0.53990954068768937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6.1060012218534743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110.21219780294564</v>
      </c>
      <c r="BJ151" s="59">
        <f t="shared" si="146"/>
        <v>310.34820112478593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4.8759745600273314</v>
      </c>
      <c r="BQ151" s="21">
        <f>EXP(-LN(2)/25)*BQ150+(1-EXP(-LN(2)/25))/(LN(2)/25)*Calculateur!BL151*Calculateur!BN151*VLOOKUP('Données projet'!$B$11,Paramètres!$A$1:$I$89,3,0)*0.475*44/12</f>
        <v>0.46186074213704248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5.3378353021643736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102.77795559500703</v>
      </c>
      <c r="CE151" s="59">
        <f t="shared" si="148"/>
        <v>288.83946957374047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4.5082781177957614</v>
      </c>
      <c r="CL151" s="21">
        <f>EXP(-LN(2)/25)*CL150+(1-EXP(-LN(2)/25))/(LN(2)/25)*Calculateur!CG151*Calculateur!CI151*VLOOKUP('Données projet'!$B$12,Paramètres!$A$1:$I$89,3,0)*0.475*44/12</f>
        <v>0.42703189928736346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4.9353100170831246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6">
        <f t="shared" si="110"/>
        <v>256.66666666666669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134.64362224914908</v>
      </c>
      <c r="T152" s="59">
        <f t="shared" si="142"/>
        <v>312.46749071109713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5.045436764441404</v>
      </c>
      <c r="AA152" s="21">
        <f>EXP(-LN(2)/25)*AA151+(1-EXP(-LN(2)/25))/(LN(2)/25)*Calculateur!V152*Calculateur!X152*VLOOKUP('Données projet'!$B$9,Paramètres!$A$1:$I$89,3,0)*0.475*44/12</f>
        <v>0.4855445358203393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5.5309813002617432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144.46767095844729</v>
      </c>
      <c r="AO152" s="59">
        <f t="shared" si="144"/>
        <v>335.56739599097097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5.4569440182788229</v>
      </c>
      <c r="AV152" s="21">
        <f>EXP(-LN(2)/25)*AV151+(1-EXP(-LN(2)/25))/(LN(2)/25)*Calculateur!AQ152*Calculateur!AS152*VLOOKUP('Données projet'!$B$10,Paramètres!$A$1:$I$89,3,0)*0.475*44/12</f>
        <v>0.52514568590497579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5.9820897041837986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110.21219780294564</v>
      </c>
      <c r="BJ152" s="59">
        <f t="shared" si="146"/>
        <v>310.34820112478593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4.7803596729560143</v>
      </c>
      <c r="BQ152" s="21">
        <f>EXP(-LN(2)/25)*BQ151+(1-EXP(-LN(2)/25))/(LN(2)/25)*Calculateur!BL152*Calculateur!BN152*VLOOKUP('Données projet'!$B$11,Paramètres!$A$1:$I$89,3,0)*0.475*44/12</f>
        <v>0.44923113585510421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5.2295908088111185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102.77795559500703</v>
      </c>
      <c r="CE152" s="59">
        <f t="shared" si="148"/>
        <v>288.83946957374047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4.4198735336839201</v>
      </c>
      <c r="CL152" s="21">
        <f>EXP(-LN(2)/25)*CL151+(1-EXP(-LN(2)/25))/(LN(2)/25)*Calculateur!CG152*Calculateur!CI152*VLOOKUP('Données projet'!$B$12,Paramètres!$A$1:$I$89,3,0)*0.475*44/12</f>
        <v>0.41535468954471894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4.835228223228639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6">
        <f t="shared" si="110"/>
        <v>256.66666666666669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134.64362224914908</v>
      </c>
      <c r="T153" s="59">
        <f t="shared" si="142"/>
        <v>312.46749071109713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4.946498826903265</v>
      </c>
      <c r="AA153" s="21">
        <f>EXP(-LN(2)/25)*AA152+(1-EXP(-LN(2)/25))/(LN(2)/25)*Calculateur!V153*Calculateur!X153*VLOOKUP('Données projet'!$B$9,Paramètres!$A$1:$I$89,3,0)*0.475*44/12</f>
        <v>0.47226729495465469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5.4187661218579199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144.46767095844729</v>
      </c>
      <c r="AO153" s="59">
        <f t="shared" si="144"/>
        <v>335.56739599097097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5.3499366744875738</v>
      </c>
      <c r="AV153" s="21">
        <f>EXP(-LN(2)/25)*AV152+(1-EXP(-LN(2)/25))/(LN(2)/25)*Calculateur!AQ153*Calculateur!AS153*VLOOKUP('Données projet'!$B$10,Paramètres!$A$1:$I$89,3,0)*0.475*44/12</f>
        <v>0.51078554950769284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5.8607222239952668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110.21219780294564</v>
      </c>
      <c r="BJ153" s="59">
        <f t="shared" si="146"/>
        <v>310.34820112478593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4.6866197355008428</v>
      </c>
      <c r="BQ153" s="21">
        <f>EXP(-LN(2)/25)*BQ152+(1-EXP(-LN(2)/25))/(LN(2)/25)*Calculateur!BL153*Calculateur!BN153*VLOOKUP('Données projet'!$B$11,Paramètres!$A$1:$I$89,3,0)*0.475*44/12</f>
        <v>0.43694688682110766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5.1235666223219507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102.77795559500703</v>
      </c>
      <c r="CE153" s="59">
        <f t="shared" si="148"/>
        <v>288.83946957374047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4.3332025095450399</v>
      </c>
      <c r="CL153" s="21">
        <f>EXP(-LN(2)/25)*CL152+(1-EXP(-LN(2)/25))/(LN(2)/25)*Calculateur!CG153*Calculateur!CI153*VLOOKUP('Données projet'!$B$12,Paramètres!$A$1:$I$89,3,0)*0.475*44/12</f>
        <v>0.40399679371656477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4.7371993032616047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6">
        <f t="shared" si="110"/>
        <v>256.66666666666669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134.64362224914908</v>
      </c>
      <c r="T154" s="59">
        <f t="shared" si="142"/>
        <v>312.46749071109713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4.8495010019740654</v>
      </c>
      <c r="AA154" s="21">
        <f>EXP(-LN(2)/25)*AA153+(1-EXP(-LN(2)/25))/(LN(2)/25)*Calculateur!V154*Calculateur!X154*VLOOKUP('Données projet'!$B$9,Paramètres!$A$1:$I$89,3,0)*0.475*44/12</f>
        <v>0.45935312093866199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5.3088541229127273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144.46767095844729</v>
      </c>
      <c r="AO154" s="59">
        <f t="shared" si="144"/>
        <v>335.56739599097097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5.2450276794400361</v>
      </c>
      <c r="AV154" s="21">
        <f>EXP(-LN(2)/25)*AV153+(1-EXP(-LN(2)/25))/(LN(2)/25)*Calculateur!AQ154*Calculateur!AS154*VLOOKUP('Données projet'!$B$10,Paramètres!$A$1:$I$89,3,0)*0.475*44/12</f>
        <v>0.49681809179536035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5.7418457712353961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110.21219780294564</v>
      </c>
      <c r="BJ154" s="59">
        <f t="shared" si="146"/>
        <v>310.34820112478593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4.5947179810434511</v>
      </c>
      <c r="BQ154" s="21">
        <f>EXP(-LN(2)/25)*BQ153+(1-EXP(-LN(2)/25))/(LN(2)/25)*Calculateur!BL154*Calculateur!BN154*VLOOKUP('Données projet'!$B$11,Paramètres!$A$1:$I$89,3,0)*0.475*44/12</f>
        <v>0.42499855122294633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5.019716532266397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102.77795559500703</v>
      </c>
      <c r="CE154" s="59">
        <f t="shared" si="148"/>
        <v>288.83946957374047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4.2482310513254191</v>
      </c>
      <c r="CL154" s="21">
        <f>EXP(-LN(2)/25)*CL153+(1-EXP(-LN(2)/25))/(LN(2)/25)*Calculateur!CG154*Calculateur!CI154*VLOOKUP('Données projet'!$B$12,Paramètres!$A$1:$I$89,3,0)*0.475*44/12</f>
        <v>0.39294948014711728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4.6411805314725365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6">
        <f t="shared" si="110"/>
        <v>256.66666666666669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134.64362224914908</v>
      </c>
      <c r="T155" s="59">
        <f t="shared" si="142"/>
        <v>312.46749071109713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4.7544052452288961</v>
      </c>
      <c r="AA155" s="21">
        <f>EXP(-LN(2)/25)*AA154+(1-EXP(-LN(2)/25))/(LN(2)/25)*Calculateur!V155*Calculateur!X155*VLOOKUP('Données projet'!$B$9,Paramètres!$A$1:$I$89,3,0)*0.475*44/12</f>
        <v>0.44679208569026352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5.2011973309191593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144.46767095844729</v>
      </c>
      <c r="AO155" s="59">
        <f t="shared" si="144"/>
        <v>335.56739599097097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5.1421758857972115</v>
      </c>
      <c r="AV155" s="21">
        <f>EXP(-LN(2)/25)*AV154+(1-EXP(-LN(2)/25))/(LN(2)/25)*Calculateur!AQ155*Calculateur!AS155*VLOOKUP('Données projet'!$B$10,Paramètres!$A$1:$I$89,3,0)*0.475*44/12</f>
        <v>0.48323257494868826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5.6254084607458994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110.21219780294564</v>
      </c>
      <c r="BJ155" s="59">
        <f t="shared" si="146"/>
        <v>310.34820112478593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4.5046183639364337</v>
      </c>
      <c r="BQ155" s="21">
        <f>EXP(-LN(2)/25)*BQ154+(1-EXP(-LN(2)/25))/(LN(2)/25)*Calculateur!BL155*Calculateur!BN155*VLOOKUP('Données projet'!$B$11,Paramètres!$A$1:$I$89,3,0)*0.475*44/12</f>
        <v>0.41337694349005238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4.9179953074264864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102.77795559500703</v>
      </c>
      <c r="CE155" s="59">
        <f t="shared" si="148"/>
        <v>288.83946957374047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4.1649258315740125</v>
      </c>
      <c r="CL155" s="21">
        <f>EXP(-LN(2)/25)*CL154+(1-EXP(-LN(2)/25))/(LN(2)/25)*Calculateur!CG155*Calculateur!CI155*VLOOKUP('Données projet'!$B$12,Paramètres!$A$1:$I$89,3,0)*0.475*44/12</f>
        <v>0.38220425594817931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4.5471300875221914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6">
        <f t="shared" si="110"/>
        <v>256.66666666666669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134.64362224914908</v>
      </c>
      <c r="T156" s="59">
        <f t="shared" si="142"/>
        <v>312.46749071109713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4.6611742582708153</v>
      </c>
      <c r="AA156" s="21">
        <f>EXP(-LN(2)/25)*AA155+(1-EXP(-LN(2)/25))/(LN(2)/25)*Calculateur!V156*Calculateur!X156*VLOOKUP('Données projet'!$B$9,Paramètres!$A$1:$I$89,3,0)*0.475*44/12</f>
        <v>0.43457453261128864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5.0957487908821042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144.46767095844729</v>
      </c>
      <c r="AO156" s="59">
        <f t="shared" si="144"/>
        <v>335.56739599097097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5.0413409530943234</v>
      </c>
      <c r="AV156" s="21">
        <f>EXP(-LN(2)/25)*AV155+(1-EXP(-LN(2)/25))/(LN(2)/25)*Calculateur!AQ156*Calculateur!AS156*VLOOKUP('Données projet'!$B$10,Paramètres!$A$1:$I$89,3,0)*0.475*44/12</f>
        <v>0.47001855477461973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5.511359507868943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110.21219780294564</v>
      </c>
      <c r="BJ156" s="59">
        <f t="shared" si="146"/>
        <v>310.34820112478593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4.416285545365545</v>
      </c>
      <c r="BQ156" s="21">
        <f>EXP(-LN(2)/25)*BQ155+(1-EXP(-LN(2)/25))/(LN(2)/25)*Calculateur!BL156*Calculateur!BN156*VLOOKUP('Données projet'!$B$11,Paramètres!$A$1:$I$89,3,0)*0.475*44/12</f>
        <v>0.40207312923176824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4.818358674597313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102.77795559500703</v>
      </c>
      <c r="CE156" s="59">
        <f t="shared" si="148"/>
        <v>288.83946957374047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4.0832541763707644</v>
      </c>
      <c r="CL156" s="21">
        <f>EXP(-LN(2)/25)*CL155+(1-EXP(-LN(2)/25))/(LN(2)/25)*Calculateur!CG156*Calculateur!CI156*VLOOKUP('Données projet'!$B$12,Paramètres!$A$1:$I$89,3,0)*0.475*44/12</f>
        <v>0.37175286047002803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4.4550070368407928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6">
        <f t="shared" si="110"/>
        <v>256.66666666666669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134.64362224914908</v>
      </c>
      <c r="T157" s="59">
        <f t="shared" si="142"/>
        <v>312.46749071109713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4.5697714741016959</v>
      </c>
      <c r="AA157" s="21">
        <f>EXP(-LN(2)/25)*AA156+(1-EXP(-LN(2)/25))/(LN(2)/25)*Calculateur!V157*Calculateur!X157*VLOOKUP('Données projet'!$B$9,Paramètres!$A$1:$I$89,3,0)*0.475*44/12</f>
        <v>0.42269106916375154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4.9924625432654475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144.46767095844729</v>
      </c>
      <c r="AO157" s="59">
        <f t="shared" si="144"/>
        <v>335.56739599097097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4.9424833319185026</v>
      </c>
      <c r="AV157" s="21">
        <f>EXP(-LN(2)/25)*AV156+(1-EXP(-LN(2)/25))/(LN(2)/25)*Calculateur!AQ157*Calculateur!AS157*VLOOKUP('Données projet'!$B$10,Paramètres!$A$1:$I$89,3,0)*0.475*44/12</f>
        <v>0.45716587267710618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5.399649204595609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110.21219780294564</v>
      </c>
      <c r="BJ157" s="59">
        <f t="shared" si="146"/>
        <v>310.34820112478593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4.3296848794891316</v>
      </c>
      <c r="BQ157" s="21">
        <f>EXP(-LN(2)/25)*BQ156+(1-EXP(-LN(2)/25))/(LN(2)/25)*Calculateur!BL157*Calculateur!BN157*VLOOKUP('Données projet'!$B$11,Paramètres!$A$1:$I$89,3,0)*0.475*44/12</f>
        <v>0.39107841836881863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4.7207632978579506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102.77795559500703</v>
      </c>
      <c r="CE157" s="59">
        <f t="shared" si="148"/>
        <v>288.83946957374047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4.0031840525112612</v>
      </c>
      <c r="CL157" s="21">
        <f>EXP(-LN(2)/25)*CL156+(1-EXP(-LN(2)/25))/(LN(2)/25)*Calculateur!CG157*Calculateur!CI157*VLOOKUP('Données projet'!$B$12,Paramètres!$A$1:$I$89,3,0)*0.475*44/12</f>
        <v>0.36158725895084182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4.3647713114621034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6">
        <f t="shared" si="110"/>
        <v>256.66666666666669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134.64362224914908</v>
      </c>
      <c r="T158" s="59">
        <f t="shared" si="142"/>
        <v>312.46749071109713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4.4801610427799394</v>
      </c>
      <c r="AA158" s="21">
        <f>EXP(-LN(2)/25)*AA157+(1-EXP(-LN(2)/25))/(LN(2)/25)*Calculateur!V158*Calculateur!X158*VLOOKUP('Données projet'!$B$9,Paramètres!$A$1:$I$89,3,0)*0.475*44/12</f>
        <v>0.4111325596491115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4.8912936024290508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144.46767095844729</v>
      </c>
      <c r="AO158" s="59">
        <f t="shared" si="144"/>
        <v>335.56739599097097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4.8455642483967445</v>
      </c>
      <c r="AV158" s="21">
        <f>EXP(-LN(2)/25)*AV157+(1-EXP(-LN(2)/25))/(LN(2)/25)*Calculateur!AQ158*Calculateur!AS158*VLOOKUP('Données projet'!$B$10,Paramètres!$A$1:$I$89,3,0)*0.475*44/12</f>
        <v>0.44466464784744231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5.2902288962441872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110.21219780294564</v>
      </c>
      <c r="BJ158" s="59">
        <f t="shared" si="146"/>
        <v>310.34820112478593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4.2447823998493641</v>
      </c>
      <c r="BQ158" s="21">
        <f>EXP(-LN(2)/25)*BQ157+(1-EXP(-LN(2)/25))/(LN(2)/25)*Calculateur!BL158*Calculateur!BN158*VLOOKUP('Données projet'!$B$11,Paramètres!$A$1:$I$89,3,0)*0.475*44/12</f>
        <v>0.3803843584526031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4.6251667583019671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102.77795559500703</v>
      </c>
      <c r="CE158" s="59">
        <f t="shared" si="148"/>
        <v>288.83946957374047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3.9246840549426896</v>
      </c>
      <c r="CL158" s="21">
        <f>EXP(-LN(2)/25)*CL157+(1-EXP(-LN(2)/25))/(LN(2)/25)*Calculateur!CG158*Calculateur!CI158*VLOOKUP('Données projet'!$B$12,Paramètres!$A$1:$I$89,3,0)*0.475*44/12</f>
        <v>0.35169963633978352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4.2763836912824731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6">
        <f t="shared" si="110"/>
        <v>256.66666666666669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134.64362224914908</v>
      </c>
      <c r="T159" s="59">
        <f t="shared" si="142"/>
        <v>312.46749071109713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4.3923078173594359</v>
      </c>
      <c r="AA159" s="21">
        <f>EXP(-LN(2)/25)*AA158+(1-EXP(-LN(2)/25))/(LN(2)/25)*Calculateur!V159*Calculateur!X159*VLOOKUP('Données projet'!$B$9,Paramètres!$A$1:$I$89,3,0)*0.475*44/12</f>
        <v>0.39989011818498488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4.7921979355444204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144.46767095844729</v>
      </c>
      <c r="AO159" s="59">
        <f t="shared" si="144"/>
        <v>335.56739599097097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4.7505456889880442</v>
      </c>
      <c r="AV159" s="21">
        <f>EXP(-LN(2)/25)*AV158+(1-EXP(-LN(2)/25))/(LN(2)/25)*Calculateur!AQ159*Calculateur!AS159*VLOOKUP('Données projet'!$B$10,Paramètres!$A$1:$I$89,3,0)*0.475*44/12</f>
        <v>0.43250526966815644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5.1830509586562004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110.21219780294564</v>
      </c>
      <c r="BJ159" s="59">
        <f t="shared" si="146"/>
        <v>310.34820112478593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4.1615448060499336</v>
      </c>
      <c r="BQ159" s="21">
        <f>EXP(-LN(2)/25)*BQ158+(1-EXP(-LN(2)/25))/(LN(2)/25)*Calculateur!BL159*Calculateur!BN159*VLOOKUP('Données projet'!$B$11,Paramètres!$A$1:$I$89,3,0)*0.475*44/12</f>
        <v>0.36998272816717265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4.5315275342171066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102.77795559500703</v>
      </c>
      <c r="CE159" s="59">
        <f t="shared" si="148"/>
        <v>288.83946957374047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3.8477233944461666</v>
      </c>
      <c r="CL159" s="21">
        <f>EXP(-LN(2)/25)*CL158+(1-EXP(-LN(2)/25))/(LN(2)/25)*Calculateur!CG159*Calculateur!CI159*VLOOKUP('Données projet'!$B$12,Paramètres!$A$1:$I$89,3,0)*0.475*44/12</f>
        <v>0.34208239128899209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4.1898057857351585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6">
        <f t="shared" si="110"/>
        <v>256.66666666666669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134.64362224914908</v>
      </c>
      <c r="T160" s="59">
        <f t="shared" si="142"/>
        <v>312.46749071109713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4.3061773401042522</v>
      </c>
      <c r="AA160" s="21">
        <f>EXP(-LN(2)/25)*AA159+(1-EXP(-LN(2)/25))/(LN(2)/25)*Calculateur!V160*Calculateur!X160*VLOOKUP('Données projet'!$B$9,Paramètres!$A$1:$I$89,3,0)*0.475*44/12</f>
        <v>0.38895510187390914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4.6951324419781617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144.46767095844729</v>
      </c>
      <c r="AO160" s="59">
        <f t="shared" si="144"/>
        <v>335.56739599097097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4.6573903855737502</v>
      </c>
      <c r="AV160" s="21">
        <f>EXP(-LN(2)/25)*AV159+(1-EXP(-LN(2)/25))/(LN(2)/25)*Calculateur!AQ160*Calculateur!AS160*VLOOKUP('Données projet'!$B$10,Paramètres!$A$1:$I$89,3,0)*0.475*44/12</f>
        <v>0.42067839032461707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5.0780687758983669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110.21219780294564</v>
      </c>
      <c r="BJ160" s="59">
        <f t="shared" si="146"/>
        <v>310.34820112478593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4.0799394506949902</v>
      </c>
      <c r="BQ160" s="21">
        <f>EXP(-LN(2)/25)*BQ159+(1-EXP(-LN(2)/25))/(LN(2)/25)*Calculateur!BL160*Calculateur!BN160*VLOOKUP('Données projet'!$B$11,Paramètres!$A$1:$I$89,3,0)*0.475*44/12</f>
        <v>0.35986553100889523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4.4398049817038858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102.77795559500703</v>
      </c>
      <c r="CE160" s="59">
        <f t="shared" si="148"/>
        <v>288.83946957374047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3.7722718855606128</v>
      </c>
      <c r="CL160" s="21">
        <f>EXP(-LN(2)/25)*CL159+(1-EXP(-LN(2)/25))/(LN(2)/25)*Calculateur!CG160*Calculateur!CI160*VLOOKUP('Données projet'!$B$12,Paramètres!$A$1:$I$89,3,0)*0.475*44/12</f>
        <v>0.33272813030986348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4.105000015870476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6">
        <f t="shared" si="110"/>
        <v>256.66666666666669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134.64362224914908</v>
      </c>
      <c r="T161" s="59">
        <f t="shared" si="142"/>
        <v>312.46749071109713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4.2217358289736389</v>
      </c>
      <c r="AA161" s="21">
        <f>EXP(-LN(2)/25)*AA160+(1-EXP(-LN(2)/25))/(LN(2)/25)*Calculateur!V161*Calculateur!X161*VLOOKUP('Données projet'!$B$9,Paramètres!$A$1:$I$89,3,0)*0.475*44/12</f>
        <v>0.37831910415890724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4.6000549331325464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144.46767095844729</v>
      </c>
      <c r="AO161" s="59">
        <f t="shared" si="144"/>
        <v>335.56739599097097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4.566061800840286</v>
      </c>
      <c r="AV161" s="21">
        <f>EXP(-LN(2)/25)*AV160+(1-EXP(-LN(2)/25))/(LN(2)/25)*Calculateur!AQ161*Calculateur!AS161*VLOOKUP('Données projet'!$B$10,Paramètres!$A$1:$I$89,3,0)*0.475*44/12</f>
        <v>0.40917491761867536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4.9752367184589614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110.21219780294564</v>
      </c>
      <c r="BJ161" s="59">
        <f t="shared" si="146"/>
        <v>310.34820112478593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3.9999343265842056</v>
      </c>
      <c r="BQ161" s="21">
        <f>EXP(-LN(2)/25)*BQ160+(1-EXP(-LN(2)/25))/(LN(2)/25)*Calculateur!BL161*Calculateur!BN161*VLOOKUP('Données projet'!$B$11,Paramètres!$A$1:$I$89,3,0)*0.475*44/12</f>
        <v>0.35002498913895119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4.3499593157231571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102.77795559500703</v>
      </c>
      <c r="CE161" s="59">
        <f t="shared" si="148"/>
        <v>288.83946957374047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3.6982999347434284</v>
      </c>
      <c r="CL161" s="21">
        <f>EXP(-LN(2)/25)*CL160+(1-EXP(-LN(2)/25))/(LN(2)/25)*Calculateur!CG161*Calculateur!CI161*VLOOKUP('Données projet'!$B$12,Paramètres!$A$1:$I$89,3,0)*0.475*44/12</f>
        <v>0.32362966208912836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4.0219295968325568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6">
        <f t="shared" si="110"/>
        <v>256.66666666666669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134.64362224914908</v>
      </c>
      <c r="T162" s="59">
        <f t="shared" si="142"/>
        <v>312.46749071109713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4.1389501643720612</v>
      </c>
      <c r="AA162" s="21">
        <f>EXP(-LN(2)/25)*AA161+(1-EXP(-LN(2)/25))/(LN(2)/25)*Calculateur!V162*Calculateur!X162*VLOOKUP('Données projet'!$B$9,Paramètres!$A$1:$I$89,3,0)*0.475*44/12</f>
        <v>0.36797394836074487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4.5069241127328059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144.46767095844729</v>
      </c>
      <c r="AO162" s="59">
        <f t="shared" si="144"/>
        <v>335.56739599097097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4.4765241139485088</v>
      </c>
      <c r="AV162" s="21">
        <f>EXP(-LN(2)/25)*AV161+(1-EXP(-LN(2)/25))/(LN(2)/25)*Calculateur!AQ162*Calculateur!AS162*VLOOKUP('Données projet'!$B$10,Paramètres!$A$1:$I$89,3,0)*0.475*44/12</f>
        <v>0.39798600797881895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4.8745101219273277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110.21219780294564</v>
      </c>
      <c r="BJ162" s="59">
        <f t="shared" si="146"/>
        <v>310.34820112478593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3.9214980541589264</v>
      </c>
      <c r="BQ162" s="21">
        <f>EXP(-LN(2)/25)*BQ161+(1-EXP(-LN(2)/25))/(LN(2)/25)*Calculateur!BL162*Calculateur!BN162*VLOOKUP('Données projet'!$B$11,Paramètres!$A$1:$I$89,3,0)*0.475*44/12</f>
        <v>0.34045353740393236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4.261951591562859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102.77795559500703</v>
      </c>
      <c r="CE162" s="59">
        <f t="shared" si="148"/>
        <v>288.83946957374047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3.625778528763334</v>
      </c>
      <c r="CL162" s="21">
        <f>EXP(-LN(2)/25)*CL161+(1-EXP(-LN(2)/25))/(LN(2)/25)*Calculateur!CG162*Calculateur!CI162*VLOOKUP('Données projet'!$B$12,Paramètres!$A$1:$I$89,3,0)*0.475*44/12</f>
        <v>0.31477999196035689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3.9405585207236911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6">
        <f t="shared" si="110"/>
        <v>256.66666666666669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134.64362224914908</v>
      </c>
      <c r="T163" s="59">
        <f t="shared" si="142"/>
        <v>312.46749071109713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4.0577878761590505</v>
      </c>
      <c r="AA163" s="21">
        <f>EXP(-LN(2)/25)*AA162+(1-EXP(-LN(2)/25))/(LN(2)/25)*Calculateur!V163*Calculateur!X163*VLOOKUP('Données projet'!$B$9,Paramètres!$A$1:$I$89,3,0)*0.475*44/12</f>
        <v>0.35791168139191137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4.4156995575509619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144.46767095844729</v>
      </c>
      <c r="AO163" s="59">
        <f t="shared" si="144"/>
        <v>335.56739599097097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4.3887422064840829</v>
      </c>
      <c r="AV163" s="21">
        <f>EXP(-LN(2)/25)*AV162+(1-EXP(-LN(2)/25))/(LN(2)/25)*Calculateur!AQ163*Calculateur!AS163*VLOOKUP('Données projet'!$B$10,Paramètres!$A$1:$I$89,3,0)*0.475*44/12</f>
        <v>0.38710305966146358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4.7758452661455468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110.21219780294564</v>
      </c>
      <c r="BJ163" s="59">
        <f t="shared" si="146"/>
        <v>310.34820112478593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3.8445998691945045</v>
      </c>
      <c r="BQ163" s="21">
        <f>EXP(-LN(2)/25)*BQ162+(1-EXP(-LN(2)/25))/(LN(2)/25)*Calculateur!BL163*Calculateur!BN163*VLOOKUP('Données projet'!$B$11,Paramètres!$A$1:$I$89,3,0)*0.475*44/12</f>
        <v>0.33114381751994842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4.1757436867144531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102.77795559500703</v>
      </c>
      <c r="CE163" s="59">
        <f t="shared" si="148"/>
        <v>288.83946957374047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3.5546792233208193</v>
      </c>
      <c r="CL163" s="21">
        <f>EXP(-LN(2)/25)*CL162+(1-EXP(-LN(2)/25))/(LN(2)/25)*Calculateur!CG163*Calculateur!CI163*VLOOKUP('Données projet'!$B$12,Paramètres!$A$1:$I$89,3,0)*0.475*44/12</f>
        <v>0.30617231652664056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3.8608515398474599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6">
        <f t="shared" si="110"/>
        <v>256.66666666666669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134.64362224914908</v>
      </c>
      <c r="T164" s="59">
        <f t="shared" si="142"/>
        <v>312.46749071109713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3.9782171309137895</v>
      </c>
      <c r="AA164" s="21">
        <f>EXP(-LN(2)/25)*AA163+(1-EXP(-LN(2)/25))/(LN(2)/25)*Calculateur!V164*Calculateur!X164*VLOOKUP('Données projet'!$B$9,Paramètres!$A$1:$I$89,3,0)*0.475*44/12</f>
        <v>0.34812456764249228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4.3263416985562815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144.46767095844729</v>
      </c>
      <c r="AO164" s="59">
        <f t="shared" si="144"/>
        <v>335.56739599097097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4.3026816486833575</v>
      </c>
      <c r="AV164" s="21">
        <f>EXP(-LN(2)/25)*AV163+(1-EXP(-LN(2)/25))/(LN(2)/25)*Calculateur!AQ164*Calculateur!AS164*VLOOKUP('Données projet'!$B$10,Paramètres!$A$1:$I$89,3,0)*0.475*44/12</f>
        <v>0.37651770613815566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4.6791993548215132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110.21219780294564</v>
      </c>
      <c r="BJ164" s="59">
        <f t="shared" si="146"/>
        <v>310.34820112478593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3.7692096107339736</v>
      </c>
      <c r="BQ164" s="21">
        <f>EXP(-LN(2)/25)*BQ163+(1-EXP(-LN(2)/25))/(LN(2)/25)*Calculateur!BL164*Calculateur!BN164*VLOOKUP('Données projet'!$B$11,Paramètres!$A$1:$I$89,3,0)*0.475*44/12</f>
        <v>0.32208867241576888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4.0912982831497429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102.77795559500703</v>
      </c>
      <c r="CE164" s="59">
        <f t="shared" si="148"/>
        <v>288.83946957374047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3.4849741318917382</v>
      </c>
      <c r="CL164" s="21">
        <f>EXP(-LN(2)/25)*CL163+(1-EXP(-LN(2)/25))/(LN(2)/25)*Calculateur!CG164*Calculateur!CI164*VLOOKUP('Données projet'!$B$12,Paramètres!$A$1:$I$89,3,0)*0.475*44/12</f>
        <v>0.29780001843031723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3.7827741503220556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6">
        <f t="shared" si="110"/>
        <v>256.66666666666669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134.64362224914908</v>
      </c>
      <c r="T165" s="59">
        <f t="shared" si="142"/>
        <v>312.46749071109713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3.9002067194494257</v>
      </c>
      <c r="AA165" s="21">
        <f>EXP(-LN(2)/25)*AA164+(1-EXP(-LN(2)/25))/(LN(2)/25)*Calculateur!V165*Calculateur!X165*VLOOKUP('Données projet'!$B$9,Paramètres!$A$1:$I$89,3,0)*0.475*44/12</f>
        <v>0.33860508303323295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4.2388118024826582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144.46767095844729</v>
      </c>
      <c r="AO165" s="59">
        <f t="shared" si="144"/>
        <v>335.56739599097097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4.2183086859293466</v>
      </c>
      <c r="AV165" s="21">
        <f>EXP(-LN(2)/25)*AV164+(1-EXP(-LN(2)/25))/(LN(2)/25)*Calculateur!AQ165*Calculateur!AS165*VLOOKUP('Données projet'!$B$10,Paramètres!$A$1:$I$89,3,0)*0.475*44/12</f>
        <v>0.36622180966360218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4.5845304955929489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110.21219780294564</v>
      </c>
      <c r="BJ165" s="59">
        <f t="shared" si="146"/>
        <v>310.34820112478593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3.6952977092583366</v>
      </c>
      <c r="BQ165" s="21">
        <f>EXP(-LN(2)/25)*BQ164+(1-EXP(-LN(2)/25))/(LN(2)/25)*Calculateur!BL165*Calculateur!BN165*VLOOKUP('Données projet'!$B$11,Paramètres!$A$1:$I$89,3,0)*0.475*44/12</f>
        <v>0.31328114073065255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4.0085788499889894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102.77795559500703</v>
      </c>
      <c r="CE165" s="59">
        <f t="shared" si="148"/>
        <v>288.83946957374047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3.4166359147896737</v>
      </c>
      <c r="CL165" s="21">
        <f>EXP(-LN(2)/25)*CL164+(1-EXP(-LN(2)/25))/(LN(2)/25)*Calculateur!CG165*Calculateur!CI165*VLOOKUP('Données projet'!$B$12,Paramètres!$A$1:$I$89,3,0)*0.475*44/12</f>
        <v>0.28965666126571787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3.7062925760553913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6">
        <f t="shared" si="110"/>
        <v>256.66666666666669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134.64362224914908</v>
      </c>
      <c r="T166" s="59">
        <f t="shared" si="142"/>
        <v>312.46749071109713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3.8237260445722252</v>
      </c>
      <c r="AA166" s="21">
        <f>EXP(-LN(2)/25)*AA165+(1-EXP(-LN(2)/25))/(LN(2)/25)*Calculateur!V166*Calculateur!X166*VLOOKUP('Données projet'!$B$9,Paramètres!$A$1:$I$89,3,0)*0.475*44/12</f>
        <v>0.32934590923122176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4.1530719538034466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144.46767095844729</v>
      </c>
      <c r="AO166" s="59">
        <f t="shared" si="144"/>
        <v>335.56739599097097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4.1355902255125168</v>
      </c>
      <c r="AV166" s="21">
        <f>EXP(-LN(2)/25)*AV165+(1-EXP(-LN(2)/25))/(LN(2)/25)*Calculateur!AQ166*Calculateur!AS166*VLOOKUP('Données projet'!$B$10,Paramètres!$A$1:$I$89,3,0)*0.475*44/12</f>
        <v>0.35620745501958301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4.4917976805321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110.21219780294564</v>
      </c>
      <c r="BJ166" s="59">
        <f t="shared" si="146"/>
        <v>310.34820112478593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3.6228351750888281</v>
      </c>
      <c r="BQ166" s="21">
        <f>EXP(-LN(2)/25)*BQ165+(1-EXP(-LN(2)/25))/(LN(2)/25)*Calculateur!BL166*Calculateur!BN166*VLOOKUP('Données projet'!$B$11,Paramètres!$A$1:$I$89,3,0)*0.475*44/12</f>
        <v>0.30471445146263371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3.9275496265514618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102.77795559500703</v>
      </c>
      <c r="CE166" s="59">
        <f t="shared" si="148"/>
        <v>288.83946957374047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3.349637768442784</v>
      </c>
      <c r="CL166" s="21">
        <f>EXP(-LN(2)/25)*CL165+(1-EXP(-LN(2)/25))/(LN(2)/25)*Calculateur!CG166*Calculateur!CI166*VLOOKUP('Données projet'!$B$12,Paramètres!$A$1:$I$89,3,0)*0.475*44/12</f>
        <v>0.281735984631025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3.6313737530738091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6">
        <f t="shared" si="110"/>
        <v>256.66666666666669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134.64362224914908</v>
      </c>
      <c r="T167" s="59">
        <f t="shared" si="142"/>
        <v>312.46749071109713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3.7487451090807613</v>
      </c>
      <c r="AA167" s="21">
        <f>EXP(-LN(2)/25)*AA166+(1-EXP(-LN(2)/25))/(LN(2)/25)*Calculateur!V167*Calculateur!X167*VLOOKUP('Données projet'!$B$9,Paramètres!$A$1:$I$89,3,0)*0.475*44/12</f>
        <v>0.32033992802374534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4.0690850371045064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144.46767095844729</v>
      </c>
      <c r="AO167" s="59">
        <f t="shared" si="144"/>
        <v>335.56739599097097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4.0544938236511818</v>
      </c>
      <c r="AV167" s="21">
        <f>EXP(-LN(2)/25)*AV166+(1-EXP(-LN(2)/25))/(LN(2)/25)*Calculateur!AQ167*Calculateur!AS167*VLOOKUP('Données projet'!$B$10,Paramètres!$A$1:$I$89,3,0)*0.475*44/12</f>
        <v>0.34646694342993656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4.4009607670811182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110.21219780294564</v>
      </c>
      <c r="BJ167" s="59">
        <f t="shared" si="146"/>
        <v>310.34820112478593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3.551793587016602</v>
      </c>
      <c r="BQ167" s="21">
        <f>EXP(-LN(2)/25)*BQ166+(1-EXP(-LN(2)/25))/(LN(2)/25)*Calculateur!BL167*Calculateur!BN167*VLOOKUP('Données projet'!$B$11,Paramètres!$A$1:$I$89,3,0)*0.475*44/12</f>
        <v>0.2963820187631514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3.8481756057797534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102.77795559500703</v>
      </c>
      <c r="CE167" s="59">
        <f t="shared" si="148"/>
        <v>288.83946957374047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3.2839534148809228</v>
      </c>
      <c r="CL167" s="21">
        <f>EXP(-LN(2)/25)*CL166+(1-EXP(-LN(2)/25))/(LN(2)/25)*Calculateur!CG167*Calculateur!CI167*VLOOKUP('Données projet'!$B$12,Paramètres!$A$1:$I$89,3,0)*0.475*44/12</f>
        <v>0.27403189931543809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3.5579853141963609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6">
        <f t="shared" si="110"/>
        <v>256.66666666666669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134.64362224914908</v>
      </c>
      <c r="T168" s="59">
        <f t="shared" si="142"/>
        <v>312.46749071109713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3.6752345040004299</v>
      </c>
      <c r="AA168" s="21">
        <f>EXP(-LN(2)/25)*AA167+(1-EXP(-LN(2)/25))/(LN(2)/25)*Calculateur!V168*Calculateur!X168*VLOOKUP('Données projet'!$B$9,Paramètres!$A$1:$I$89,3,0)*0.475*44/12</f>
        <v>0.31158021584599133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3.9868147198464214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144.46767095844729</v>
      </c>
      <c r="AO168" s="59">
        <f t="shared" si="144"/>
        <v>335.56739599097097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3.9749876727664266</v>
      </c>
      <c r="AV168" s="21">
        <f>EXP(-LN(2)/25)*AV167+(1-EXP(-LN(2)/25))/(LN(2)/25)*Calculateur!AQ168*Calculateur!AS168*VLOOKUP('Données projet'!$B$10,Paramètres!$A$1:$I$89,3,0)*0.475*44/12</f>
        <v>0.33699278664194027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4.3119804594083666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110.21219780294564</v>
      </c>
      <c r="BJ168" s="59">
        <f t="shared" si="146"/>
        <v>310.34820112478593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3.482145081155382</v>
      </c>
      <c r="BQ168" s="21">
        <f>EXP(-LN(2)/25)*BQ167+(1-EXP(-LN(2)/25))/(LN(2)/25)*Calculateur!BL168*Calculateur!BN168*VLOOKUP('Données projet'!$B$11,Paramètres!$A$1:$I$89,3,0)*0.475*44/12</f>
        <v>0.28827743687402002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3.770422518029402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102.77795559500703</v>
      </c>
      <c r="CE168" s="59">
        <f t="shared" si="148"/>
        <v>288.83946957374047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3.2195570914289098</v>
      </c>
      <c r="CL168" s="21">
        <f>EXP(-LN(2)/25)*CL167+(1-EXP(-LN(2)/25))/(LN(2)/25)*Calculateur!CG168*Calculateur!CI168*VLOOKUP('Données projet'!$B$12,Paramètres!$A$1:$I$89,3,0)*0.475*44/12</f>
        <v>0.26653848261794616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3.486095574046856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6">
        <f t="shared" si="110"/>
        <v>256.66666666666669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134.64362224914908</v>
      </c>
      <c r="T169" s="59">
        <f t="shared" si="142"/>
        <v>312.46749071109713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3.6031653970486821</v>
      </c>
      <c r="AA169" s="21">
        <f>EXP(-LN(2)/25)*AA168+(1-EXP(-LN(2)/25))/(LN(2)/25)*Calculateur!V169*Calculateur!X169*VLOOKUP('Données projet'!$B$9,Paramètres!$A$1:$I$89,3,0)*0.475*44/12</f>
        <v>0.30306003845839125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3.9062254355070731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144.46767095844729</v>
      </c>
      <c r="AO169" s="59">
        <f t="shared" si="144"/>
        <v>335.56739599097097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3.8970405890065574</v>
      </c>
      <c r="AV169" s="21">
        <f>EXP(-LN(2)/25)*AV168+(1-EXP(-LN(2)/25))/(LN(2)/25)*Calculateur!AQ169*Calculateur!AS169*VLOOKUP('Données projet'!$B$10,Paramètres!$A$1:$I$89,3,0)*0.475*44/12</f>
        <v>0.32777770116953597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4.2248182901760938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110.21219780294564</v>
      </c>
      <c r="BJ169" s="59">
        <f t="shared" si="146"/>
        <v>310.34820112478593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3.4138623400127068</v>
      </c>
      <c r="BQ169" s="21">
        <f>EXP(-LN(2)/25)*BQ168+(1-EXP(-LN(2)/25))/(LN(2)/25)*Calculateur!BL169*Calculateur!BN169*VLOOKUP('Données projet'!$B$11,Paramètres!$A$1:$I$89,3,0)*0.475*44/12</f>
        <v>0.28039447520284838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3.6942568152155553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102.77795559500703</v>
      </c>
      <c r="CE169" s="59">
        <f t="shared" si="148"/>
        <v>288.83946957374047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3.1564235406019119</v>
      </c>
      <c r="CL169" s="21">
        <f>EXP(-LN(2)/25)*CL168+(1-EXP(-LN(2)/25))/(LN(2)/25)*Calculateur!CG169*Calculateur!CI169*VLOOKUP('Données projet'!$B$12,Paramètres!$A$1:$I$89,3,0)*0.475*44/12</f>
        <v>0.2592499737941088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3.4156735143960208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6">
        <f t="shared" si="110"/>
        <v>256.66666666666669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134.64362224914908</v>
      </c>
      <c r="T170" s="59">
        <f t="shared" si="142"/>
        <v>312.46749071109713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3.5325095213264435</v>
      </c>
      <c r="AA170" s="21">
        <f>EXP(-LN(2)/25)*AA169+(1-EXP(-LN(2)/25))/(LN(2)/25)*Calculateur!V170*Calculateur!X170*VLOOKUP('Données projet'!$B$9,Paramètres!$A$1:$I$89,3,0)*0.475*44/12</f>
        <v>0.29477284576951179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3.8272823670959553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144.46767095844729</v>
      </c>
      <c r="AO170" s="59">
        <f t="shared" si="144"/>
        <v>335.56739599097097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3.8206220000161926</v>
      </c>
      <c r="AV170" s="21">
        <f>EXP(-LN(2)/25)*AV169+(1-EXP(-LN(2)/25))/(LN(2)/25)*Calculateur!AQ170*Calculateur!AS170*VLOOKUP('Données projet'!$B$10,Paramètres!$A$1:$I$89,3,0)*0.475*44/12</f>
        <v>0.31881460269397488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4.1394366027101679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110.21219780294564</v>
      </c>
      <c r="BJ170" s="59">
        <f t="shared" si="146"/>
        <v>310.34820112478593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3.3469185817754799</v>
      </c>
      <c r="BQ170" s="21">
        <f>EXP(-LN(2)/25)*BQ169+(1-EXP(-LN(2)/25))/(LN(2)/25)*Calculateur!BL170*Calculateur!BN170*VLOOKUP('Données projet'!$B$11,Paramètres!$A$1:$I$89,3,0)*0.475*44/12</f>
        <v>0.27272707353312187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3.6196456553086018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102.77795559500703</v>
      </c>
      <c r="CE170" s="59">
        <f t="shared" si="148"/>
        <v>288.83946957374047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3.0945280001989675</v>
      </c>
      <c r="CL170" s="21">
        <f>EXP(-LN(2)/25)*CL169+(1-EXP(-LN(2)/25))/(LN(2)/25)*Calculateur!CG170*Calculateur!CI170*VLOOKUP('Données projet'!$B$12,Paramètres!$A$1:$I$89,3,0)*0.475*44/12</f>
        <v>0.25216076962734529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3.3466887698263128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6">
        <f t="shared" si="110"/>
        <v>256.66666666666669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134.64362224914908</v>
      </c>
      <c r="T171" s="59">
        <f t="shared" si="142"/>
        <v>312.46749071109713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3.4632391642312892</v>
      </c>
      <c r="AA171" s="21">
        <f>EXP(-LN(2)/25)*AA170+(1-EXP(-LN(2)/25))/(LN(2)/25)*Calculateur!V171*Calculateur!X171*VLOOKUP('Données projet'!$B$9,Paramètres!$A$1:$I$89,3,0)*0.475*44/12</f>
        <v>0.28671226680051426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3.7499514310318034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144.46767095844729</v>
      </c>
      <c r="AO171" s="59">
        <f t="shared" si="144"/>
        <v>335.56739599097097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3.7457019329451922</v>
      </c>
      <c r="AV171" s="21">
        <f>EXP(-LN(2)/25)*AV170+(1-EXP(-LN(2)/25))/(LN(2)/25)*Calculateur!AQ171*Calculateur!AS171*VLOOKUP('Données projet'!$B$10,Paramètres!$A$1:$I$89,3,0)*0.475*44/12</f>
        <v>0.31009660061757682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4.0557985335627693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110.21219780294564</v>
      </c>
      <c r="BJ171" s="59">
        <f t="shared" si="146"/>
        <v>310.34820112478593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3.2812875498056244</v>
      </c>
      <c r="BQ171" s="21">
        <f>EXP(-LN(2)/25)*BQ170+(1-EXP(-LN(2)/25))/(LN(2)/25)*Calculateur!BL171*Calculateur!BN171*VLOOKUP('Données projet'!$B$11,Paramètres!$A$1:$I$89,3,0)*0.475*44/12</f>
        <v>0.2652693373652652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3.5465568871708895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102.77795559500703</v>
      </c>
      <c r="CE171" s="59">
        <f t="shared" si="148"/>
        <v>288.83946957374047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3.0338461935907732</v>
      </c>
      <c r="CL171" s="21">
        <f>EXP(-LN(2)/25)*CL170+(1-EXP(-LN(2)/25))/(LN(2)/25)*Calculateur!CG171*Calculateur!CI171*VLOOKUP('Données projet'!$B$12,Paramètres!$A$1:$I$89,3,0)*0.475*44/12</f>
        <v>0.24526542012132699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3.2791116137121001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6">
        <f t="shared" si="110"/>
        <v>256.66666666666669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134.64362224914908</v>
      </c>
      <c r="T172" s="59">
        <f t="shared" si="142"/>
        <v>312.46749071109713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3.3953271565880248</v>
      </c>
      <c r="AA172" s="21">
        <f>EXP(-LN(2)/25)*AA171+(1-EXP(-LN(2)/25))/(LN(2)/25)*Calculateur!V172*Calculateur!X172*VLOOKUP('Données projet'!$B$9,Paramètres!$A$1:$I$89,3,0)*0.475*44/12</f>
        <v>0.27887210478731139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3.6741992613753363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144.46767095844729</v>
      </c>
      <c r="AO172" s="59">
        <f t="shared" si="144"/>
        <v>335.56739599097097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3.6722510026927253</v>
      </c>
      <c r="AV172" s="21">
        <f>EXP(-LN(2)/25)*AV171+(1-EXP(-LN(2)/25))/(LN(2)/25)*Calculateur!AQ172*Calculateur!AS172*VLOOKUP('Données projet'!$B$10,Paramètres!$A$1:$I$89,3,0)*0.475*44/12</f>
        <v>0.30161699276641768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3.9738679954591429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110.21219780294564</v>
      </c>
      <c r="BJ172" s="59">
        <f t="shared" si="146"/>
        <v>310.34820112478593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3.2169435023417208</v>
      </c>
      <c r="BQ172" s="21">
        <f>EXP(-LN(2)/25)*BQ171+(1-EXP(-LN(2)/25))/(LN(2)/25)*Calculateur!BL172*Calculateur!BN172*VLOOKUP('Données projet'!$B$11,Paramètres!$A$1:$I$89,3,0)*0.475*44/12</f>
        <v>0.25801553338510386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3.4749590357268247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102.77795559500703</v>
      </c>
      <c r="CE172" s="59">
        <f t="shared" si="148"/>
        <v>288.83946957374047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2.9743543201979183</v>
      </c>
      <c r="CL172" s="21">
        <f>EXP(-LN(2)/25)*CL171+(1-EXP(-LN(2)/25))/(LN(2)/25)*Calculateur!CG172*Calculateur!CI172*VLOOKUP('Données projet'!$B$12,Paramètres!$A$1:$I$89,3,0)*0.475*44/12</f>
        <v>0.23855862431016142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3.21291294450808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6">
        <f t="shared" si="110"/>
        <v>256.66666666666669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134.64362224914908</v>
      </c>
      <c r="T173" s="59">
        <f t="shared" si="142"/>
        <v>312.46749071109713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3.3287468619924101</v>
      </c>
      <c r="AA173" s="21">
        <f>EXP(-LN(2)/25)*AA172+(1-EXP(-LN(2)/25))/(LN(2)/25)*Calculateur!V173*Calculateur!X173*VLOOKUP('Données projet'!$B$9,Paramètres!$A$1:$I$89,3,0)*0.475*44/12</f>
        <v>0.27124633241665574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3.5999931944090657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144.46767095844729</v>
      </c>
      <c r="AO173" s="59">
        <f t="shared" si="144"/>
        <v>335.56739599097097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3.6002404003818658</v>
      </c>
      <c r="AV173" s="21">
        <f>EXP(-LN(2)/25)*AV172+(1-EXP(-LN(2)/25))/(LN(2)/25)*Calculateur!AQ173*Calculateur!AS173*VLOOKUP('Données projet'!$B$10,Paramètres!$A$1:$I$89,3,0)*0.475*44/12</f>
        <v>0.29336926023787169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3.8936096606197372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110.21219780294564</v>
      </c>
      <c r="BJ173" s="59">
        <f t="shared" si="146"/>
        <v>310.34820112478593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3.1538612024025907</v>
      </c>
      <c r="BQ173" s="21">
        <f>EXP(-LN(2)/25)*BQ172+(1-EXP(-LN(2)/25))/(LN(2)/25)*Calculateur!BL173*Calculateur!BN173*VLOOKUP('Données projet'!$B$11,Paramètres!$A$1:$I$89,3,0)*0.475*44/12</f>
        <v>0.25096008505624101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3.4048212874588319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102.77795559500703</v>
      </c>
      <c r="CE173" s="59">
        <f t="shared" si="148"/>
        <v>288.83946957374047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2.9160290461558374</v>
      </c>
      <c r="CL173" s="21">
        <f>EXP(-LN(2)/25)*CL172+(1-EXP(-LN(2)/25))/(LN(2)/25)*Calculateur!CG173*Calculateur!CI173*VLOOKUP('Données projet'!$B$12,Paramètres!$A$1:$I$89,3,0)*0.475*44/12</f>
        <v>0.23203522618314723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3.1480642723389844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6">
        <f t="shared" si="110"/>
        <v>256.66666666666669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134.64362224914908</v>
      </c>
      <c r="T174" s="59">
        <f t="shared" si="142"/>
        <v>312.46749071109713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3.263472166363846</v>
      </c>
      <c r="AA174" s="21">
        <f>EXP(-LN(2)/25)*AA173+(1-EXP(-LN(2)/25))/(LN(2)/25)*Calculateur!V174*Calculateur!X174*VLOOKUP('Données projet'!$B$9,Paramètres!$A$1:$I$89,3,0)*0.475*44/12</f>
        <v>0.26382908719249759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3.5273012535563435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144.46767095844729</v>
      </c>
      <c r="AO174" s="59">
        <f t="shared" si="144"/>
        <v>335.56739599097097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3.5296418820601914</v>
      </c>
      <c r="AV174" s="21">
        <f>EXP(-LN(2)/25)*AV173+(1-EXP(-LN(2)/25))/(LN(2)/25)*Calculateur!AQ174*Calculateur!AS174*VLOOKUP('Données projet'!$B$10,Paramètres!$A$1:$I$89,3,0)*0.475*44/12</f>
        <v>0.28534706238904817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3.8149889444492393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110.21219780294564</v>
      </c>
      <c r="BJ174" s="59">
        <f t="shared" si="146"/>
        <v>310.34820112478593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3.0920159078888632</v>
      </c>
      <c r="BQ174" s="21">
        <f>EXP(-LN(2)/25)*BQ173+(1-EXP(-LN(2)/25))/(LN(2)/25)*Calculateur!BL174*Calculateur!BN174*VLOOKUP('Données projet'!$B$11,Paramètres!$A$1:$I$89,3,0)*0.475*44/12</f>
        <v>0.24409756833296081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3.3361134762218239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102.77795559500703</v>
      </c>
      <c r="CE174" s="59">
        <f t="shared" si="148"/>
        <v>288.83946957374047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2.8588474951628173</v>
      </c>
      <c r="CL174" s="21">
        <f>EXP(-LN(2)/25)*CL173+(1-EXP(-LN(2)/25))/(LN(2)/25)*Calculateur!CG174*Calculateur!CI174*VLOOKUP('Données projet'!$B$12,Paramètres!$A$1:$I$89,3,0)*0.475*44/12</f>
        <v>0.22569021072096684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3.0845377058837844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6">
        <f t="shared" si="110"/>
        <v>256.66666666666669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134.64362224914908</v>
      </c>
      <c r="T175" s="59">
        <f t="shared" si="142"/>
        <v>312.46749071109713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3.1994774677029247</v>
      </c>
      <c r="AA175" s="21">
        <f>EXP(-LN(2)/25)*AA174+(1-EXP(-LN(2)/25))/(LN(2)/25)*Calculateur!V175*Calculateur!X175*VLOOKUP('Données projet'!$B$9,Paramètres!$A$1:$I$89,3,0)*0.475*44/12</f>
        <v>0.25661466692905005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3.4560921346319748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144.46767095844729</v>
      </c>
      <c r="AO175" s="59">
        <f t="shared" si="144"/>
        <v>335.56739599097097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3.4604277576219609</v>
      </c>
      <c r="AV175" s="21">
        <f>EXP(-LN(2)/25)*AV174+(1-EXP(-LN(2)/25))/(LN(2)/25)*Calculateur!AQ175*Calculateur!AS175*VLOOKUP('Données projet'!$B$10,Paramètres!$A$1:$I$89,3,0)*0.475*44/12</f>
        <v>0.27754423196226979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3.7379719895842305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110.21219780294564</v>
      </c>
      <c r="BJ175" s="59">
        <f t="shared" si="146"/>
        <v>310.34820112478593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3.0313833618786448</v>
      </c>
      <c r="BQ175" s="21">
        <f>EXP(-LN(2)/25)*BQ174+(1-EXP(-LN(2)/25))/(LN(2)/25)*Calculateur!BL175*Calculateur!BN175*VLOOKUP('Données projet'!$B$11,Paramètres!$A$1:$I$89,3,0)*0.475*44/12</f>
        <v>0.23742270749036276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3.2688060693690075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102.77795559500703</v>
      </c>
      <c r="CE175" s="59">
        <f t="shared" si="148"/>
        <v>288.83946957374047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2.802787239507468</v>
      </c>
      <c r="CL175" s="21">
        <f>EXP(-LN(2)/25)*CL174+(1-EXP(-LN(2)/25))/(LN(2)/25)*Calculateur!CG175*Calculateur!CI175*VLOOKUP('Données projet'!$B$12,Paramètres!$A$1:$I$89,3,0)*0.475*44/12</f>
        <v>0.21951870004026963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3.0223059395477376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6">
        <f t="shared" si="110"/>
        <v>256.66666666666669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134.64362224914908</v>
      </c>
      <c r="T176" s="59">
        <f t="shared" si="142"/>
        <v>312.46749071109713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3.1367376660498323</v>
      </c>
      <c r="AA176" s="21">
        <f>EXP(-LN(2)/25)*AA175+(1-EXP(-LN(2)/25))/(LN(2)/25)*Calculateur!V176*Calculateur!X176*VLOOKUP('Données projet'!$B$9,Paramètres!$A$1:$I$89,3,0)*0.475*44/12</f>
        <v>0.24959752536709634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3.3863351914169284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144.46767095844729</v>
      </c>
      <c r="AO176" s="59">
        <f t="shared" si="144"/>
        <v>335.56739599097097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3.3925708799475167</v>
      </c>
      <c r="AV176" s="21">
        <f>EXP(-LN(2)/25)*AV175+(1-EXP(-LN(2)/25))/(LN(2)/25)*Calculateur!AQ176*Calculateur!AS176*VLOOKUP('Données projet'!$B$10,Paramètres!$A$1:$I$89,3,0)*0.475*44/12</f>
        <v>0.26995477034384469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3.6625256502913612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110.21219780294564</v>
      </c>
      <c r="BJ176" s="59">
        <f t="shared" si="146"/>
        <v>310.34820112478593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2.9719397831134855</v>
      </c>
      <c r="BQ176" s="21">
        <f>EXP(-LN(2)/25)*BQ175+(1-EXP(-LN(2)/25))/(LN(2)/25)*Calculateur!BL176*Calculateur!BN176*VLOOKUP('Données projet'!$B$11,Paramètres!$A$1:$I$89,3,0)*0.475*44/12</f>
        <v>0.23093037106852124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3.2028701541820066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102.77795559500703</v>
      </c>
      <c r="CE176" s="59">
        <f t="shared" si="148"/>
        <v>288.83946957374047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2.7478262912721405</v>
      </c>
      <c r="CL176" s="21">
        <f>EXP(-LN(2)/25)*CL175+(1-EXP(-LN(2)/25))/(LN(2)/25)*Calculateur!CG176*Calculateur!CI176*VLOOKUP('Données projet'!$B$12,Paramètres!$A$1:$I$89,3,0)*0.475*44/12</f>
        <v>0.21351594964368173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2.9613422409158221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6">
        <f t="shared" si="110"/>
        <v>256.66666666666669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134.64362224914908</v>
      </c>
      <c r="T177" s="59">
        <f t="shared" si="142"/>
        <v>312.46749071109713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3.0752281536396566</v>
      </c>
      <c r="AA177" s="21">
        <f>EXP(-LN(2)/25)*AA176+(1-EXP(-LN(2)/25))/(LN(2)/25)*Calculateur!V177*Calculateur!X177*VLOOKUP('Données projet'!$B$9,Paramètres!$A$1:$I$89,3,0)*0.475*44/12</f>
        <v>0.2427722679101697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3.3180004215498262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144.46767095844729</v>
      </c>
      <c r="AO177" s="59">
        <f t="shared" si="144"/>
        <v>335.56739599097097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3.32604463425566</v>
      </c>
      <c r="AV177" s="21">
        <f>EXP(-LN(2)/25)*AV176+(1-EXP(-LN(2)/25))/(LN(2)/25)*Calculateur!AQ177*Calculateur!AS177*VLOOKUP('Données projet'!$B$10,Paramètres!$A$1:$I$89,3,0)*0.475*44/12</f>
        <v>0.26257284295248789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3.5886174772081478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110.21219780294564</v>
      </c>
      <c r="BJ177" s="59">
        <f t="shared" si="146"/>
        <v>310.34820112478593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2.9136618566709083</v>
      </c>
      <c r="BQ177" s="21">
        <f>EXP(-LN(2)/25)*BQ176+(1-EXP(-LN(2)/25))/(LN(2)/25)*Calculateur!BL177*Calculateur!BN177*VLOOKUP('Données projet'!$B$11,Paramètres!$A$1:$I$89,3,0)*0.475*44/12</f>
        <v>0.22461556792755211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3.1382774245984604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102.77795559500703</v>
      </c>
      <c r="CE177" s="59">
        <f t="shared" si="148"/>
        <v>288.83946957374047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2.6939430937088393</v>
      </c>
      <c r="CL177" s="21">
        <f>EXP(-LN(2)/25)*CL176+(1-EXP(-LN(2)/25))/(LN(2)/25)*Calculateur!CG177*Calculateur!CI177*VLOOKUP('Données projet'!$B$12,Paramètres!$A$1:$I$89,3,0)*0.475*44/12</f>
        <v>0.20767734477235947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2.9016204384811988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6">
        <f t="shared" si="110"/>
        <v>256.66666666666669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134.64362224914908</v>
      </c>
      <c r="T178" s="59">
        <f t="shared" si="142"/>
        <v>312.46749071109713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3.0149248052507462</v>
      </c>
      <c r="AA178" s="21">
        <f>EXP(-LN(2)/25)*AA177+(1-EXP(-LN(2)/25))/(LN(2)/25)*Calculateur!V178*Calculateur!X178*VLOOKUP('Données projet'!$B$9,Paramètres!$A$1:$I$89,3,0)*0.475*44/12</f>
        <v>0.2361336474773274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3.2510584527280737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144.46767095844729</v>
      </c>
      <c r="AO178" s="59">
        <f t="shared" si="144"/>
        <v>335.56739599097097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3.2608229276648171</v>
      </c>
      <c r="AV178" s="21">
        <f>EXP(-LN(2)/25)*AV177+(1-EXP(-LN(2)/25))/(LN(2)/25)*Calculateur!AQ178*Calculateur!AS178*VLOOKUP('Données projet'!$B$10,Paramètres!$A$1:$I$89,3,0)*0.475*44/12</f>
        <v>0.25539277475384642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3.5162157024186635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110.21219780294564</v>
      </c>
      <c r="BJ178" s="59">
        <f t="shared" si="146"/>
        <v>310.34820112478593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2.8565267248198447</v>
      </c>
      <c r="BQ178" s="21">
        <f>EXP(-LN(2)/25)*BQ177+(1-EXP(-LN(2)/25))/(LN(2)/25)*Calculateur!BL178*Calculateur!BN178*VLOOKUP('Données projet'!$B$11,Paramètres!$A$1:$I$89,3,0)*0.475*44/12</f>
        <v>0.21847344341055383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3.0750001682303987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102.77795559500703</v>
      </c>
      <c r="CE178" s="59">
        <f t="shared" si="148"/>
        <v>288.83946957374047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2.6411165127842491</v>
      </c>
      <c r="CL178" s="21">
        <f>EXP(-LN(2)/25)*CL177+(1-EXP(-LN(2)/25))/(LN(2)/25)*Calculateur!CG178*Calculateur!CI178*VLOOKUP('Données projet'!$B$12,Paramètres!$A$1:$I$89,3,0)*0.475*44/12</f>
        <v>0.20199839685828239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2.8431149096425314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6">
        <f t="shared" si="110"/>
        <v>256.66666666666669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134.64362224914908</v>
      </c>
      <c r="T179" s="59">
        <f t="shared" si="142"/>
        <v>312.46749071109713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2.9558039687423316</v>
      </c>
      <c r="AA179" s="21">
        <f>EXP(-LN(2)/25)*AA178+(1-EXP(-LN(2)/25))/(LN(2)/25)*Calculateur!V179*Calculateur!X179*VLOOKUP('Données projet'!$B$9,Paramètres!$A$1:$I$89,3,0)*0.475*44/12</f>
        <v>0.22967656046933105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3.1854805292116626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144.46767095844729</v>
      </c>
      <c r="AO179" s="59">
        <f t="shared" si="144"/>
        <v>335.56739599097097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3.1968801789589079</v>
      </c>
      <c r="AV179" s="21">
        <f>EXP(-LN(2)/25)*AV178+(1-EXP(-LN(2)/25))/(LN(2)/25)*Calculateur!AQ179*Calculateur!AS179*VLOOKUP('Données projet'!$B$10,Paramètres!$A$1:$I$89,3,0)*0.475*44/12</f>
        <v>0.24840904589768018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3.4452892248565878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110.21219780294564</v>
      </c>
      <c r="BJ179" s="59">
        <f t="shared" si="146"/>
        <v>310.34820112478593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2.8005119780553911</v>
      </c>
      <c r="BQ179" s="21">
        <f>EXP(-LN(2)/25)*BQ178+(1-EXP(-LN(2)/25))/(LN(2)/25)*Calculateur!BL179*Calculateur!BN179*VLOOKUP('Données projet'!$B$11,Paramètres!$A$1:$I$89,3,0)*0.475*44/12</f>
        <v>0.21249927561147317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3.0130112536668641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102.77795559500703</v>
      </c>
      <c r="CE179" s="59">
        <f t="shared" si="148"/>
        <v>288.83946957374047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2.5893258288905576</v>
      </c>
      <c r="CL179" s="21">
        <f>EXP(-LN(2)/25)*CL178+(1-EXP(-LN(2)/25))/(LN(2)/25)*Calculateur!CG179*Calculateur!CI179*VLOOKUP('Données projet'!$B$12,Paramètres!$A$1:$I$89,3,0)*0.475*44/12</f>
        <v>0.19647474007355864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2.7858005689641163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6">
        <f t="shared" si="110"/>
        <v>256.66666666666669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134.64362224914908</v>
      </c>
      <c r="T180" s="59">
        <f t="shared" si="142"/>
        <v>312.46749071109713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2.8978424557776976</v>
      </c>
      <c r="AA180" s="21">
        <f>EXP(-LN(2)/25)*AA179+(1-EXP(-LN(2)/25))/(LN(2)/25)*Calculateur!V180*Calculateur!X180*VLOOKUP('Données projet'!$B$9,Paramètres!$A$1:$I$89,3,0)*0.475*44/12</f>
        <v>0.22339604284513181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3.1212384986228292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144.46767095844729</v>
      </c>
      <c r="AO180" s="59">
        <f t="shared" si="144"/>
        <v>335.56739599097097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3.1341913085538957</v>
      </c>
      <c r="AV180" s="21">
        <f>EXP(-LN(2)/25)*AV179+(1-EXP(-LN(2)/25))/(LN(2)/25)*Calculateur!AQ180*Calculateur!AS180*VLOOKUP('Données projet'!$B$10,Paramètres!$A$1:$I$89,3,0)*0.475*44/12</f>
        <v>0.24161628747434413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3.3758075960282397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110.21219780294564</v>
      </c>
      <c r="BJ180" s="59">
        <f t="shared" si="146"/>
        <v>310.34820112478593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2.7455956463093663</v>
      </c>
      <c r="BQ180" s="21">
        <f>EXP(-LN(2)/25)*BQ179+(1-EXP(-LN(2)/25))/(LN(2)/25)*Calculateur!BL180*Calculateur!BN180*VLOOKUP('Données projet'!$B$11,Paramètres!$A$1:$I$89,3,0)*0.475*44/12</f>
        <v>0.20668847174502619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2.9522841180543926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102.77795559500703</v>
      </c>
      <c r="CE180" s="59">
        <f t="shared" si="148"/>
        <v>288.83946957374047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2.5385507287188234</v>
      </c>
      <c r="CL180" s="21">
        <f>EXP(-LN(2)/25)*CL179+(1-EXP(-LN(2)/25))/(LN(2)/25)*Calculateur!CG180*Calculateur!CI180*VLOOKUP('Données projet'!$B$12,Paramètres!$A$1:$I$89,3,0)*0.475*44/12</f>
        <v>0.19110212797408965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2.7296528566929128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6">
        <f t="shared" si="110"/>
        <v>256.66666666666669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134.64362224914908</v>
      </c>
      <c r="T181" s="59">
        <f t="shared" si="142"/>
        <v>312.46749071109713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2.8410175327292677</v>
      </c>
      <c r="AA181" s="21">
        <f>EXP(-LN(2)/25)*AA180+(1-EXP(-LN(2)/25))/(LN(2)/25)*Calculateur!V181*Calculateur!X181*VLOOKUP('Données projet'!$B$9,Paramètres!$A$1:$I$89,3,0)*0.475*44/12</f>
        <v>0.21728726630564438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3.0583047990349121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144.46767095844729</v>
      </c>
      <c r="AO181" s="59">
        <f t="shared" si="144"/>
        <v>335.56739599097097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3.0727317286610907</v>
      </c>
      <c r="AV181" s="21">
        <f>EXP(-LN(2)/25)*AV180+(1-EXP(-LN(2)/25))/(LN(2)/25)*Calculateur!AQ181*Calculateur!AS181*VLOOKUP('Données projet'!$B$10,Paramètres!$A$1:$I$89,3,0)*0.475*44/12</f>
        <v>0.23500927738730987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3.3077410060484005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110.21219780294564</v>
      </c>
      <c r="BJ181" s="59">
        <f t="shared" si="146"/>
        <v>310.34820112478593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2.6917561903332259</v>
      </c>
      <c r="BQ181" s="21">
        <f>EXP(-LN(2)/25)*BQ180+(1-EXP(-LN(2)/25))/(LN(2)/25)*Calculateur!BL181*Calculateur!BN181*VLOOKUP('Données projet'!$B$11,Paramètres!$A$1:$I$89,3,0)*0.475*44/12</f>
        <v>0.20103656461588412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2.8927927549491099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102.77795559500703</v>
      </c>
      <c r="CE181" s="59">
        <f t="shared" si="148"/>
        <v>288.83946957374047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2.4887712972917035</v>
      </c>
      <c r="CL181" s="21">
        <f>EXP(-LN(2)/25)*CL180+(1-EXP(-LN(2)/25))/(LN(2)/25)*Calculateur!CG181*Calculateur!CI181*VLOOKUP('Données projet'!$B$12,Paramètres!$A$1:$I$89,3,0)*0.475*44/12</f>
        <v>0.18587643023501402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2.6746477275267178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6">
        <f t="shared" si="110"/>
        <v>256.66666666666669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134.64362224914908</v>
      </c>
      <c r="T182" s="59">
        <f t="shared" si="142"/>
        <v>312.46749071109713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2.7853069117620373</v>
      </c>
      <c r="AA182" s="21">
        <f>EXP(-LN(2)/25)*AA181+(1-EXP(-LN(2)/25))/(LN(2)/25)*Calculateur!V182*Calculateur!X182*VLOOKUP('Données projet'!$B$9,Paramètres!$A$1:$I$89,3,0)*0.475*44/12</f>
        <v>0.21134553458187583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2.996652446343913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144.46767095844729</v>
      </c>
      <c r="AO182" s="59">
        <f t="shared" si="144"/>
        <v>335.56739599097097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3.012477333643341</v>
      </c>
      <c r="AV182" s="21">
        <f>EXP(-LN(2)/25)*AV181+(1-EXP(-LN(2)/25))/(LN(2)/25)*Calculateur!AQ182*Calculateur!AS182*VLOOKUP('Données projet'!$B$10,Paramètres!$A$1:$I$89,3,0)*0.475*44/12</f>
        <v>0.22858293633855309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3.2410602699818942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110.21219780294564</v>
      </c>
      <c r="BJ182" s="59">
        <f t="shared" si="146"/>
        <v>310.34820112478593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2.6389724932499523</v>
      </c>
      <c r="BQ182" s="21">
        <f>EXP(-LN(2)/25)*BQ181+(1-EXP(-LN(2)/25))/(LN(2)/25)*Calculateur!BL182*Calculateur!BN182*VLOOKUP('Données projet'!$B$11,Paramètres!$A$1:$I$89,3,0)*0.475*44/12</f>
        <v>0.19553920918440931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2.8345117024343618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102.77795559500703</v>
      </c>
      <c r="CE182" s="59">
        <f t="shared" si="148"/>
        <v>288.83946957374047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2.4399680101524144</v>
      </c>
      <c r="CL182" s="21">
        <f>EXP(-LN(2)/25)*CL181+(1-EXP(-LN(2)/25))/(LN(2)/25)*Calculateur!CG182*Calculateur!CI182*VLOOKUP('Données projet'!$B$12,Paramètres!$A$1:$I$89,3,0)*0.475*44/12</f>
        <v>0.18079362947542091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2.6207616396278355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6">
        <f t="shared" si="110"/>
        <v>256.66666666666669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134.64362224914908</v>
      </c>
      <c r="T183" s="59">
        <f t="shared" si="142"/>
        <v>312.46749071109713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2.7306887420918504</v>
      </c>
      <c r="AA183" s="21">
        <f>EXP(-LN(2)/25)*AA182+(1-EXP(-LN(2)/25))/(LN(2)/25)*Calculateur!V183*Calculateur!X183*VLOOKUP('Données projet'!$B$9,Paramètres!$A$1:$I$89,3,0)*0.475*44/12</f>
        <v>0.2055662798245558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2.9362550219164061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144.46767095844729</v>
      </c>
      <c r="AO183" s="59">
        <f t="shared" si="144"/>
        <v>335.56739599097097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2.9534044905603376</v>
      </c>
      <c r="AV183" s="21">
        <f>EXP(-LN(2)/25)*AV182+(1-EXP(-LN(2)/25))/(LN(2)/25)*Calculateur!AQ183*Calculateur!AS183*VLOOKUP('Données projet'!$B$10,Paramètres!$A$1:$I$89,3,0)*0.475*44/12</f>
        <v>0.22233232392372115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3.1757368144840585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110.21219780294564</v>
      </c>
      <c r="BJ183" s="59">
        <f t="shared" si="146"/>
        <v>310.34820112478593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2.5872238522716056</v>
      </c>
      <c r="BQ183" s="21">
        <f>EXP(-LN(2)/25)*BQ182+(1-EXP(-LN(2)/25))/(LN(2)/25)*Calculateur!BL183*Calculateur!BN183*VLOOKUP('Données projet'!$B$11,Paramètres!$A$1:$I$89,3,0)*0.475*44/12</f>
        <v>0.19019217922630155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2.7774160314979071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102.77795559500703</v>
      </c>
      <c r="CE183" s="59">
        <f t="shared" si="148"/>
        <v>288.83946957374047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2.3921217257068608</v>
      </c>
      <c r="CL183" s="21">
        <f>EXP(-LN(2)/25)*CL182+(1-EXP(-LN(2)/25))/(LN(2)/25)*Calculateur!CG183*Calculateur!CI183*VLOOKUP('Données projet'!$B$12,Paramètres!$A$1:$I$89,3,0)*0.475*44/12</f>
        <v>0.17584981816989176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2.5679715438767525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6">
        <f t="shared" si="110"/>
        <v>256.66666666666669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134.64362224914908</v>
      </c>
      <c r="T184" s="59">
        <f t="shared" si="142"/>
        <v>312.46749071109713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2.6771416014151019</v>
      </c>
      <c r="AA184" s="21">
        <f>EXP(-LN(2)/25)*AA183+(1-EXP(-LN(2)/25))/(LN(2)/25)*Calculateur!V184*Calculateur!X184*VLOOKUP('Données projet'!$B$9,Paramètres!$A$1:$I$89,3,0)*0.475*44/12</f>
        <v>0.19994505909249249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2.8770866605075947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144.46767095844729</v>
      </c>
      <c r="AO184" s="59">
        <f t="shared" si="144"/>
        <v>335.56739599097097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2.8954900298993151</v>
      </c>
      <c r="AV184" s="21">
        <f>EXP(-LN(2)/25)*AV183+(1-EXP(-LN(2)/25))/(LN(2)/25)*Calculateur!AQ184*Calculateur!AS184*VLOOKUP('Données projet'!$B$10,Paramètres!$A$1:$I$89,3,0)*0.475*44/12</f>
        <v>0.21625263483407822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3.1117426647333932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110.21219780294564</v>
      </c>
      <c r="BJ184" s="59">
        <f t="shared" si="146"/>
        <v>310.34820112478593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2.5364899705792898</v>
      </c>
      <c r="BQ184" s="21">
        <f>EXP(-LN(2)/25)*BQ183+(1-EXP(-LN(2)/25))/(LN(2)/25)*Calculateur!BL184*Calculateur!BN184*VLOOKUP('Données projet'!$B$11,Paramètres!$A$1:$I$89,3,0)*0.475*44/12</f>
        <v>0.18499136408358632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2.7214813346628763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102.77795559500703</v>
      </c>
      <c r="CE184" s="59">
        <f t="shared" si="148"/>
        <v>288.83946957374047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2.3452136777159325</v>
      </c>
      <c r="CL184" s="21">
        <f>EXP(-LN(2)/25)*CL183+(1-EXP(-LN(2)/25))/(LN(2)/25)*Calculateur!CG184*Calculateur!CI184*VLOOKUP('Données projet'!$B$12,Paramètres!$A$1:$I$89,3,0)*0.475*44/12</f>
        <v>0.17104119564449605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2.5162548733604284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6">
        <f t="shared" si="110"/>
        <v>256.66666666666669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134.64362224914908</v>
      </c>
      <c r="T185" s="59">
        <f t="shared" si="142"/>
        <v>312.46749071109713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2.6246444875064938</v>
      </c>
      <c r="AA185" s="21">
        <f>EXP(-LN(2)/25)*AA184+(1-EXP(-LN(2)/25))/(LN(2)/25)*Calculateur!V185*Calculateur!X185*VLOOKUP('Données projet'!$B$9,Paramètres!$A$1:$I$89,3,0)*0.475*44/12</f>
        <v>0.1944775509369546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2.8191220384434486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144.46767095844729</v>
      </c>
      <c r="AO185" s="59">
        <f t="shared" si="144"/>
        <v>335.56739599097097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2.8387112364875224</v>
      </c>
      <c r="AV185" s="21">
        <f>EXP(-LN(2)/25)*AV184+(1-EXP(-LN(2)/25))/(LN(2)/25)*Calculateur!AQ185*Calculateur!AS185*VLOOKUP('Données projet'!$B$10,Paramètres!$A$1:$I$89,3,0)*0.475*44/12</f>
        <v>0.21033919516230853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3.0490504316498308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110.21219780294564</v>
      </c>
      <c r="BJ185" s="59">
        <f t="shared" si="146"/>
        <v>310.34820112478593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2.4867509493623481</v>
      </c>
      <c r="BQ185" s="21">
        <f>EXP(-LN(2)/25)*BQ184+(1-EXP(-LN(2)/25))/(LN(2)/25)*Calculateur!BL185*Calculateur!BN185*VLOOKUP('Données projet'!$B$11,Paramètres!$A$1:$I$89,3,0)*0.475*44/12</f>
        <v>0.17993276550444762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2.6666837148667959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102.77795559500703</v>
      </c>
      <c r="CE185" s="59">
        <f t="shared" si="148"/>
        <v>288.83946957374047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2.2992254679350221</v>
      </c>
      <c r="CL185" s="21">
        <f>EXP(-LN(2)/25)*CL184+(1-EXP(-LN(2)/25))/(LN(2)/25)*Calculateur!CG185*Calculateur!CI185*VLOOKUP('Données projet'!$B$12,Paramètres!$A$1:$I$89,3,0)*0.475*44/12</f>
        <v>0.16636406515493174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2.465589533089954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6">
        <f t="shared" si="110"/>
        <v>256.66666666666669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134.64362224914908</v>
      </c>
      <c r="T186" s="59">
        <f t="shared" si="142"/>
        <v>312.46749071109713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2.5731768099815557</v>
      </c>
      <c r="AA186" s="21">
        <f>EXP(-LN(2)/25)*AA185+(1-EXP(-LN(2)/25))/(LN(2)/25)*Calculateur!V186*Calculateur!X186*VLOOKUP('Données projet'!$B$9,Paramètres!$A$1:$I$89,3,0)*0.475*44/12</f>
        <v>0.18915955207945365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2.7623363620610095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144.46767095844729</v>
      </c>
      <c r="AO186" s="59">
        <f t="shared" si="144"/>
        <v>335.56739599097097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2.7830458405828904</v>
      </c>
      <c r="AV186" s="21">
        <f>EXP(-LN(2)/25)*AV185+(1-EXP(-LN(2)/25))/(LN(2)/25)*Calculateur!AQ186*Calculateur!AS186*VLOOKUP('Données projet'!$B$10,Paramètres!$A$1:$I$89,3,0)*0.475*44/12</f>
        <v>0.20458745880933768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2.9876332993922281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110.21219780294564</v>
      </c>
      <c r="BJ186" s="59">
        <f t="shared" si="146"/>
        <v>310.34820112478593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2.437987280013663</v>
      </c>
      <c r="BQ186" s="21">
        <f>EXP(-LN(2)/25)*BQ185+(1-EXP(-LN(2)/25))/(LN(2)/25)*Calculateur!BL186*Calculateur!BN186*VLOOKUP('Données projet'!$B$11,Paramètres!$A$1:$I$89,3,0)*0.475*44/12</f>
        <v>0.1750124945694756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2.6129997745831388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102.77795559500703</v>
      </c>
      <c r="CE186" s="59">
        <f t="shared" si="148"/>
        <v>288.83946957374047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2.2541390588978776</v>
      </c>
      <c r="CL186" s="21">
        <f>EXP(-LN(2)/25)*CL185+(1-EXP(-LN(2)/25))/(LN(2)/25)*Calculateur!CG186*Calculateur!CI186*VLOOKUP('Données projet'!$B$12,Paramètres!$A$1:$I$89,3,0)*0.475*44/12</f>
        <v>0.16181483104456418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2.4159538899424415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6">
        <f t="shared" si="110"/>
        <v>256.66666666666669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134.64362224914908</v>
      </c>
      <c r="T187" s="59">
        <f t="shared" si="142"/>
        <v>312.46749071109713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2.522718382220698</v>
      </c>
      <c r="AA187" s="21">
        <f>EXP(-LN(2)/25)*AA186+(1-EXP(-LN(2)/25))/(LN(2)/25)*Calculateur!V187*Calculateur!X187*VLOOKUP('Données projet'!$B$9,Paramètres!$A$1:$I$89,3,0)*0.475*44/12</f>
        <v>0.18398697418037246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2.7067053564010704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144.46767095844729</v>
      </c>
      <c r="AO187" s="59">
        <f t="shared" si="144"/>
        <v>335.56739599097097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2.7284720091394092</v>
      </c>
      <c r="AV187" s="21">
        <f>EXP(-LN(2)/25)*AV186+(1-EXP(-LN(2)/25))/(LN(2)/25)*Calculateur!AQ187*Calculateur!AS187*VLOOKUP('Données projet'!$B$10,Paramètres!$A$1:$I$89,3,0)*0.475*44/12</f>
        <v>0.19899300398940947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2.9274650131288187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110.21219780294564</v>
      </c>
      <c r="BJ187" s="59">
        <f t="shared" si="146"/>
        <v>310.34820112478593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2.3901798364780045</v>
      </c>
      <c r="BQ187" s="21">
        <f>EXP(-LN(2)/25)*BQ186+(1-EXP(-LN(2)/25))/(LN(2)/25)*Calculateur!BL187*Calculateur!BN187*VLOOKUP('Données projet'!$B$11,Paramètres!$A$1:$I$89,3,0)*0.475*44/12</f>
        <v>0.17022676870196618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2.5604066051799705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102.77795559500703</v>
      </c>
      <c r="CE187" s="59">
        <f t="shared" si="148"/>
        <v>288.83946957374047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2.2099367668419569</v>
      </c>
      <c r="CL187" s="21">
        <f>EXP(-LN(2)/25)*CL186+(1-EXP(-LN(2)/25))/(LN(2)/25)*Calculateur!CG187*Calculateur!CI187*VLOOKUP('Données projet'!$B$12,Paramètres!$A$1:$I$89,3,0)*0.475*44/12</f>
        <v>0.15738999598017844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2.3673267628221355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6">
        <f t="shared" si="110"/>
        <v>256.66666666666669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134.64362224914908</v>
      </c>
      <c r="T188" s="59">
        <f t="shared" si="142"/>
        <v>312.46749071109713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2.4732494134516285</v>
      </c>
      <c r="AA188" s="21">
        <f>EXP(-LN(2)/25)*AA187+(1-EXP(-LN(2)/25))/(LN(2)/25)*Calculateur!V188*Calculateur!X188*VLOOKUP('Données projet'!$B$9,Paramètres!$A$1:$I$89,3,0)*0.475*44/12</f>
        <v>0.17895584069595571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2.6522052541475842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144.46767095844729</v>
      </c>
      <c r="AO188" s="59">
        <f t="shared" si="144"/>
        <v>335.56739599097097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2.6749683372437847</v>
      </c>
      <c r="AV188" s="21">
        <f>EXP(-LN(2)/25)*AV187+(1-EXP(-LN(2)/25))/(LN(2)/25)*Calculateur!AQ188*Calculateur!AS188*VLOOKUP('Données projet'!$B$10,Paramètres!$A$1:$I$89,3,0)*0.475*44/12</f>
        <v>0.19355152983073179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2.8685198670745167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110.21219780294564</v>
      </c>
      <c r="BJ188" s="59">
        <f t="shared" si="146"/>
        <v>310.34820112478593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2.3433098677504187</v>
      </c>
      <c r="BQ188" s="21">
        <f>EXP(-LN(2)/25)*BQ187+(1-EXP(-LN(2)/25))/(LN(2)/25)*Calculateur!BL188*Calculateur!BN188*VLOOKUP('Données projet'!$B$11,Paramètres!$A$1:$I$89,3,0)*0.475*44/12</f>
        <v>0.16557190875997421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2.508881776510393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102.77795559500703</v>
      </c>
      <c r="CE188" s="59">
        <f t="shared" si="148"/>
        <v>288.83946957374047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2.1666012547725169</v>
      </c>
      <c r="CL188" s="21">
        <f>EXP(-LN(2)/25)*CL187+(1-EXP(-LN(2)/25))/(LN(2)/25)*Calculateur!CG188*Calculateur!CI188*VLOOKUP('Données projet'!$B$12,Paramètres!$A$1:$I$89,3,0)*0.475*44/12</f>
        <v>0.15308615826332028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2.3196874130358371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6">
        <f t="shared" si="110"/>
        <v>256.66666666666669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134.64362224914908</v>
      </c>
      <c r="T189" s="59">
        <f t="shared" si="142"/>
        <v>312.46749071109713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2.4247505009870292</v>
      </c>
      <c r="AA189" s="21">
        <f>EXP(-LN(2)/25)*AA188+(1-EXP(-LN(2)/25))/(LN(2)/25)*Calculateur!V189*Calculateur!X189*VLOOKUP('Données projet'!$B$9,Paramètres!$A$1:$I$89,3,0)*0.475*44/12</f>
        <v>0.17406228382124614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2.5988127848082754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144.46767095844729</v>
      </c>
      <c r="AO189" s="59">
        <f t="shared" si="144"/>
        <v>335.56739599097097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2.6225138397200158</v>
      </c>
      <c r="AV189" s="21">
        <f>EXP(-LN(2)/25)*AV188+(1-EXP(-LN(2)/25))/(LN(2)/25)*Calculateur!AQ189*Calculateur!AS189*VLOOKUP('Données projet'!$B$10,Paramètres!$A$1:$I$89,3,0)*0.475*44/12</f>
        <v>0.18825885306907783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2.8107726927890937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110.21219780294564</v>
      </c>
      <c r="BJ189" s="59">
        <f t="shared" si="146"/>
        <v>310.34820112478593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2.2973589905217229</v>
      </c>
      <c r="BQ189" s="21">
        <f>EXP(-LN(2)/25)*BQ188+(1-EXP(-LN(2)/25))/(LN(2)/25)*Calculateur!BL189*Calculateur!BN189*VLOOKUP('Données projet'!$B$11,Paramètres!$A$1:$I$89,3,0)*0.475*44/12</f>
        <v>0.16104433620788444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2.4584033267296075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102.77795559500703</v>
      </c>
      <c r="CE189" s="59">
        <f t="shared" si="148"/>
        <v>288.83946957374047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2.1241155256627064</v>
      </c>
      <c r="CL189" s="21">
        <f>EXP(-LN(2)/25)*CL188+(1-EXP(-LN(2)/25))/(LN(2)/25)*Calculateur!CG189*Calculateur!CI189*VLOOKUP('Données projet'!$B$12,Paramètres!$A$1:$I$89,3,0)*0.475*44/12</f>
        <v>0.14890000921515861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2.2730155348778651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6">
        <f t="shared" si="110"/>
        <v>256.66666666666669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134.64362224914908</v>
      </c>
      <c r="T190" s="59">
        <f t="shared" si="142"/>
        <v>312.46749071109713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2.3772026226144449</v>
      </c>
      <c r="AA190" s="21">
        <f>EXP(-LN(2)/25)*AA189+(1-EXP(-LN(2)/25))/(LN(2)/25)*Calculateur!V190*Calculateur!X190*VLOOKUP('Données projet'!$B$9,Paramètres!$A$1:$I$89,3,0)*0.475*44/12</f>
        <v>0.16930254151661647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2.5465051641310614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144.46767095844729</v>
      </c>
      <c r="AO190" s="59">
        <f t="shared" si="144"/>
        <v>335.56739599097097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2.5710879428986035</v>
      </c>
      <c r="AV190" s="21">
        <f>EXP(-LN(2)/25)*AV189+(1-EXP(-LN(2)/25))/(LN(2)/25)*Calculateur!AQ190*Calculateur!AS190*VLOOKUP('Données projet'!$B$10,Paramètres!$A$1:$I$89,3,0)*0.475*44/12</f>
        <v>0.18311090483180109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2.7541988477304047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110.21219780294564</v>
      </c>
      <c r="BJ190" s="59">
        <f t="shared" si="146"/>
        <v>310.34820112478593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2.2523091819682142</v>
      </c>
      <c r="BQ190" s="21">
        <f>EXP(-LN(2)/25)*BQ189+(1-EXP(-LN(2)/25))/(LN(2)/25)*Calculateur!BL190*Calculateur!BN190*VLOOKUP('Données projet'!$B$11,Paramètres!$A$1:$I$89,3,0)*0.475*44/12</f>
        <v>0.15664057036532628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2.4089497523335406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102.77795559500703</v>
      </c>
      <c r="CE190" s="59">
        <f t="shared" si="148"/>
        <v>288.83946957374047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2.0824629157870032</v>
      </c>
      <c r="CL190" s="21">
        <f>EXP(-LN(2)/25)*CL189+(1-EXP(-LN(2)/25))/(LN(2)/25)*Calculateur!CG190*Calculateur!CI190*VLOOKUP('Données projet'!$B$12,Paramètres!$A$1:$I$89,3,0)*0.475*44/12</f>
        <v>0.14482833063285894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2.227291246419862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6">
        <f t="shared" si="110"/>
        <v>256.66666666666669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134.64362224914908</v>
      </c>
      <c r="T191" s="59">
        <f t="shared" si="142"/>
        <v>312.46749071109713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2.3305871291354046</v>
      </c>
      <c r="AA191" s="21">
        <f>EXP(-LN(2)/25)*AA190+(1-EXP(-LN(2)/25))/(LN(2)/25)*Calculateur!V191*Calculateur!X191*VLOOKUP('Données projet'!$B$9,Paramètres!$A$1:$I$89,3,0)*0.475*44/12</f>
        <v>0.16467295461561088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2.4952600837510155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144.46767095844729</v>
      </c>
      <c r="AO191" s="59">
        <f t="shared" si="144"/>
        <v>335.56739599097097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2.5206704765471595</v>
      </c>
      <c r="AV191" s="21">
        <f>EXP(-LN(2)/25)*AV190+(1-EXP(-LN(2)/25))/(LN(2)/25)*Calculateur!AQ191*Calculateur!AS191*VLOOKUP('Données projet'!$B$10,Paramètres!$A$1:$I$89,3,0)*0.475*44/12</f>
        <v>0.1781037275097915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2.6987742040569511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110.21219780294564</v>
      </c>
      <c r="BJ191" s="59">
        <f t="shared" si="146"/>
        <v>310.34820112478593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2.2081427726827698</v>
      </c>
      <c r="BQ191" s="21">
        <f>EXP(-LN(2)/25)*BQ190+(1-EXP(-LN(2)/25))/(LN(2)/25)*Calculateur!BL191*Calculateur!BN191*VLOOKUP('Données projet'!$B$11,Paramètres!$A$1:$I$89,3,0)*0.475*44/12</f>
        <v>0.15235722573131685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2.3604999984140869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102.77795559500703</v>
      </c>
      <c r="CE191" s="59">
        <f t="shared" si="148"/>
        <v>288.83946957374047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2.0416270881853791</v>
      </c>
      <c r="CL191" s="21">
        <f>EXP(-LN(2)/25)*CL190+(1-EXP(-LN(2)/25))/(LN(2)/25)*Calculateur!CG191*Calculateur!CI191*VLOOKUP('Données projet'!$B$12,Paramètres!$A$1:$I$89,3,0)*0.475*44/12</f>
        <v>0.1408679923155125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2.1824950805008916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6">
        <f t="shared" si="110"/>
        <v>256.66666666666669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134.64362224914908</v>
      </c>
      <c r="T192" s="59">
        <f t="shared" si="142"/>
        <v>312.46749071109713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2.2848857370508449</v>
      </c>
      <c r="AA192" s="21">
        <f>EXP(-LN(2)/25)*AA191+(1-EXP(-LN(2)/25))/(LN(2)/25)*Calculateur!V192*Calculateur!X192*VLOOKUP('Données projet'!$B$9,Paramètres!$A$1:$I$89,3,0)*0.475*44/12</f>
        <v>0.16016996401187267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2.4450557010627176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144.46767095844729</v>
      </c>
      <c r="AO192" s="59">
        <f t="shared" si="144"/>
        <v>335.56739599097097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2.4712416659592491</v>
      </c>
      <c r="AV192" s="21">
        <f>EXP(-LN(2)/25)*AV191+(1-EXP(-LN(2)/25))/(LN(2)/25)*Calculateur!AQ192*Calculateur!AS192*VLOOKUP('Données projet'!$B$10,Paramètres!$A$1:$I$89,3,0)*0.475*44/12</f>
        <v>0.17323347171496828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2.6444751376742173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110.21219780294564</v>
      </c>
      <c r="BJ192" s="59">
        <f t="shared" si="146"/>
        <v>310.34820112478593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2.1648424397445631</v>
      </c>
      <c r="BQ192" s="21">
        <f>EXP(-LN(2)/25)*BQ191+(1-EXP(-LN(2)/25))/(LN(2)/25)*Calculateur!BL192*Calculateur!BN192*VLOOKUP('Données projet'!$B$11,Paramètres!$A$1:$I$89,3,0)*0.475*44/12</f>
        <v>0.1481910093815757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2.3130334491261388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102.77795559500703</v>
      </c>
      <c r="CE192" s="59">
        <f t="shared" si="148"/>
        <v>288.83946957374047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2.0015920262556275</v>
      </c>
      <c r="CL192" s="21">
        <f>EXP(-LN(2)/25)*CL191+(1-EXP(-LN(2)/25))/(LN(2)/25)*Calculateur!CG192*Calculateur!CI192*VLOOKUP('Données projet'!$B$12,Paramètres!$A$1:$I$89,3,0)*0.475*44/12</f>
        <v>0.13701594965771904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2.1386079759133465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6">
        <f t="shared" si="110"/>
        <v>256.66666666666669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134.64362224914908</v>
      </c>
      <c r="T193" s="59">
        <f t="shared" si="142"/>
        <v>312.46749071109713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2.2400805213899666</v>
      </c>
      <c r="AA193" s="21">
        <f>EXP(-LN(2)/25)*AA192+(1-EXP(-LN(2)/25))/(LN(2)/25)*Calculateur!V193*Calculateur!X193*VLOOKUP('Données projet'!$B$9,Paramètres!$A$1:$I$89,3,0)*0.475*44/12</f>
        <v>0.15579010792299566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2.3958706293129621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144.46767095844729</v>
      </c>
      <c r="AO193" s="59">
        <f t="shared" si="144"/>
        <v>335.56739599097097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2.42278212419837</v>
      </c>
      <c r="AV193" s="21">
        <f>EXP(-LN(2)/25)*AV192+(1-EXP(-LN(2)/25))/(LN(2)/25)*Calculateur!AQ193*Calculateur!AS193*VLOOKUP('Données projet'!$B$10,Paramètres!$A$1:$I$89,3,0)*0.475*44/12</f>
        <v>0.16849639332097013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2.5912785175193402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110.21219780294564</v>
      </c>
      <c r="BJ193" s="59">
        <f t="shared" si="146"/>
        <v>310.34820112478593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2.1223911999246794</v>
      </c>
      <c r="BQ193" s="21">
        <f>EXP(-LN(2)/25)*BQ192+(1-EXP(-LN(2)/25))/(LN(2)/25)*Calculateur!BL193*Calculateur!BN193*VLOOKUP('Données projet'!$B$11,Paramètres!$A$1:$I$89,3,0)*0.475*44/12</f>
        <v>0.14413871843701001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2.2665299183616896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102.77795559500703</v>
      </c>
      <c r="CE193" s="59">
        <f t="shared" si="148"/>
        <v>288.83946957374047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1.9623420274713417</v>
      </c>
      <c r="CL193" s="21">
        <f>EXP(-LN(2)/25)*CL192+(1-EXP(-LN(2)/25))/(LN(2)/25)*Calculateur!CG193*Calculateur!CI193*VLOOKUP('Données projet'!$B$12,Paramètres!$A$1:$I$89,3,0)*0.475*44/12</f>
        <v>0.13326924130897308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2.0956112687803148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6">
        <f t="shared" si="110"/>
        <v>256.66666666666669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134.64362224914908</v>
      </c>
      <c r="T194" s="59">
        <f t="shared" si="142"/>
        <v>312.46749071109713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2.1961539086797153</v>
      </c>
      <c r="AA194" s="21">
        <f>EXP(-LN(2)/25)*AA193+(1-EXP(-LN(2)/25))/(LN(2)/25)*Calculateur!V194*Calculateur!X194*VLOOKUP('Données projet'!$B$9,Paramètres!$A$1:$I$89,3,0)*0.475*44/12</f>
        <v>0.15153001922919562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2.347683927908911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144.46767095844729</v>
      </c>
      <c r="AO194" s="59">
        <f t="shared" si="144"/>
        <v>335.56739599097097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2.3752728444940199</v>
      </c>
      <c r="AV194" s="21">
        <f>EXP(-LN(2)/25)*AV193+(1-EXP(-LN(2)/25))/(LN(2)/25)*Calculateur!AQ194*Calculateur!AS194*VLOOKUP('Données projet'!$B$10,Paramètres!$A$1:$I$89,3,0)*0.475*44/12</f>
        <v>0.16388885058476799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2.5391616950787879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110.21219780294564</v>
      </c>
      <c r="BJ194" s="59">
        <f t="shared" si="146"/>
        <v>310.34820112478593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2.0807724030249641</v>
      </c>
      <c r="BQ194" s="21">
        <f>EXP(-LN(2)/25)*BQ193+(1-EXP(-LN(2)/25))/(LN(2)/25)*Calculateur!BL194*Calculateur!BN194*VLOOKUP('Données projet'!$B$11,Paramètres!$A$1:$I$89,3,0)*0.475*44/12</f>
        <v>0.14019723760142419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2.2209696406263881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102.77795559500703</v>
      </c>
      <c r="CE194" s="59">
        <f t="shared" si="148"/>
        <v>288.83946957374047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1.9238616972230804</v>
      </c>
      <c r="CL194" s="21">
        <f>EXP(-LN(2)/25)*CL193+(1-EXP(-LN(2)/25))/(LN(2)/25)*Calculateur!CG194*Calculateur!CI194*VLOOKUP('Données projet'!$B$12,Paramètres!$A$1:$I$89,3,0)*0.475*44/12</f>
        <v>0.1296249868970544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2.0534866841201347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6">
        <f t="shared" si="110"/>
        <v>256.66666666666669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134.64362224914908</v>
      </c>
      <c r="T195" s="59">
        <f t="shared" si="142"/>
        <v>312.46749071109713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2.1530886700521235</v>
      </c>
      <c r="AA195" s="21">
        <f>EXP(-LN(2)/25)*AA194+(1-EXP(-LN(2)/25))/(LN(2)/25)*Calculateur!V195*Calculateur!X195*VLOOKUP('Données projet'!$B$9,Paramètres!$A$1:$I$89,3,0)*0.475*44/12</f>
        <v>0.1473864228847559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2.3004750929368791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144.46767095844729</v>
      </c>
      <c r="AO195" s="59">
        <f t="shared" si="144"/>
        <v>335.56739599097097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2.3286951927868729</v>
      </c>
      <c r="AV195" s="21">
        <f>EXP(-LN(2)/25)*AV194+(1-EXP(-LN(2)/25))/(LN(2)/25)*Calculateur!AQ195*Calculateur!AS195*VLOOKUP('Données projet'!$B$10,Paramètres!$A$1:$I$89,3,0)*0.475*44/12</f>
        <v>0.15940730134698744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2.4881024941338605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110.21219780294564</v>
      </c>
      <c r="BJ195" s="59">
        <f t="shared" si="146"/>
        <v>310.34820112478593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2.0399697253474929</v>
      </c>
      <c r="BQ195" s="21">
        <f>EXP(-LN(2)/25)*BQ194+(1-EXP(-LN(2)/25))/(LN(2)/25)*Calculateur!BL195*Calculateur!BN195*VLOOKUP('Données projet'!$B$11,Paramètres!$A$1:$I$89,3,0)*0.475*44/12</f>
        <v>0.13636353676656093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2.1763332621140536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102.77795559500703</v>
      </c>
      <c r="CE195" s="59">
        <f t="shared" si="148"/>
        <v>288.83946957374047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1.8861359427803035</v>
      </c>
      <c r="CL195" s="21">
        <f>EXP(-LN(2)/25)*CL194+(1-EXP(-LN(2)/25))/(LN(2)/25)*Calculateur!CG195*Calculateur!CI195*VLOOKUP('Données projet'!$B$12,Paramètres!$A$1:$I$89,3,0)*0.475*44/12</f>
        <v>0.12608038481367265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2.012216327593976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6">
        <f t="shared" ref="H196:H203" si="192">(B196+E196+F196)*44/12+(C196+D196)*0.475*44/12</f>
        <v>256.66666666666669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134.64362224914908</v>
      </c>
      <c r="T196" s="59">
        <f t="shared" si="142"/>
        <v>312.46749071109713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2.1108679144868168</v>
      </c>
      <c r="AA196" s="21">
        <f>EXP(-LN(2)/25)*AA195+(1-EXP(-LN(2)/25))/(LN(2)/25)*Calculateur!V196*Calculateur!X196*VLOOKUP('Données projet'!$B$9,Paramètres!$A$1:$I$89,3,0)*0.475*44/12</f>
        <v>0.14335613340025713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2.2542240478870741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144.46767095844729</v>
      </c>
      <c r="AO196" s="59">
        <f t="shared" si="144"/>
        <v>335.56739599097097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2.2830309004201408</v>
      </c>
      <c r="AV196" s="21">
        <f>EXP(-LN(2)/25)*AV195+(1-EXP(-LN(2)/25))/(LN(2)/25)*Calculateur!AQ196*Calculateur!AS196*VLOOKUP('Données projet'!$B$10,Paramètres!$A$1:$I$89,3,0)*0.475*44/12</f>
        <v>0.15504830030878841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2.4380792007289291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110.21219780294564</v>
      </c>
      <c r="BJ196" s="59">
        <f t="shared" si="146"/>
        <v>310.34820112478593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1.9999671632921006</v>
      </c>
      <c r="BQ196" s="21">
        <f>EXP(-LN(2)/25)*BQ195+(1-EXP(-LN(2)/25))/(LN(2)/25)*Calculateur!BL196*Calculateur!BN196*VLOOKUP('Données projet'!$B$11,Paramètres!$A$1:$I$89,3,0)*0.475*44/12</f>
        <v>0.1326346686826326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2.1326018319747333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102.77795559500703</v>
      </c>
      <c r="CE196" s="59">
        <f t="shared" si="148"/>
        <v>288.83946957374047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1.8491499673717113</v>
      </c>
      <c r="CL196" s="21">
        <f>EXP(-LN(2)/25)*CL195+(1-EXP(-LN(2)/25))/(LN(2)/25)*Calculateur!CG196*Calculateur!CI196*VLOOKUP('Données projet'!$B$12,Paramètres!$A$1:$I$89,3,0)*0.475*44/12</f>
        <v>0.12263271006066349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1.9717826774323748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6">
        <f t="shared" si="192"/>
        <v>256.66666666666669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134.64362224914908</v>
      </c>
      <c r="T197" s="59">
        <f t="shared" ref="T197:T203" si="204">$T$3</f>
        <v>312.46749071109713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2.0694750821860279</v>
      </c>
      <c r="AA197" s="21">
        <f>EXP(-LN(2)/25)*AA196+(1-EXP(-LN(2)/25))/(LN(2)/25)*Calculateur!V197*Calculateur!X197*VLOOKUP('Données projet'!$B$9,Paramètres!$A$1:$I$89,3,0)*0.475*44/12</f>
        <v>0.1394360523936557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2.2089111345796835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144.46767095844729</v>
      </c>
      <c r="AO197" s="59">
        <f t="shared" ref="AO197:AO203" si="205">$AO$3</f>
        <v>335.56739599097097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2.2382620569742522</v>
      </c>
      <c r="AV197" s="21">
        <f>EXP(-LN(2)/25)*AV196+(1-EXP(-LN(2)/25))/(LN(2)/25)*Calculateur!AQ197*Calculateur!AS197*VLOOKUP('Données projet'!$B$10,Paramètres!$A$1:$I$89,3,0)*0.475*44/12</f>
        <v>0.15080849638320884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2.389070553357461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110.21219780294564</v>
      </c>
      <c r="BJ197" s="59">
        <f t="shared" ref="BJ197:BJ203" si="206">$BJ$3</f>
        <v>310.34820112478593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1.960749027079461</v>
      </c>
      <c r="BQ197" s="21">
        <f>EXP(-LN(2)/25)*BQ196+(1-EXP(-LN(2)/25))/(LN(2)/25)*Calculateur!BL197*Calculateur!BN197*VLOOKUP('Données projet'!$B$11,Paramètres!$A$1:$I$89,3,0)*0.475*44/12</f>
        <v>0.12900776669255193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2.089756793772013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102.77795559500703</v>
      </c>
      <c r="CE197" s="59">
        <f t="shared" ref="CE197:CE203" si="207">$CE$3</f>
        <v>288.83946957374047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1.8128892643816643</v>
      </c>
      <c r="CL197" s="21">
        <f>EXP(-LN(2)/25)*CL196+(1-EXP(-LN(2)/25))/(LN(2)/25)*Calculateur!CG197*Calculateur!CI197*VLOOKUP('Données projet'!$B$12,Paramètres!$A$1:$I$89,3,0)*0.475*44/12</f>
        <v>0.11927931215508071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1.9321685765367451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6">
        <f t="shared" si="192"/>
        <v>256.66666666666669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134.64362224914908</v>
      </c>
      <c r="T198" s="59">
        <f t="shared" si="204"/>
        <v>312.46749071109713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2.0288939380795226</v>
      </c>
      <c r="AA198" s="21">
        <f>EXP(-LN(2)/25)*AA197+(1-EXP(-LN(2)/25))/(LN(2)/25)*Calculateur!V198*Calculateur!X198*VLOOKUP('Données projet'!$B$9,Paramètres!$A$1:$I$89,3,0)*0.475*44/12</f>
        <v>0.13562316620832787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2.1645171042878504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144.46767095844729</v>
      </c>
      <c r="AO198" s="59">
        <f t="shared" si="205"/>
        <v>335.56739599097097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2.1943711032420392</v>
      </c>
      <c r="AV198" s="21">
        <f>EXP(-LN(2)/25)*AV197+(1-EXP(-LN(2)/25))/(LN(2)/25)*Calculateur!AQ198*Calculateur!AS198*VLOOKUP('Données projet'!$B$10,Paramètres!$A$1:$I$89,3,0)*0.475*44/12</f>
        <v>0.14668463011893584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2.3410557333609749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110.21219780294564</v>
      </c>
      <c r="BJ198" s="59">
        <f t="shared" si="206"/>
        <v>310.34820112478593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1.92229993459725</v>
      </c>
      <c r="BQ198" s="21">
        <f>EXP(-LN(2)/25)*BQ197+(1-EXP(-LN(2)/25))/(LN(2)/25)*Calculateur!BL198*Calculateur!BN198*VLOOKUP('Données projet'!$B$11,Paramètres!$A$1:$I$89,3,0)*0.475*44/12</f>
        <v>0.12548004252812051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2.0477799771253706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102.77795559500703</v>
      </c>
      <c r="CE198" s="59">
        <f t="shared" si="207"/>
        <v>288.83946957374047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1.777339611660407</v>
      </c>
      <c r="CL198" s="21">
        <f>EXP(-LN(2)/25)*CL197+(1-EXP(-LN(2)/25))/(LN(2)/25)*Calculateur!CG198*Calculateur!CI198*VLOOKUP('Données projet'!$B$12,Paramètres!$A$1:$I$89,3,0)*0.475*44/12</f>
        <v>0.11601761309157362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1.8933572247519805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6">
        <f t="shared" si="192"/>
        <v>256.66666666666669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134.64362224914908</v>
      </c>
      <c r="T199" s="59">
        <f t="shared" si="204"/>
        <v>312.46749071109713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1.9891085654568921</v>
      </c>
      <c r="AA199" s="21">
        <f>EXP(-LN(2)/25)*AA198+(1-EXP(-LN(2)/25))/(LN(2)/25)*Calculateur!V199*Calculateur!X199*VLOOKUP('Données projet'!$B$9,Paramètres!$A$1:$I$89,3,0)*0.475*44/12</f>
        <v>0.1319145435962488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2.1210231090531408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144.46767095844729</v>
      </c>
      <c r="AO199" s="59">
        <f t="shared" si="205"/>
        <v>335.56739599097097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2.1513408243416765</v>
      </c>
      <c r="AV199" s="21">
        <f>EXP(-LN(2)/25)*AV198+(1-EXP(-LN(2)/25))/(LN(2)/25)*Calculateur!AQ199*Calculateur!AS199*VLOOKUP('Données projet'!$B$10,Paramètres!$A$1:$I$89,3,0)*0.475*44/12</f>
        <v>0.14267353119452408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2.2940143555362007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110.21219780294564</v>
      </c>
      <c r="BJ199" s="59">
        <f t="shared" si="206"/>
        <v>310.34820112478593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1.8846048053669846</v>
      </c>
      <c r="BQ199" s="21">
        <f>EXP(-LN(2)/25)*BQ198+(1-EXP(-LN(2)/25))/(LN(2)/25)*Calculateur!BL199*Calculateur!BN199*VLOOKUP('Données projet'!$B$11,Paramètres!$A$1:$I$89,3,0)*0.475*44/12</f>
        <v>0.12204878416648041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2.0066535895334652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102.77795559500703</v>
      </c>
      <c r="CE199" s="59">
        <f t="shared" si="207"/>
        <v>288.83946957374047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1.7424870659458664</v>
      </c>
      <c r="CL199" s="21">
        <f>EXP(-LN(2)/25)*CL198+(1-EXP(-LN(2)/25))/(LN(2)/25)*Calculateur!CG199*Calculateur!CI199*VLOOKUP('Données projet'!$B$12,Paramètres!$A$1:$I$89,3,0)*0.475*44/12</f>
        <v>0.11284510536048342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1.8553321713063498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6">
        <f t="shared" si="192"/>
        <v>256.66666666666669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134.64362224914908</v>
      </c>
      <c r="T200" s="59">
        <f t="shared" si="204"/>
        <v>312.46749071109713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1.9501033597247102</v>
      </c>
      <c r="AA200" s="21">
        <f>EXP(-LN(2)/25)*AA199+(1-EXP(-LN(2)/25))/(LN(2)/25)*Calculateur!V200*Calculateur!X200*VLOOKUP('Données projet'!$B$9,Paramètres!$A$1:$I$89,3,0)*0.475*44/12</f>
        <v>0.12830733346452503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2.0784106931892352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144.46767095844729</v>
      </c>
      <c r="AO200" s="59">
        <f t="shared" si="205"/>
        <v>335.56739599097097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2.1091543429646711</v>
      </c>
      <c r="AV200" s="21">
        <f>EXP(-LN(2)/25)*AV199+(1-EXP(-LN(2)/25))/(LN(2)/25)*Calculateur!AQ200*Calculateur!AS200*VLOOKUP('Données projet'!$B$10,Paramètres!$A$1:$I$89,3,0)*0.475*44/12</f>
        <v>0.1387721159811349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2.2479264589458059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110.21219780294564</v>
      </c>
      <c r="BJ200" s="59">
        <f t="shared" si="206"/>
        <v>310.34820112478593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1.8476488546291661</v>
      </c>
      <c r="BQ200" s="21">
        <f>EXP(-LN(2)/25)*BQ199+(1-EXP(-LN(2)/25))/(LN(2)/25)*Calculateur!BL200*Calculateur!BN200*VLOOKUP('Données projet'!$B$11,Paramètres!$A$1:$I$89,3,0)*0.475*44/12</f>
        <v>0.11871135374518138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1.9663602083743474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102.77795559500703</v>
      </c>
      <c r="CE200" s="59">
        <f t="shared" si="207"/>
        <v>288.83946957374047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1.7083179573948342</v>
      </c>
      <c r="CL200" s="21">
        <f>EXP(-LN(2)/25)*CL199+(1-EXP(-LN(2)/25))/(LN(2)/25)*Calculateur!CG200*Calculateur!CI200*VLOOKUP('Données projet'!$B$12,Paramètres!$A$1:$I$89,3,0)*0.475*44/12</f>
        <v>0.10975935002013482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1.818077307414969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6">
        <f t="shared" si="192"/>
        <v>256.66666666666669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134.64362224914908</v>
      </c>
      <c r="T201" s="59">
        <f t="shared" si="204"/>
        <v>312.46749071109713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1.9118630222861099</v>
      </c>
      <c r="AA201" s="21">
        <f>EXP(-LN(2)/25)*AA200+(1-EXP(-LN(2)/25))/(LN(2)/25)*Calculateur!V201*Calculateur!X201*VLOOKUP('Données projet'!$B$9,Paramètres!$A$1:$I$89,3,0)*0.475*44/12</f>
        <v>0.12479876268354817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2.0366617849696582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144.46767095844729</v>
      </c>
      <c r="AO201" s="59">
        <f t="shared" si="205"/>
        <v>335.56739599097097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2.0677951127562562</v>
      </c>
      <c r="AV201" s="21">
        <f>EXP(-LN(2)/25)*AV200+(1-EXP(-LN(2)/25))/(LN(2)/25)*Calculateur!AQ201*Calculateur!AS201*VLOOKUP('Données projet'!$B$10,Paramètres!$A$1:$I$89,3,0)*0.475*44/12</f>
        <v>0.13497738517192234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2.2027724979281786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110.21219780294564</v>
      </c>
      <c r="BJ201" s="59">
        <f t="shared" si="206"/>
        <v>310.34820112478593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1.8114175875444118</v>
      </c>
      <c r="BQ201" s="21">
        <f>EXP(-LN(2)/25)*BQ200+(1-EXP(-LN(2)/25))/(LN(2)/25)*Calculateur!BL201*Calculateur!BN201*VLOOKUP('Données projet'!$B$11,Paramètres!$A$1:$I$89,3,0)*0.475*44/12</f>
        <v>0.11546518553426062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1.9268827730786724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102.77795559500703</v>
      </c>
      <c r="CE201" s="59">
        <f t="shared" si="207"/>
        <v>288.83946957374047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1.6748188842213894</v>
      </c>
      <c r="CL201" s="21">
        <f>EXP(-LN(2)/25)*CL200+(1-EXP(-LN(2)/25))/(LN(2)/25)*Calculateur!CG201*Calculateur!CI201*VLOOKUP('Données projet'!$B$12,Paramètres!$A$1:$I$89,3,0)*0.475*44/12</f>
        <v>0.10675797482184086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1.7815768590432302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6">
        <f t="shared" si="192"/>
        <v>256.66666666666669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134.64362224914908</v>
      </c>
      <c r="T202" s="59">
        <f t="shared" si="204"/>
        <v>312.46749071109713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1.874372554540378</v>
      </c>
      <c r="AA202" s="21">
        <f>EXP(-LN(2)/25)*AA201+(1-EXP(-LN(2)/25))/(LN(2)/25)*Calculateur!V202*Calculateur!X202*VLOOKUP('Données projet'!$B$9,Paramètres!$A$1:$I$89,3,0)*0.475*44/12</f>
        <v>0.12138613395508485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1.9957586884954628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144.46767095844729</v>
      </c>
      <c r="AO202" s="59">
        <f t="shared" si="205"/>
        <v>335.56739599097097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2.0272469118255887</v>
      </c>
      <c r="AV202" s="21">
        <f>EXP(-LN(2)/25)*AV201+(1-EXP(-LN(2)/25))/(LN(2)/25)*Calculateur!AQ202*Calculateur!AS202*VLOOKUP('Données projet'!$B$10,Paramètres!$A$1:$I$89,3,0)*0.475*44/12</f>
        <v>0.13128642147624395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2.1585333333018326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110.21219780294564</v>
      </c>
      <c r="BJ202" s="59">
        <f t="shared" si="206"/>
        <v>310.34820112478593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1.775896793508299</v>
      </c>
      <c r="BQ202" s="21">
        <f>EXP(-LN(2)/25)*BQ201+(1-EXP(-LN(2)/25))/(LN(2)/25)*Calculateur!BL202*Calculateur!BN202*VLOOKUP('Données projet'!$B$11,Paramètres!$A$1:$I$89,3,0)*0.475*44/12</f>
        <v>0.11230778396377605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1.888204577472075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102.77795559500703</v>
      </c>
      <c r="CE202" s="59">
        <f t="shared" si="207"/>
        <v>288.83946957374047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1.6419767074404588</v>
      </c>
      <c r="CL202" s="21">
        <f>EXP(-LN(2)/25)*CL201+(1-EXP(-LN(2)/25))/(LN(2)/25)*Calculateur!CG202*Calculateur!CI202*VLOOKUP('Données projet'!$B$12,Paramètres!$A$1:$I$89,3,0)*0.475*44/12</f>
        <v>0.10383867238617973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1.7458153798266385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6">
        <f t="shared" si="192"/>
        <v>256.66666666666669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134.64362224914908</v>
      </c>
      <c r="T203" s="59">
        <f t="shared" si="204"/>
        <v>312.46749071109713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1.8376172520002125</v>
      </c>
      <c r="AA203" s="21">
        <f>EXP(-LN(2)/25)*AA202+(1-EXP(-LN(2)/25))/(LN(2)/25)*Calculateur!V203*Calculateur!X203*VLOOKUP('Données projet'!$B$9,Paramètres!$A$1:$I$89,3,0)*0.475*44/12</f>
        <v>0.1180668237386637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1.9556840757388763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144.46767095844729</v>
      </c>
      <c r="AO203" s="59">
        <f t="shared" si="205"/>
        <v>335.56739599097097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1.9874938363832111</v>
      </c>
      <c r="AV203" s="21">
        <f>EXP(-LN(2)/25)*AV202+(1-EXP(-LN(2)/25))/(LN(2)/25)*Calculateur!AQ203*Calculateur!AS203*VLOOKUP('Données projet'!$B$10,Paramètres!$A$1:$I$89,3,0)*0.475*44/12</f>
        <v>0.12769638737692321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2.1151902237601341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110.21219780294564</v>
      </c>
      <c r="BJ203" s="59">
        <f t="shared" si="206"/>
        <v>310.34820112478593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1.7410725405776892</v>
      </c>
      <c r="BQ203" s="21">
        <f>EXP(-LN(2)/25)*BQ202+(1-EXP(-LN(2)/25))/(LN(2)/25)*Calculateur!BL203*Calculateur!BN203*VLOOKUP('Données projet'!$B$11,Paramètres!$A$1:$I$89,3,0)*0.475*44/12</f>
        <v>0.10923672170527692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1.8503092622829662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102.77795559500703</v>
      </c>
      <c r="CE203" s="59">
        <f t="shared" si="207"/>
        <v>288.83946957374047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1.6097785457144522</v>
      </c>
      <c r="CL203" s="21">
        <f>EXP(-LN(2)/25)*CL202+(1-EXP(-LN(2)/25))/(LN(2)/25)*Calculateur!CG203*Calculateur!CI203*VLOOKUP('Données projet'!$B$12,Paramètres!$A$1:$I$89,3,0)*0.475*44/12</f>
        <v>0.10099919842914119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1.7107777441435934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1.660847009958063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1.660847009958063</v>
      </c>
      <c r="BA205" s="81">
        <f>EXP(LN('Données projet'!B88)/'Données projet'!A88)</f>
        <v>1.660847009958063</v>
      </c>
      <c r="BV205" s="81">
        <f>EXP(LN('Données projet'!B114)/'Données projet'!A114)</f>
        <v>1.660847009958063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1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2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1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3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3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2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1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2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2" t="s">
        <v>271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Peuplier I-214</v>
      </c>
      <c r="B6" s="144">
        <f>'Données projet'!D9</f>
        <v>2.4012251148545176</v>
      </c>
      <c r="C6" s="145">
        <f ca="1">IF(OR('Données projet'!B9="",'Données projet'!C9="",'Données projet'!C9=0%),0,Calculateur!S3)</f>
        <v>134.64362224914908</v>
      </c>
      <c r="D6" s="145">
        <f>IF(OR('Données projet'!B9="",'Données projet'!C9="",'Données projet'!C9=0%),0,Calculateur!T3)</f>
        <v>312.46749071109713</v>
      </c>
      <c r="E6" s="145">
        <f ca="1">MIN(C6,D6)</f>
        <v>134.64362224914908</v>
      </c>
      <c r="F6" s="145">
        <f ca="1">E6*B6</f>
        <v>323.30964729964126</v>
      </c>
      <c r="G6" s="145">
        <f ca="1">F6*(100%-'Données projet'!$C$24)*(100%-'Données projet'!$C$25)*(100%-'Données projet'!$C$26)*(100%-'Données projet'!$C$27)</f>
        <v>221.14379875295464</v>
      </c>
      <c r="H6" s="146">
        <f>IF(OR('Données projet'!B9="",'Données projet'!C9="",'Données projet'!C9=0%),0,AVERAGE(Calculateur!$AC$3:$AC$33)*B6)</f>
        <v>76.293632700772534</v>
      </c>
      <c r="I6" s="147">
        <f>H6*(100%-'Données projet'!$C$24)*(100%-'Données projet'!$C$25)*(100%-'Données projet'!$C$26)*(100%-'Données projet'!$C$27)</f>
        <v>52.184844767328407</v>
      </c>
      <c r="J6" s="148">
        <f>IF(OR('Données projet'!B9="",'Données projet'!C9="",'Données projet'!C9=0%),0,SUM(Calculateur!$V$3:$V$33)*VLOOKUP('Données projet'!$B$9,Paramètres!$A$1:$I$89,9,0)*B6)</f>
        <v>743.5639846631301</v>
      </c>
      <c r="K6" s="149">
        <f>J6*(100%-'Données projet'!$C$24)*(100%-'Données projet'!$C$25)*(100%-'Données projet'!$C$26)*(100%-'Données projet'!$C$27)</f>
        <v>508.59776550958094</v>
      </c>
      <c r="L6" s="150">
        <f ca="1">G6+I6+K6</f>
        <v>781.92640902986398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Peuplier Polargo</v>
      </c>
      <c r="B7" s="152">
        <f>'Données projet'!D10</f>
        <v>0.79877488514548245</v>
      </c>
      <c r="C7" s="145">
        <f ca="1">IF(OR('Données projet'!B10="",'Données projet'!C10="",'Données projet'!C10=0%),0,Calculateur!AN3)</f>
        <v>144.46767095844729</v>
      </c>
      <c r="D7" s="145">
        <f>IF(OR('Données projet'!B10="",'Données projet'!C10="",'Données projet'!C10=0%),0,Calculateur!AO3)</f>
        <v>335.56739599097097</v>
      </c>
      <c r="E7" s="145">
        <f t="shared" ref="E7:E15" ca="1" si="0">MIN(C7,D7)</f>
        <v>144.46767095844729</v>
      </c>
      <c r="F7" s="145">
        <f t="shared" ref="F7:F15" ca="1" si="1">E7*B7</f>
        <v>115.39714727706908</v>
      </c>
      <c r="G7" s="145">
        <f ca="1">F7*(100%-'Données projet'!$C$24)*(100%-'Données projet'!$C$25)*(100%-'Données projet'!$C$26)*(100%-'Données projet'!$C$27)</f>
        <v>78.931648737515246</v>
      </c>
      <c r="H7" s="153">
        <f>IF(OR('Données projet'!B10="",'Données projet'!C10="",'Données projet'!C10=0%),0,AVERAGE(Calculateur!$AX$3:$AX$33)*B7)</f>
        <v>27.449254231574081</v>
      </c>
      <c r="I7" s="147">
        <f>H7*(100%-'Données projet'!$C$24)*(100%-'Données projet'!$C$25)*(100%-'Données projet'!$C$26)*(100%-'Données projet'!$C$27)</f>
        <v>18.775289894396671</v>
      </c>
      <c r="J7" s="148">
        <f>IF(OR('Données projet'!B10="",'Données projet'!C10="",'Données projet'!C10=0%),0,SUM(Calculateur!$AQ$3:$AQ$33)*VLOOKUP('Données projet'!$B$10,Paramètres!$A$1:$I$89,9,0)*B7)</f>
        <v>247.34883571446983</v>
      </c>
      <c r="K7" s="149">
        <f>J7*(100%-'Données projet'!$C$24)*(100%-'Données projet'!$C$25)*(100%-'Données projet'!$C$26)*(100%-'Données projet'!$C$27)</f>
        <v>169.18660362869736</v>
      </c>
      <c r="L7" s="150">
        <f t="shared" ref="L7:L15" ca="1" si="2">G7+I7+K7</f>
        <v>266.89354226060925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Peuplier Polargo</v>
      </c>
      <c r="B8" s="152">
        <f>'Données projet'!D11</f>
        <v>1.2986217457886677</v>
      </c>
      <c r="C8" s="145">
        <f ca="1">IF(OR('Données projet'!B11="",'Données projet'!C11="",'Données projet'!C11=0%),0,Calculateur!BI3)</f>
        <v>110.21219780294564</v>
      </c>
      <c r="D8" s="145">
        <f>IF(OR('Données projet'!B11="",'Données projet'!C11="",'Données projet'!C11=0%),0,Calculateur!BJ3)</f>
        <v>310.34820112478593</v>
      </c>
      <c r="E8" s="145">
        <f t="shared" ca="1" si="0"/>
        <v>110.21219780294564</v>
      </c>
      <c r="F8" s="145">
        <f t="shared" ca="1" si="1"/>
        <v>143.12395671806723</v>
      </c>
      <c r="G8" s="145">
        <f ca="1">F8*(100%-'Données projet'!$C$24)*(100%-'Données projet'!$C$25)*(100%-'Données projet'!$C$26)*(100%-'Données projet'!$C$27)</f>
        <v>97.896786395157989</v>
      </c>
      <c r="H8" s="153">
        <f>IF(OR('Données projet'!B11="",'Données projet'!C11="",'Données projet'!C11=0%),0,AVERAGE(Calculateur!$BS$3:$BS$33)*B8)</f>
        <v>49.528602565559076</v>
      </c>
      <c r="I8" s="147">
        <f>H8*(100%-'Données projet'!$C$24)*(100%-'Données projet'!$C$25)*(100%-'Données projet'!$C$26)*(100%-'Données projet'!$C$27)</f>
        <v>33.87756415484241</v>
      </c>
      <c r="J8" s="148">
        <f>IF(OR('Données projet'!B11="",'Données projet'!C11="",'Données projet'!C11=0%),0,SUM(Calculateur!$BL$3:$BL$33)*VLOOKUP('Données projet'!$B$11,Paramètres!$A$1:$I$89,9,0)*B8)</f>
        <v>373.83657283687603</v>
      </c>
      <c r="K8" s="149">
        <f>J8*(100%-'Données projet'!$C$24)*(100%-'Données projet'!$C$25)*(100%-'Données projet'!$C$26)*(100%-'Données projet'!$C$27)</f>
        <v>255.70421582042317</v>
      </c>
      <c r="L8" s="150">
        <f t="shared" ca="1" si="2"/>
        <v>387.47856637042355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Peuplier I-214</v>
      </c>
      <c r="B9" s="152">
        <f>'Données projet'!D12</f>
        <v>1.9013782542113322</v>
      </c>
      <c r="C9" s="145">
        <f ca="1">IF(OR('Données projet'!B12="",'Données projet'!C12="",'Données projet'!C12=0%),0,Calculateur!CD3)</f>
        <v>102.77795559500703</v>
      </c>
      <c r="D9" s="145">
        <f>IF(OR('Données projet'!B12="",'Données projet'!C12="",'Données projet'!C12=0%),0,Calculateur!CE3)</f>
        <v>288.83946957374047</v>
      </c>
      <c r="E9" s="145">
        <f t="shared" ca="1" si="0"/>
        <v>102.77795559500703</v>
      </c>
      <c r="F9" s="145">
        <f t="shared" ca="1" si="1"/>
        <v>195.41976978064429</v>
      </c>
      <c r="G9" s="145">
        <f ca="1">F9*(100%-'Données projet'!$C$24)*(100%-'Données projet'!$C$25)*(100%-'Données projet'!$C$26)*(100%-'Données projet'!$C$27)</f>
        <v>133.66712252996069</v>
      </c>
      <c r="H9" s="153">
        <f>IF(OR('Données projet'!B12="",'Données projet'!C12="",'Données projet'!C12=0%),0,AVERAGE(Calculateur!$CN$3:$CN$33)*B9)</f>
        <v>67.048828683120448</v>
      </c>
      <c r="I9" s="147">
        <f>H9*(100%-'Données projet'!$C$24)*(100%-'Données projet'!$C$25)*(100%-'Données projet'!$C$26)*(100%-'Données projet'!$C$27)</f>
        <v>45.861398819254383</v>
      </c>
      <c r="J9" s="148">
        <f>IF(OR('Données projet'!B12="",'Données projet'!C12="",'Données projet'!C12=0%),0,SUM(Calculateur!$CG$3:$CG$33)*VLOOKUP('Données projet'!$B$12,Paramètres!$A$1:$I$89,9,0)*B9)</f>
        <v>547.35317079512413</v>
      </c>
      <c r="K9" s="149">
        <f>J9*(100%-'Données projet'!$C$24)*(100%-'Données projet'!$C$25)*(100%-'Données projet'!$C$26)*(100%-'Données projet'!$C$27)</f>
        <v>374.38956882386492</v>
      </c>
      <c r="L9" s="150">
        <f t="shared" ca="1" si="2"/>
        <v>553.91809017308003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777.25052107542183</v>
      </c>
      <c r="G16" s="164">
        <f t="shared" ca="1" si="3"/>
        <v>531.63935641558851</v>
      </c>
      <c r="H16" s="165">
        <f t="shared" si="3"/>
        <v>220.32031818102615</v>
      </c>
      <c r="I16" s="165">
        <f t="shared" si="3"/>
        <v>150.69909763582189</v>
      </c>
      <c r="J16" s="166">
        <f t="shared" si="3"/>
        <v>1912.1025640096</v>
      </c>
      <c r="K16" s="166">
        <f t="shared" si="3"/>
        <v>1307.8781537825664</v>
      </c>
      <c r="L16" s="167">
        <f t="shared" ca="1" si="3"/>
        <v>1990.2166078339769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4" t="s">
        <v>246</v>
      </c>
      <c r="G17" s="295"/>
      <c r="H17" s="295"/>
      <c r="I17" s="295"/>
      <c r="J17" s="295"/>
      <c r="K17" s="295"/>
      <c r="L17" s="29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1"/>
      <c r="G18" s="281"/>
      <c r="H18" s="281"/>
      <c r="I18" s="281"/>
      <c r="J18" s="281"/>
      <c r="K18" s="281"/>
      <c r="L18" s="28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Peuplier I-214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Peuplier Polargo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Peuplier Polargo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Peuplier I-214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119" sqref="C119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2" t="s">
        <v>272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8" t="s">
        <v>315</v>
      </c>
      <c r="I4" s="268"/>
      <c r="K4" s="310" t="s">
        <v>253</v>
      </c>
      <c r="L4" s="311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2" t="s">
        <v>310</v>
      </c>
      <c r="S7" s="303"/>
      <c r="T7" s="303"/>
      <c r="U7" s="303"/>
      <c r="V7" s="30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I-214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2.4012251148545176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Peuplier Polargo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0.79877488514548245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Peuplier Polargo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1.2986217457886677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Peuplier I-214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1.9013782542113322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I-214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3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3"/>
      <c r="H16" s="188"/>
      <c r="I16" s="189"/>
      <c r="J16" s="200"/>
      <c r="K16" s="206"/>
      <c r="L16" s="310" t="s">
        <v>254</v>
      </c>
      <c r="M16" s="311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3"/>
      <c r="J17" s="200"/>
      <c r="K17" s="206"/>
      <c r="L17" s="270" t="s">
        <v>289</v>
      </c>
      <c r="M17" s="272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3"/>
      <c r="J18" s="200"/>
      <c r="K18" s="206"/>
      <c r="L18" s="270" t="s">
        <v>255</v>
      </c>
      <c r="M18" s="272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3"/>
      <c r="H19" s="210" t="s">
        <v>178</v>
      </c>
      <c r="I19" s="210" t="s">
        <v>287</v>
      </c>
      <c r="J19" s="91"/>
      <c r="K19" s="171"/>
      <c r="L19" s="310" t="s">
        <v>288</v>
      </c>
      <c r="M19" s="311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3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9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2" t="s">
        <v>260</v>
      </c>
      <c r="M23" s="312"/>
      <c r="N23" s="312"/>
      <c r="O23" s="23"/>
      <c r="P23" s="23"/>
      <c r="Q23" s="232"/>
      <c r="R23" s="23"/>
      <c r="S23" s="36" t="s">
        <v>264</v>
      </c>
      <c r="T23" s="30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7"/>
      <c r="V23" s="30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14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8"/>
      <c r="V24" s="30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18</v>
      </c>
      <c r="B25" s="179">
        <f>'Données projet'!D38</f>
        <v>300.64102559999998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09">
        <f ca="1">T23-T24</f>
        <v>0</v>
      </c>
      <c r="U25" s="309"/>
      <c r="V25" s="30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0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6" t="s">
        <v>258</v>
      </c>
      <c r="M26" s="297"/>
      <c r="N26" s="297"/>
      <c r="O26" s="297"/>
      <c r="P26" s="298"/>
      <c r="Q26" s="232"/>
      <c r="R26" s="23"/>
      <c r="S26" s="184" t="s">
        <v>265</v>
      </c>
      <c r="T26" s="306" t="str">
        <f ca="1">IF(T25&lt;0,"Votre projet est additionnel","Votre projet n'est pas additionnel")</f>
        <v>Votre projet n'est pas additionnel</v>
      </c>
      <c r="U26" s="306"/>
      <c r="V26" s="30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0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9"/>
      <c r="M27" s="300"/>
      <c r="N27" s="300"/>
      <c r="O27" s="300"/>
      <c r="P27" s="301"/>
      <c r="Q27" s="232"/>
      <c r="R27" s="23"/>
      <c r="S27" s="305" t="s">
        <v>267</v>
      </c>
      <c r="T27" s="305"/>
      <c r="U27" s="305"/>
      <c r="V27" s="30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0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0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Peuplier Polargo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 t="str">
        <f>IF(O48+1&lt;=MIN('Données projet'!$E$9:$E$18),O48+1,"STOP")</f>
        <v>STOP</v>
      </c>
      <c r="P49" s="183" t="e">
        <f t="shared" si="3"/>
        <v>#VALUE!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 t="e">
        <f>IF(O49+1&lt;=MIN('Données projet'!$E$9:$E$18),O49+1,"STOP")</f>
        <v>#VALUE!</v>
      </c>
      <c r="P50" s="183" t="e">
        <f t="shared" si="3"/>
        <v>#VALUE!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 t="e">
        <f>IF(O50+1&lt;=MIN('Données projet'!$E$9:$E$18),O50+1,"STOP")</f>
        <v>#VALUE!</v>
      </c>
      <c r="P51" s="183" t="e">
        <f t="shared" si="3"/>
        <v>#VALUE!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 t="e">
        <f>IF(O51+1&lt;=MIN('Données projet'!$E$9:$E$18),O51+1,"STOP")</f>
        <v>#VALUE!</v>
      </c>
      <c r="P52" s="183" t="e">
        <f t="shared" si="3"/>
        <v>#VALUE!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 t="e">
        <f>IF(O52+1&lt;=MIN('Données projet'!$E$9:$E$18),O52+1,"STOP")</f>
        <v>#VALUE!</v>
      </c>
      <c r="P53" s="183" t="e">
        <f t="shared" si="3"/>
        <v>#VALUE!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9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 t="e">
        <f>IF(O53+1&lt;=MIN('Données projet'!$E$9:$E$18),O53+1,"STOP")</f>
        <v>#VALUE!</v>
      </c>
      <c r="P54" s="183" t="e">
        <f t="shared" si="3"/>
        <v>#VALUE!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14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 t="e">
        <f>IF(O54+1&lt;=MIN('Données projet'!$E$9:$E$18),O54+1,"STOP")</f>
        <v>#VALUE!</v>
      </c>
      <c r="P55" s="183" t="e">
        <f t="shared" si="3"/>
        <v>#VALUE!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18</v>
      </c>
      <c r="B56" s="179">
        <f>'Données projet'!D64</f>
        <v>300.64102559999998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 t="e">
        <f>IF(O55+1&lt;=MIN('Données projet'!$E$9:$E$18),O55+1,"STOP")</f>
        <v>#VALUE!</v>
      </c>
      <c r="P56" s="183" t="e">
        <f t="shared" si="3"/>
        <v>#VALUE!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 t="e">
        <f>IF(O56+1&lt;=MIN('Données projet'!$E$9:$E$18),O56+1,"STOP")</f>
        <v>#VALUE!</v>
      </c>
      <c r="P57" s="183" t="e">
        <f t="shared" si="3"/>
        <v>#VALUE!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 t="e">
        <f>IF(O57+1&lt;=MIN('Données projet'!$E$9:$E$18),O57+1,"STOP")</f>
        <v>#VALUE!</v>
      </c>
      <c r="P58" s="183" t="e">
        <f t="shared" si="3"/>
        <v>#VALUE!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e">
        <f>IF(O58+1&lt;=MIN('Données projet'!$E$9:$E$18),O58+1,"STOP")</f>
        <v>#VALUE!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Peuplier Polargo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9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14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15</v>
      </c>
      <c r="B87" s="179">
        <f>'Données projet'!D90</f>
        <v>279.48717950000002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Peuplier I-214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9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14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15</v>
      </c>
      <c r="B118" s="179">
        <f>'Données projet'!D116</f>
        <v>279.48717950000002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2025-02-12T17:00:38Z</dcterms:modified>
</cp:coreProperties>
</file>