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2_Boisement\_Dossiers clos\Boisements Naudet\Saison 2024_2025\Boisement Naudet_Gaujacq (40)\Dossier d_instruction\"/>
    </mc:Choice>
  </mc:AlternateContent>
  <xr:revisionPtr revIDLastSave="0" documentId="13_ncr:1_{B6F17092-E551-40A1-987D-D85A54BD593F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W162" i="2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C55" i="2" l="1" a="1"/>
  <c r="BC55" i="2" s="1"/>
  <c r="BC32" i="2" a="1"/>
  <c r="BC32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<sst xmlns="http://schemas.openxmlformats.org/spreadsheetml/2006/main" count="1183" uniqueCount="331">
  <si>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</si>
  <si>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</si>
  <si>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</si>
  <si>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</si>
  <si>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</si>
  <si>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</si>
  <si>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</si>
  <si>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</si>
  <si>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</si>
  <si>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</si>
  <si>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</si>
  <si>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</si>
  <si>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</si>
  <si>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</si>
  <si>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</si>
  <si>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</si>
  <si>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</si>
  <si>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</si>
  <si>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</si>
  <si>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</si>
  <si>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</si>
  <si>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</si>
  <si>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</si>
  <si>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</si>
  <si>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</si>
  <si>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</si>
  <si>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</si>
  <si>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</si>
  <si>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</si>
  <si>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</si>
  <si>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</si>
  <si>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</si>
  <si>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</si>
  <si>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</si>
  <si>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</si>
  <si>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</si>
  <si>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</si>
  <si>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</si>
  <si>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</si>
  <si>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</si>
  <si>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</si>
  <si>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</si>
  <si>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</si>
  <si>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</si>
  <si>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</si>
  <si>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</si>
  <si>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</si>
  <si>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</si>
  <si>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</si>
  <si>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</si>
  <si>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</si>
  <si>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</si>
  <si>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</si>
  <si>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</si>
  <si>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</si>
  <si>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</si>
  <si>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</si>
  <si>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</si>
  <si>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</si>
  <si>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</si>
  <si>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</si>
  <si>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</si>
  <si>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</si>
  <si>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</si>
  <si>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</si>
  <si>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</si>
  <si>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</si>
  <si>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</si>
  <si>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</si>
  <si>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</si>
  <si>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</si>
  <si>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</si>
  <si>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</si>
  <si>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</si>
  <si>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</si>
  <si>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</si>
  <si>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</si>
  <si>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</si>
  <si>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</si>
  <si>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</si>
  <si>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</si>
  <si>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</si>
  <si>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</si>
  <si>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</si>
  <si>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</si>
  <si>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</si>
  <si>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</si>
  <si>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</si>
  <si>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</si>
  <si>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</si>
  <si>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</si>
  <si>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</si>
  <si>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</si>
  <si>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</si>
  <si>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</si>
  <si>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</si>
  <si>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</si>
  <si>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</si>
  <si>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</si>
  <si>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</si>
  <si>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</si>
  <si>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</si>
  <si>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</si>
  <si>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</si>
  <si>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</si>
  <si>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</si>
  <si>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</si>
  <si>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</si>
  <si>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</si>
  <si>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</si>
  <si>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</si>
  <si>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</si>
  <si>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</si>
  <si>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</si>
  <si>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</si>
  <si>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</si>
  <si>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</si>
  <si>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</si>
  <si>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</si>
  <si>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</si>
  <si>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</si>
  <si>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</si>
  <si>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</si>
  <si>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</si>
  <si>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</si>
  <si>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</si>
  <si>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</si>
  <si>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</si>
  <si>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</si>
  <si>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</si>
  <si>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</si>
  <si>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</si>
  <si>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</si>
  <si>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</si>
  <si>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</si>
  <si>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</si>
  <si>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</si>
  <si>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</si>
  <si>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</si>
  <si>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</si>
  <si>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</si>
  <si>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</si>
  <si>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</si>
  <si>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</si>
  <si>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</si>
  <si>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</si>
  <si>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</si>
  <si>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</si>
  <si>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</si>
  <si>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</si>
  <si>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</si>
  <si>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</si>
  <si>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</si>
  <si>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</si>
  <si>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</si>
  <si>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</si>
  <si>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</si>
  <si>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</si>
  <si>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</si>
  <si>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</si>
  <si>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</si>
  <si>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</si>
  <si>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</si>
  <si>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</si>
  <si>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</si>
  <si>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</si>
  <si>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</si>
  <si>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</si>
  <si>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</si>
  <si>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</si>
  <si>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</si>
  <si>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</si>
  <si>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</si>
  <si>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</si>
  <si>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</si>
  <si>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</si>
  <si>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</si>
  <si>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</si>
  <si>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</si>
  <si>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</si>
  <si>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</si>
  <si>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</si>
  <si>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</si>
  <si>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</si>
  <si>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</si>
  <si>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</si>
  <si>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</si>
  <si>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</si>
  <si>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</si>
  <si>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</si>
  <si>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</si>
  <si>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</si>
  <si>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</si>
  <si>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</si>
  <si>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</si>
  <si>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</si>
  <si>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</si>
  <si>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</si>
  <si>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</si>
  <si>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</si>
  <si>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</si>
  <si>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</si>
  <si>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</si>
  <si>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</si>
  <si>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</si>
  <si>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</si>
  <si>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</si>
  <si>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</si>
  <si>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</si>
  <si>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</si>
  <si>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</si>
  <si>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</si>
  <si>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</si>
  <si>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</si>
  <si>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</si>
  <si>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</si>
  <si>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</si>
  <si>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</si>
  <si>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</si>
  <si>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</si>
  <si>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</si>
  <si>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</si>
  <si>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</si>
  <si>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</si>
  <si>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</si>
  <si>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</si>
  <si>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</si>
  <si>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</si>
  <si>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</si>
  <si>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</si>
  <si>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</si>
  <si>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</si>
  <si>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</si>
  <si>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</si>
  <si>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</si>
  <si>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</si>
  <si>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</si>
  <si>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</si>
  <si>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</si>
  <si>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</si>
  <si>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</si>
  <si>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</si>
  <si>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</si>
  <si>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</si>
  <si>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</si>
  <si>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</si>
  <si>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</si>
  <si>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</si>
  <si>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</si>
  <si>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</si>
  <si>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</si>
  <si>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</si>
  <si>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</si>
  <si>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</si>
  <si>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</si>
  <si>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</si>
  <si>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</si>
  <si>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</si>
  <si>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</si>
  <si>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</si>
  <si>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</si>
  <si>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</si>
  <si>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</si>
  <si>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</si>
  <si>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</si>
  <si>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</si>
  <si>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</si>
  <si>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</si>
  <si>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</si>
  <si>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</si>
  <si>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</si>
  <si>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</si>
  <si>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</si>
  <si>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</si>
  <si>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</si>
  <si>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</si>
  <si>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</si>
  <si>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</si>
  <si>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</si>
  <si>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</si>
  <si>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</si>
  <si>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</si>
  <si>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</si>
  <si>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</si>
  <si>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</si>
  <si>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</si>
  <si>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</si>
  <si>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</si>
  <si>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</si>
  <si>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</si>
  <si>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</si>
  <si>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</si>
  <si>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</si>
  <si>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</si>
  <si>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</si>
  <si>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</si>
  <si>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</si>
  <si>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</si>
  <si>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</si>
  <si>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</si>
  <si>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</si>
  <si>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</si>
  <si>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</si>
  <si>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</si>
  <si>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</si>
  <si>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</si>
  <si>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</si>
  <si>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</si>
  <si>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</si>
  <si>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</si>
  <si>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</si>
  <si>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</si>
  <si>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</si>
  <si>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</si>
  <si>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</si>
  <si>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</si>
  <si>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</si>
  <si>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</si>
  <si>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</si>
  <si>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</si>
  <si>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</si>
  <si>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</si>
  <si>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</si>
  <si>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</si>
  <si>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2/5</t>
  </si>
  <si>
    <t>équivalence pour le pin taeda</t>
  </si>
  <si>
    <t>CR</t>
  </si>
  <si>
    <t>Classe 1/5 ZI 35</t>
  </si>
  <si>
    <t>Classe 1/5 ZM 112</t>
  </si>
  <si>
    <t>équivalance avec le cultivar Rona</t>
  </si>
  <si>
    <t>équivalence avec le cultivar Rona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</si>
</sst>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1.8807855723351645</c:v>
                </c:pt>
                <c:pt idx="2">
                  <c:v>3.0657680329077333</c:v>
                </c:pt>
                <c:pt idx="3">
                  <c:v>5.001077421230776</c:v>
                </c:pt>
                <c:pt idx="4">
                  <c:v>8.1640327644793036</c:v>
                </c:pt>
                <c:pt idx="5">
                  <c:v>13.336905920924728</c:v>
                </c:pt>
                <c:pt idx="6">
                  <c:v>21.802520023090349</c:v>
                </c:pt>
                <c:pt idx="7">
                  <c:v>35.665755228924034</c:v>
                </c:pt>
                <c:pt idx="8">
                  <c:v>58.382270571297141</c:v>
                </c:pt>
                <c:pt idx="9">
                  <c:v>95.628410589441103</c:v>
                </c:pt>
                <c:pt idx="10">
                  <c:v>129.6207128213255</c:v>
                </c:pt>
                <c:pt idx="11">
                  <c:v>163.39566695137299</c:v>
                </c:pt>
                <c:pt idx="12">
                  <c:v>197.00485365287338</c:v>
                </c:pt>
                <c:pt idx="13">
                  <c:v>230.48062345025201</c:v>
                </c:pt>
                <c:pt idx="14">
                  <c:v>263.84510373009016</c:v>
                </c:pt>
                <c:pt idx="15">
                  <c:v>270.50613622829962</c:v>
                </c:pt>
                <c:pt idx="16">
                  <c:v>277.16347824529447</c:v>
                </c:pt>
                <c:pt idx="17">
                  <c:v>283.81723104501049</c:v>
                </c:pt>
                <c:pt idx="18">
                  <c:v>290.46749074977964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1.8807855723351645</c:v>
                </c:pt>
                <c:pt idx="2">
                  <c:v>3.0657680329077333</c:v>
                </c:pt>
                <c:pt idx="3">
                  <c:v>5.001077421230776</c:v>
                </c:pt>
                <c:pt idx="4">
                  <c:v>8.1640327644793036</c:v>
                </c:pt>
                <c:pt idx="5">
                  <c:v>13.336905920924728</c:v>
                </c:pt>
                <c:pt idx="6">
                  <c:v>21.802520023090349</c:v>
                </c:pt>
                <c:pt idx="7">
                  <c:v>35.665755228924034</c:v>
                </c:pt>
                <c:pt idx="8">
                  <c:v>58.382270571297141</c:v>
                </c:pt>
                <c:pt idx="9">
                  <c:v>95.628410589441103</c:v>
                </c:pt>
                <c:pt idx="10">
                  <c:v>129.6207128213255</c:v>
                </c:pt>
                <c:pt idx="11">
                  <c:v>163.39566695137299</c:v>
                </c:pt>
                <c:pt idx="12">
                  <c:v>197.00485365287338</c:v>
                </c:pt>
                <c:pt idx="13">
                  <c:v>230.48062345025201</c:v>
                </c:pt>
                <c:pt idx="14">
                  <c:v>263.84510373009016</c:v>
                </c:pt>
                <c:pt idx="15">
                  <c:v>270.50613622829962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2.0282064215299607</c:v>
                </c:pt>
                <c:pt idx="2">
                  <c:v>3.3064559951497219</c:v>
                </c:pt>
                <c:pt idx="3">
                  <c:v>5.3943173937245552</c:v>
                </c:pt>
                <c:pt idx="4">
                  <c:v>8.8069584870049766</c:v>
                </c:pt>
                <c:pt idx="5">
                  <c:v>14.388760347382226</c:v>
                </c:pt>
                <c:pt idx="6">
                  <c:v>23.524522792811542</c:v>
                </c:pt>
                <c:pt idx="7">
                  <c:v>38.486650592800842</c:v>
                </c:pt>
                <c:pt idx="8">
                  <c:v>63.006150017040206</c:v>
                </c:pt>
                <c:pt idx="9">
                  <c:v>103.21215765451687</c:v>
                </c:pt>
                <c:pt idx="10">
                  <c:v>139.90830729536984</c:v>
                </c:pt>
                <c:pt idx="11">
                  <c:v>176.371517469086</c:v>
                </c:pt>
                <c:pt idx="12">
                  <c:v>212.65706896463539</c:v>
                </c:pt>
                <c:pt idx="13">
                  <c:v>248.7996329563118</c:v>
                </c:pt>
                <c:pt idx="14">
                  <c:v>284.8229241285124</c:v>
                </c:pt>
                <c:pt idx="15">
                  <c:v>292.01486777837982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Normal="100" workbookViewId="0">
      <selection activeCell="H11" sqref="H11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7.9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328</v>
      </c>
      <c r="H8" s="23" t="s">
        <v>329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111</v>
      </c>
      <c r="C9" s="264">
        <v>0.26582278481012661</v>
      </c>
      <c r="D9" s="33">
        <f t="shared" ref="D9:D18" si="0">C9*$C$5</f>
        <v>2.1000000000000005</v>
      </c>
      <c r="E9" s="265">
        <v>18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111</v>
      </c>
      <c r="C10" s="264">
        <v>0.25316455696202533</v>
      </c>
      <c r="D10" s="33">
        <f t="shared" si="0"/>
        <v>2.0000000000000004</v>
      </c>
      <c r="E10" s="265">
        <v>15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327</v>
      </c>
      <c r="H10" s="23" t="s">
        <v>330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116</v>
      </c>
      <c r="C11" s="264">
        <v>0.25316</v>
      </c>
      <c r="D11" s="33">
        <f t="shared" si="0"/>
        <v>1.9999640000000001</v>
      </c>
      <c r="E11" s="265">
        <v>15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327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 t="s">
        <v>36</v>
      </c>
      <c r="C12" s="264">
        <v>0.22785</v>
      </c>
      <c r="D12" s="33">
        <f t="shared" si="0"/>
        <v>1.8000150000000001</v>
      </c>
      <c r="E12" s="265">
        <v>30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324</v>
      </c>
      <c r="H12" s="23" t="s">
        <v>325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0.99999734177215205</v>
      </c>
      <c r="D19" s="38">
        <f>SUM(D9:D18)</f>
        <v>7.8999790000000019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0.05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Peuplier I-214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9</v>
      </c>
      <c r="B36" s="259">
        <v>96.153846153846146</v>
      </c>
      <c r="C36" s="259"/>
      <c r="D36" s="259"/>
      <c r="E36" s="260"/>
      <c r="F36" s="260"/>
      <c r="G36" s="260"/>
      <c r="H36" s="260"/>
      <c r="I36" s="49">
        <f>IFERROR(B36/A36,"")</f>
        <v>10.683760683760683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14</v>
      </c>
      <c r="B37" s="259">
        <v>272.4358974358974</v>
      </c>
      <c r="C37" s="259"/>
      <c r="D37" s="259"/>
      <c r="E37" s="260"/>
      <c r="F37" s="260"/>
      <c r="G37" s="260"/>
      <c r="H37" s="260"/>
      <c r="I37" s="53">
        <f t="shared" ref="I37:I55" si="1">IF(A37&lt;&gt;0,(B37-(B36-D36))/(A37-A36),"")</f>
        <v>35.256410256410255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18</v>
      </c>
      <c r="B38" s="259">
        <v>300.64102564102564</v>
      </c>
      <c r="C38" s="259" t="s">
        <v>326</v>
      </c>
      <c r="D38" s="259">
        <v>300.64102564102564</v>
      </c>
      <c r="E38" s="260">
        <v>0.77</v>
      </c>
      <c r="F38" s="260">
        <v>0.21</v>
      </c>
      <c r="G38" s="260">
        <v>0</v>
      </c>
      <c r="H38" s="260">
        <v>0</v>
      </c>
      <c r="I38" s="53">
        <f t="shared" si="1"/>
        <v>7.0512820512820582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/>
      <c r="B39" s="259"/>
      <c r="C39" s="259"/>
      <c r="D39" s="259"/>
      <c r="E39" s="260"/>
      <c r="F39" s="260"/>
      <c r="G39" s="260"/>
      <c r="H39" s="260"/>
      <c r="I39" s="49" t="str">
        <f t="shared" si="1"/>
        <v/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/>
      <c r="B40" s="259"/>
      <c r="C40" s="259"/>
      <c r="D40" s="259"/>
      <c r="E40" s="260"/>
      <c r="F40" s="260"/>
      <c r="G40" s="260"/>
      <c r="H40" s="260"/>
      <c r="I40" s="49" t="str">
        <f t="shared" si="1"/>
        <v/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/>
      <c r="B41" s="259"/>
      <c r="C41" s="259"/>
      <c r="D41" s="259"/>
      <c r="E41" s="260"/>
      <c r="F41" s="260"/>
      <c r="G41" s="260"/>
      <c r="H41" s="260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/>
      <c r="B42" s="259"/>
      <c r="C42" s="259"/>
      <c r="D42" s="259"/>
      <c r="E42" s="260"/>
      <c r="F42" s="260"/>
      <c r="G42" s="260"/>
      <c r="H42" s="260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/>
      <c r="B43" s="259"/>
      <c r="C43" s="259"/>
      <c r="D43" s="259"/>
      <c r="E43" s="260"/>
      <c r="F43" s="260"/>
      <c r="G43" s="260"/>
      <c r="H43" s="260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/>
      <c r="B44" s="259"/>
      <c r="C44" s="259"/>
      <c r="D44" s="259"/>
      <c r="E44" s="260"/>
      <c r="F44" s="260"/>
      <c r="G44" s="260"/>
      <c r="H44" s="260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/>
      <c r="B45" s="261"/>
      <c r="C45" s="259"/>
      <c r="D45" s="261"/>
      <c r="E45" s="260"/>
      <c r="F45" s="260"/>
      <c r="G45" s="260"/>
      <c r="H45" s="260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/>
      <c r="B46" s="262"/>
      <c r="C46" s="259"/>
      <c r="D46" s="262"/>
      <c r="E46" s="260"/>
      <c r="F46" s="260"/>
      <c r="G46" s="260"/>
      <c r="H46" s="260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/>
      <c r="B47" s="261"/>
      <c r="C47" s="259"/>
      <c r="D47" s="261"/>
      <c r="E47" s="260"/>
      <c r="F47" s="260"/>
      <c r="G47" s="260"/>
      <c r="H47" s="260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/>
      <c r="B48" s="261"/>
      <c r="C48" s="259"/>
      <c r="D48" s="261"/>
      <c r="E48" s="260"/>
      <c r="F48" s="260"/>
      <c r="G48" s="260"/>
      <c r="H48" s="260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/>
      <c r="B49" s="261"/>
      <c r="C49" s="259"/>
      <c r="D49" s="261"/>
      <c r="E49" s="260"/>
      <c r="F49" s="260"/>
      <c r="G49" s="260"/>
      <c r="H49" s="260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/>
      <c r="B50" s="261"/>
      <c r="C50" s="261"/>
      <c r="D50" s="261"/>
      <c r="E50" s="260"/>
      <c r="F50" s="260"/>
      <c r="G50" s="260"/>
      <c r="H50" s="260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Peuplier I-214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9</v>
      </c>
      <c r="B62" s="261">
        <v>96.153846153846146</v>
      </c>
      <c r="C62" s="261"/>
      <c r="D62" s="261"/>
      <c r="E62" s="260"/>
      <c r="F62" s="260"/>
      <c r="G62" s="260"/>
      <c r="H62" s="260"/>
      <c r="I62" s="53">
        <f>IFERROR(B62/A62,"")</f>
        <v>10.683760683760683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14</v>
      </c>
      <c r="B63" s="261">
        <v>272.4358974358974</v>
      </c>
      <c r="C63" s="261"/>
      <c r="D63" s="261"/>
      <c r="E63" s="260"/>
      <c r="F63" s="260"/>
      <c r="G63" s="260"/>
      <c r="H63" s="260"/>
      <c r="I63" s="49">
        <f>IF(A63&lt;&gt;0,(B63-(B62-D62))/(A63-A62),"")</f>
        <v>35.256410256410255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15</v>
      </c>
      <c r="B64" s="261">
        <v>279.4871794871795</v>
      </c>
      <c r="C64" s="261" t="s">
        <v>326</v>
      </c>
      <c r="D64" s="261">
        <v>279.4871794871795</v>
      </c>
      <c r="E64" s="260">
        <v>0.77</v>
      </c>
      <c r="F64" s="260">
        <v>0.21</v>
      </c>
      <c r="G64" s="260">
        <v>0</v>
      </c>
      <c r="H64" s="260">
        <v>0</v>
      </c>
      <c r="I64" s="49">
        <f>IF(A64&lt;&gt;0,(B64-(B63-D63))/(A64-A63),"")</f>
        <v>7.0512820512821008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/>
      <c r="B65" s="261"/>
      <c r="C65" s="261"/>
      <c r="D65" s="261"/>
      <c r="E65" s="260"/>
      <c r="F65" s="260"/>
      <c r="G65" s="260"/>
      <c r="H65" s="260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/>
      <c r="B66" s="261"/>
      <c r="C66" s="261"/>
      <c r="D66" s="261"/>
      <c r="E66" s="260"/>
      <c r="F66" s="260"/>
      <c r="G66" s="260"/>
      <c r="H66" s="260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/>
      <c r="B67" s="261"/>
      <c r="C67" s="261"/>
      <c r="D67" s="261"/>
      <c r="E67" s="260"/>
      <c r="F67" s="260"/>
      <c r="G67" s="260"/>
      <c r="H67" s="260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/>
      <c r="B68" s="261"/>
      <c r="C68" s="261"/>
      <c r="D68" s="261"/>
      <c r="E68" s="260"/>
      <c r="F68" s="260"/>
      <c r="G68" s="260"/>
      <c r="H68" s="260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/>
      <c r="B69" s="261"/>
      <c r="C69" s="261"/>
      <c r="D69" s="261"/>
      <c r="E69" s="260"/>
      <c r="F69" s="260"/>
      <c r="G69" s="260"/>
      <c r="H69" s="260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/>
      <c r="B70" s="261"/>
      <c r="C70" s="261"/>
      <c r="D70" s="261"/>
      <c r="E70" s="260"/>
      <c r="F70" s="260"/>
      <c r="G70" s="260"/>
      <c r="H70" s="260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/>
      <c r="B71" s="261"/>
      <c r="C71" s="261"/>
      <c r="D71" s="261"/>
      <c r="E71" s="260"/>
      <c r="F71" s="260"/>
      <c r="G71" s="260"/>
      <c r="H71" s="260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/>
      <c r="B72" s="261"/>
      <c r="C72" s="261"/>
      <c r="D72" s="261"/>
      <c r="E72" s="260"/>
      <c r="F72" s="260"/>
      <c r="G72" s="260"/>
      <c r="H72" s="260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/>
      <c r="B73" s="261"/>
      <c r="C73" s="261"/>
      <c r="D73" s="261"/>
      <c r="E73" s="260"/>
      <c r="F73" s="260"/>
      <c r="G73" s="260"/>
      <c r="H73" s="260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/>
      <c r="B74" s="261"/>
      <c r="C74" s="261"/>
      <c r="D74" s="261"/>
      <c r="E74" s="260"/>
      <c r="F74" s="260"/>
      <c r="G74" s="260"/>
      <c r="H74" s="260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/>
      <c r="B75" s="261"/>
      <c r="C75" s="261"/>
      <c r="D75" s="261"/>
      <c r="E75" s="260"/>
      <c r="F75" s="260"/>
      <c r="G75" s="260"/>
      <c r="H75" s="260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/>
      <c r="B76" s="261"/>
      <c r="C76" s="261"/>
      <c r="D76" s="261"/>
      <c r="E76" s="260"/>
      <c r="F76" s="260"/>
      <c r="G76" s="260"/>
      <c r="H76" s="260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Peuplier Polargo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9</v>
      </c>
      <c r="B88" s="261">
        <v>96.153846153846146</v>
      </c>
      <c r="C88" s="261"/>
      <c r="D88" s="261"/>
      <c r="E88" s="260"/>
      <c r="F88" s="260"/>
      <c r="G88" s="260"/>
      <c r="H88" s="260"/>
      <c r="I88" s="53">
        <f>IFERROR(B88/A88,"")</f>
        <v>10.683760683760683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14</v>
      </c>
      <c r="B89" s="261">
        <v>272.4358974358974</v>
      </c>
      <c r="C89" s="261"/>
      <c r="D89" s="261"/>
      <c r="E89" s="260"/>
      <c r="F89" s="260"/>
      <c r="G89" s="260"/>
      <c r="H89" s="260"/>
      <c r="I89" s="53">
        <f t="shared" ref="I89:I107" si="3">IF(A89&lt;&gt;0,(B89-(B88-D88))/(A89-A88),"")</f>
        <v>35.256410256410255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15</v>
      </c>
      <c r="B90" s="261">
        <v>279.4871794871795</v>
      </c>
      <c r="C90" s="261" t="s">
        <v>326</v>
      </c>
      <c r="D90" s="261">
        <v>279.4871794871795</v>
      </c>
      <c r="E90" s="260">
        <v>0.77</v>
      </c>
      <c r="F90" s="260">
        <v>0.21</v>
      </c>
      <c r="G90" s="260">
        <v>0</v>
      </c>
      <c r="H90" s="260">
        <v>0</v>
      </c>
      <c r="I90" s="53">
        <f t="shared" si="3"/>
        <v>7.0512820512821008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/>
      <c r="B91" s="261"/>
      <c r="C91" s="261"/>
      <c r="D91" s="261"/>
      <c r="E91" s="260"/>
      <c r="F91" s="260"/>
      <c r="G91" s="260"/>
      <c r="H91" s="260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/>
      <c r="B92" s="261"/>
      <c r="C92" s="261"/>
      <c r="D92" s="261"/>
      <c r="E92" s="260"/>
      <c r="F92" s="260"/>
      <c r="G92" s="260"/>
      <c r="H92" s="260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/>
      <c r="B93" s="261"/>
      <c r="C93" s="261"/>
      <c r="D93" s="261"/>
      <c r="E93" s="260"/>
      <c r="F93" s="260"/>
      <c r="G93" s="260"/>
      <c r="H93" s="260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/>
      <c r="B94" s="261"/>
      <c r="C94" s="261"/>
      <c r="D94" s="261"/>
      <c r="E94" s="260"/>
      <c r="F94" s="260"/>
      <c r="G94" s="260"/>
      <c r="H94" s="260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/>
      <c r="B95" s="261"/>
      <c r="C95" s="261"/>
      <c r="D95" s="261"/>
      <c r="E95" s="260"/>
      <c r="F95" s="260"/>
      <c r="G95" s="260"/>
      <c r="H95" s="260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Pin maritime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>
        <v>11</v>
      </c>
      <c r="B114" s="261">
        <v>83</v>
      </c>
      <c r="C114" s="261"/>
      <c r="D114" s="261"/>
      <c r="E114" s="260"/>
      <c r="F114" s="260"/>
      <c r="G114" s="260"/>
      <c r="H114" s="260"/>
      <c r="I114" s="53">
        <f>IFERROR(B114/A114,"")</f>
        <v>7.5454545454545459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>
        <v>12</v>
      </c>
      <c r="B115" s="261">
        <v>106</v>
      </c>
      <c r="C115" s="261">
        <v>1</v>
      </c>
      <c r="D115" s="261">
        <v>34</v>
      </c>
      <c r="E115" s="260"/>
      <c r="F115" s="260"/>
      <c r="G115" s="260">
        <v>1</v>
      </c>
      <c r="H115" s="260"/>
      <c r="I115" s="53">
        <f t="shared" ref="I115:I133" si="4">IF(A115&lt;&gt;0,(B115-(B114-D114))/(A115-A114),"")</f>
        <v>23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>
        <v>13</v>
      </c>
      <c r="B116" s="261">
        <v>89</v>
      </c>
      <c r="C116" s="261"/>
      <c r="D116" s="261"/>
      <c r="E116" s="260"/>
      <c r="F116" s="260"/>
      <c r="G116" s="260"/>
      <c r="H116" s="260"/>
      <c r="I116" s="53">
        <f t="shared" si="4"/>
        <v>17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>
        <v>14</v>
      </c>
      <c r="B117" s="261">
        <v>110</v>
      </c>
      <c r="C117" s="261"/>
      <c r="D117" s="261"/>
      <c r="E117" s="260"/>
      <c r="F117" s="260"/>
      <c r="G117" s="260"/>
      <c r="H117" s="260"/>
      <c r="I117" s="53">
        <f t="shared" si="4"/>
        <v>21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>
        <v>15</v>
      </c>
      <c r="B118" s="261">
        <v>131</v>
      </c>
      <c r="C118" s="261"/>
      <c r="D118" s="261"/>
      <c r="E118" s="260"/>
      <c r="F118" s="260"/>
      <c r="G118" s="260"/>
      <c r="H118" s="260"/>
      <c r="I118" s="53">
        <f t="shared" si="4"/>
        <v>21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>
        <v>16</v>
      </c>
      <c r="B119" s="261">
        <v>153</v>
      </c>
      <c r="C119" s="261"/>
      <c r="D119" s="261"/>
      <c r="E119" s="260"/>
      <c r="F119" s="260"/>
      <c r="G119" s="260"/>
      <c r="H119" s="260"/>
      <c r="I119" s="53">
        <f t="shared" si="4"/>
        <v>22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>
        <v>17</v>
      </c>
      <c r="B120" s="261">
        <v>176</v>
      </c>
      <c r="C120" s="261">
        <v>2</v>
      </c>
      <c r="D120" s="261">
        <v>43</v>
      </c>
      <c r="E120" s="260"/>
      <c r="F120" s="260">
        <v>1</v>
      </c>
      <c r="G120" s="260"/>
      <c r="H120" s="260"/>
      <c r="I120" s="53">
        <f t="shared" si="4"/>
        <v>23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>
        <v>18</v>
      </c>
      <c r="B121" s="261">
        <v>151</v>
      </c>
      <c r="C121" s="261"/>
      <c r="D121" s="261"/>
      <c r="E121" s="260"/>
      <c r="F121" s="260"/>
      <c r="G121" s="260"/>
      <c r="H121" s="260"/>
      <c r="I121" s="53">
        <f t="shared" si="4"/>
        <v>18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>
        <v>19</v>
      </c>
      <c r="B122" s="261">
        <v>171</v>
      </c>
      <c r="C122" s="261"/>
      <c r="D122" s="261"/>
      <c r="E122" s="260"/>
      <c r="F122" s="260"/>
      <c r="G122" s="260"/>
      <c r="H122" s="260"/>
      <c r="I122" s="53">
        <f t="shared" si="4"/>
        <v>20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>
        <v>20</v>
      </c>
      <c r="B123" s="261">
        <v>192</v>
      </c>
      <c r="C123" s="261"/>
      <c r="D123" s="261"/>
      <c r="E123" s="260"/>
      <c r="F123" s="260"/>
      <c r="G123" s="260"/>
      <c r="H123" s="260"/>
      <c r="I123" s="53">
        <f t="shared" si="4"/>
        <v>21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>
        <v>21</v>
      </c>
      <c r="B124" s="261">
        <v>212</v>
      </c>
      <c r="C124" s="261"/>
      <c r="D124" s="261"/>
      <c r="E124" s="260"/>
      <c r="F124" s="260"/>
      <c r="G124" s="260"/>
      <c r="H124" s="260"/>
      <c r="I124" s="53">
        <f t="shared" si="4"/>
        <v>20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>
        <v>22</v>
      </c>
      <c r="B125" s="261">
        <v>232</v>
      </c>
      <c r="C125" s="261">
        <v>3</v>
      </c>
      <c r="D125" s="261">
        <v>56</v>
      </c>
      <c r="E125" s="260"/>
      <c r="F125" s="260">
        <v>1</v>
      </c>
      <c r="G125" s="260"/>
      <c r="H125" s="260"/>
      <c r="I125" s="53">
        <f t="shared" si="4"/>
        <v>20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>
        <v>23</v>
      </c>
      <c r="B126" s="261">
        <v>192</v>
      </c>
      <c r="C126" s="261"/>
      <c r="D126" s="261"/>
      <c r="E126" s="260"/>
      <c r="F126" s="260"/>
      <c r="G126" s="260"/>
      <c r="H126" s="260"/>
      <c r="I126" s="53">
        <f t="shared" si="4"/>
        <v>16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>
        <v>24</v>
      </c>
      <c r="B127" s="261">
        <v>209</v>
      </c>
      <c r="C127" s="261"/>
      <c r="D127" s="261"/>
      <c r="E127" s="260"/>
      <c r="F127" s="260"/>
      <c r="G127" s="260"/>
      <c r="H127" s="260"/>
      <c r="I127" s="53">
        <f t="shared" si="4"/>
        <v>17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>
        <v>25</v>
      </c>
      <c r="B128" s="261">
        <v>226</v>
      </c>
      <c r="C128" s="261"/>
      <c r="D128" s="261"/>
      <c r="E128" s="260"/>
      <c r="F128" s="260"/>
      <c r="G128" s="260"/>
      <c r="H128" s="260"/>
      <c r="I128" s="53">
        <f t="shared" si="4"/>
        <v>17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>
        <v>26</v>
      </c>
      <c r="B129" s="261">
        <v>244</v>
      </c>
      <c r="C129" s="261"/>
      <c r="D129" s="261"/>
      <c r="E129" s="260"/>
      <c r="F129" s="260"/>
      <c r="G129" s="260"/>
      <c r="H129" s="260"/>
      <c r="I129" s="53">
        <f t="shared" si="4"/>
        <v>18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>
        <v>27</v>
      </c>
      <c r="B130" s="261">
        <v>261</v>
      </c>
      <c r="C130" s="261"/>
      <c r="D130" s="261"/>
      <c r="E130" s="260"/>
      <c r="F130" s="260"/>
      <c r="G130" s="260"/>
      <c r="H130" s="260"/>
      <c r="I130" s="53">
        <f t="shared" si="4"/>
        <v>17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>
        <v>28</v>
      </c>
      <c r="B131" s="261">
        <v>277</v>
      </c>
      <c r="C131" s="261"/>
      <c r="D131" s="261"/>
      <c r="E131" s="260"/>
      <c r="F131" s="260"/>
      <c r="G131" s="260"/>
      <c r="H131" s="260"/>
      <c r="I131" s="53">
        <f t="shared" si="4"/>
        <v>16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>
        <v>29</v>
      </c>
      <c r="B132" s="261">
        <v>293</v>
      </c>
      <c r="C132" s="261"/>
      <c r="D132" s="261"/>
      <c r="E132" s="260"/>
      <c r="F132" s="260"/>
      <c r="G132" s="260"/>
      <c r="H132" s="260"/>
      <c r="I132" s="53">
        <f t="shared" si="4"/>
        <v>16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>
        <v>30</v>
      </c>
      <c r="B133" s="261">
        <v>309</v>
      </c>
      <c r="C133" s="261">
        <v>4</v>
      </c>
      <c r="D133" s="261">
        <v>309</v>
      </c>
      <c r="E133" s="260"/>
      <c r="F133" s="260">
        <v>1</v>
      </c>
      <c r="G133" s="260"/>
      <c r="H133" s="260"/>
      <c r="I133" s="53">
        <f t="shared" si="4"/>
        <v>16</v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C22" sqref="C22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0.89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0.11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Peuplier I-214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Peuplier I-214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Peuplier Polargo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Pin maritime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4.45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16.316666666666666</v>
      </c>
      <c r="H3" s="66">
        <f>(B3+E3+F3)*44/12+(C3+D3)*0.475*44/12</f>
        <v>191.4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47.75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175.08333333333334</v>
      </c>
      <c r="S3" s="59">
        <f ca="1">AVERAGE(OFFSET($R$3,0,0,'Données projet'!$E$9+1,1))-AVERAGE(OFFSET($H$3,0,0,'Données projet'!$E$9+1,1))</f>
        <v>129.89493875503857</v>
      </c>
      <c r="T3" s="59">
        <f>IF('Données projet'!E9&gt;30,$R$33-$H$33,LOOKUP('Données projet'!$E$9,$A$3:$A$203,R3:R203)-LOOKUP('Données projet'!$E$9,$A$3:$A$203,$H$3:$H$203))</f>
        <v>318.19554842399577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47.75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175.08333333333334</v>
      </c>
      <c r="AN3" s="59">
        <f ca="1">AVERAGE(OFFSET($AM$3,0,0,'Données projet'!$E$10+1,1))-AVERAGE(OFFSET($H$3,0,0,'Données projet'!$E$10+1,1))</f>
        <v>96.263123361643096</v>
      </c>
      <c r="AO3" s="59">
        <f>IF('Données projet'!E10&gt;30,$AM$33-$H$33,LOOKUP('Données projet'!$E$10,$A$3:$A$203,AM3:AM203)-LOOKUP('Données projet'!$E$10,$A$3:$A$203,$H$3:$H$203))</f>
        <v>291.35824366856377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47.75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175.08333333333334</v>
      </c>
      <c r="BI3" s="59">
        <f ca="1">AVERAGE(OFFSET($BH$3,0,0,'Données projet'!$E$11+1,1))-AVERAGE(OFFSET($H$3,0,0,'Données projet'!$E$11+1,1))</f>
        <v>103.69736557010637</v>
      </c>
      <c r="BJ3" s="59">
        <f>IF('Données projet'!E11&gt;30,$BH$33-$H$33,LOOKUP('Données projet'!$E$11,$A$3:$A$203,BH3:BH203)-LOOKUP('Données projet'!$E$11,$A$3:$A$203,$H$3:$H$203))</f>
        <v>312.86697521864392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47.75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175.08333333333334</v>
      </c>
      <c r="CD3" s="59">
        <f ca="1">AVERAGE(OFFSET($CC$3,0,0,'Données projet'!$E$12+1,1))-AVERAGE(OFFSET($H$3,0,0,'Données projet'!$E$12+1,1))</f>
        <v>189.55118397415424</v>
      </c>
      <c r="CE3" s="59">
        <f>IF('Données projet'!E12&gt;30,$CC$33-$H$33,LOOKUP('Données projet'!$E$12,$A$3:$A$203,CC3:CC203)-LOOKUP('Données projet'!$E$12,$A$3:$A$203,$H$3:$H$203))</f>
        <v>456.28719984856014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47.75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47.75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47.75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47.75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47.75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47.75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4.45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16.316666666666666</v>
      </c>
      <c r="H4" s="66">
        <f t="shared" ref="H4:H67" si="1">(B4+E4+F4)*44/12+(C4+D4)*0.475*44/12</f>
        <v>191.4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48.135987756452124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10.683760683760683</v>
      </c>
      <c r="N4" s="13">
        <f>IF('Données projet'!$A$36&gt;35,N3+M4-V3,IF(A4&lt;'Données projet'!$A$36,$K$205^A4,IF(A4='Données projet'!$A$36,'Données projet'!$B$36,N3+M4-V3)))</f>
        <v>1.6608470099654447</v>
      </c>
      <c r="O4" s="13">
        <f>N4*VLOOKUP('Données projet'!$B$9,Paramètres!$A$1:$I$89,3,0)*VLOOKUP('Données projet'!$B$9,Paramètres!$A$1:$I$89,5,0)</f>
        <v>0.73063981662399835</v>
      </c>
      <c r="P4" s="13">
        <f>EXP(-1.0587+0.8836*LN(O4)+0.284)</f>
        <v>0.34923706701341672</v>
      </c>
      <c r="Q4" s="20">
        <f t="shared" ref="Q4:Q34" si="2">(O4+P4)*0.475*44/12</f>
        <v>1.8807855723351645</v>
      </c>
      <c r="R4" s="59">
        <f t="shared" si="0"/>
        <v>179.60162956821517</v>
      </c>
      <c r="S4" s="59">
        <f ca="1">AVERAGE(OFFSET($R$3,0,0,'Données projet'!$E$9+1,1))-AVERAGE(OFFSET($H$3,0,0,'Données projet'!$E$9+1,1))</f>
        <v>129.89493875503857</v>
      </c>
      <c r="T4" s="59">
        <f>$T$3</f>
        <v>318.19554842399577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48.135987756452124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10.683760683760683</v>
      </c>
      <c r="AI4" s="13">
        <f>IF('Données projet'!$A$62&gt;35,AI3+AH4-AQ3,IF(A4&lt;'Données projet'!$A$62,$AF$205^A4,IF(A4='Données projet'!$A$62,'Données projet'!$B$62,AI3+AH4-AQ3)))</f>
        <v>1.6608470099654447</v>
      </c>
      <c r="AJ4" s="13">
        <f>AI4*VLOOKUP('Données projet'!$B$10,Paramètres!$A$1:$I$89,3,0)*VLOOKUP('Données projet'!$B$10,Paramètres!$A$1:$I$89,5,0)</f>
        <v>0.73063981662399835</v>
      </c>
      <c r="AK4" s="13">
        <f>EXP(-1.0587+0.8836*LN(AJ4)+0.284)</f>
        <v>0.34923706701341672</v>
      </c>
      <c r="AL4" s="20">
        <f t="shared" ref="AL4:AL67" si="4">(AJ4+AK4)*0.475*44/12</f>
        <v>1.8807855723351645</v>
      </c>
      <c r="AM4" s="59">
        <f t="shared" ref="AM4:AM67" si="5">AL4+(AD4+AE4)*44/12</f>
        <v>179.60162956821517</v>
      </c>
      <c r="AN4" s="59">
        <f ca="1">AVERAGE(OFFSET($AM$3,0,0,'Données projet'!$E$10+1,1))-AVERAGE(OFFSET($H$3,0,0,'Données projet'!$E$10+1,1))</f>
        <v>96.263123361643096</v>
      </c>
      <c r="AO4" s="59">
        <f>$AO$3</f>
        <v>291.35824366856377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48.135987756452124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10.683760683760683</v>
      </c>
      <c r="BD4" s="12">
        <f>IF('Données projet'!$A$88&gt;35,BD3+BC4-BL3,IF(A4&lt;'Données projet'!$A$88,$BA$205^A4,IF(A4='Données projet'!$A$88,'Données projet'!$B$88,BD3+BC4-BL3)))</f>
        <v>1.6608470099654447</v>
      </c>
      <c r="BE4" s="13">
        <f>BD4*VLOOKUP('Données projet'!$B$11,Paramètres!$A$1:$I$89,3,0)*VLOOKUP('Données projet'!$B$11,Paramètres!$A$1:$I$89,5,0)</f>
        <v>0.7902310073415586</v>
      </c>
      <c r="BF4" s="13">
        <f>EXP(-1.0587+0.8836*LN(BE4)+0.284)</f>
        <v>0.37428942607277288</v>
      </c>
      <c r="BG4" s="20">
        <f t="shared" ref="BG4:BG67" si="7">(BE4+BF4)*0.475*44/12</f>
        <v>2.0282064215299607</v>
      </c>
      <c r="BH4" s="59">
        <f t="shared" ref="BH4:BH67" si="8">BG4+(AY4+AZ4)*44/12</f>
        <v>179.74905041740999</v>
      </c>
      <c r="BI4" s="59">
        <f ca="1">AVERAGE(OFFSET($BH$3,0,0,'Données projet'!$E$11+1,1))-AVERAGE(OFFSET($H$3,0,0,'Données projet'!$E$11+1,1))</f>
        <v>103.69736557010637</v>
      </c>
      <c r="BJ4" s="59">
        <f>$BJ$3</f>
        <v>312.86697521864392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48.135987756452124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7.5454545454545459</v>
      </c>
      <c r="BY4" s="12">
        <f>IF('Données projet'!$A$114&gt;35,BY3+BX4-CG3,IF(A4&lt;'Données projet'!$A$114,$BV$205^A4,IF(A4='Données projet'!$A$114,'Données projet'!$B$114,BY3+BX4-CG3)))</f>
        <v>1.4943820583928935</v>
      </c>
      <c r="BZ4" s="13">
        <f>BY4*VLOOKUP('Données projet'!$B$12,Paramètres!$A$1:$I$89,3,0)*VLOOKUP('Données projet'!$B$12,Paramètres!$A$1:$I$89,5,0)</f>
        <v>0.89364047091895038</v>
      </c>
      <c r="CA4" s="13">
        <f>EXP(-1.0587+0.8836*LN(BZ4)+0.284)</f>
        <v>0.41725306962072783</v>
      </c>
      <c r="CB4" s="20">
        <f t="shared" ref="CB4:CB67" si="10">(BZ4+CA4)*0.475*44/12</f>
        <v>2.2831395831066059</v>
      </c>
      <c r="CC4" s="59">
        <f t="shared" ref="CC4:CC67" si="11">CB4+(BT4+BU4)*44/12</f>
        <v>180.00398357898663</v>
      </c>
      <c r="CD4" s="59">
        <f ca="1">AVERAGE(OFFSET($CC$3,0,0,'Données projet'!$E$12+1,1))-AVERAGE(OFFSET($H$3,0,0,'Données projet'!$E$12+1,1))</f>
        <v>189.55118397415424</v>
      </c>
      <c r="CE4" s="59">
        <f>$CE$3</f>
        <v>456.28719984856014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48.135987756452124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48.135987756452124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48.135987756452124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48.135987756452124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48.135987756452124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48.135987756452124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4.45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16.316666666666666</v>
      </c>
      <c r="H5" s="66">
        <f t="shared" si="1"/>
        <v>191.4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48.515279488269151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10.683760683760683</v>
      </c>
      <c r="N5" s="13">
        <f>IF('Données projet'!$A$36&gt;35,N4+M5-V4,IF(A5&lt;'Données projet'!$A$36,$K$205^A5,IF(A5='Données projet'!$A$36,'Données projet'!$B$36,N4+M5-V4)))</f>
        <v>2.7584127905111577</v>
      </c>
      <c r="O5" s="13">
        <f>N5*VLOOKUP('Données projet'!$B$9,Paramètres!$A$1:$I$89,3,0)*VLOOKUP('Données projet'!$B$9,Paramètres!$A$1:$I$89,5,0)</f>
        <v>1.2134809548016685</v>
      </c>
      <c r="P5" s="13">
        <f t="shared" ref="P5:P68" si="33">EXP(-1.0587+0.8836*LN(O5)+0.284)</f>
        <v>0.54676863347071414</v>
      </c>
      <c r="Q5" s="20">
        <f t="shared" si="2"/>
        <v>3.0657680329077333</v>
      </c>
      <c r="R5" s="59">
        <f t="shared" si="0"/>
        <v>183.39957060100573</v>
      </c>
      <c r="S5" s="59">
        <f ca="1">AVERAGE(OFFSET($R$3,0,0,'Données projet'!$E$9+1,1))-AVERAGE(OFFSET($H$3,0,0,'Données projet'!$E$9+1,1))</f>
        <v>129.89493875503857</v>
      </c>
      <c r="T5" s="59">
        <f t="shared" ref="T5:T68" si="34">$T$3</f>
        <v>318.19554842399577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48.515279488269151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10.683760683760683</v>
      </c>
      <c r="AI5" s="13">
        <f>IF('Données projet'!$A$62&gt;35,AI4+AH5-AQ4,IF(A5&lt;'Données projet'!$A$62,$AF$205^A5,IF(A5='Données projet'!$A$62,'Données projet'!$B$62,AI4+AH5-AQ4)))</f>
        <v>2.7584127905111577</v>
      </c>
      <c r="AJ5" s="13">
        <f>AI5*VLOOKUP('Données projet'!$B$10,Paramètres!$A$1:$I$89,3,0)*VLOOKUP('Données projet'!$B$10,Paramètres!$A$1:$I$89,5,0)</f>
        <v>1.2134809548016685</v>
      </c>
      <c r="AK5" s="13">
        <f t="shared" ref="AK5:AK68" si="35">EXP(-1.0587+0.8836*LN(AJ5)+0.284)</f>
        <v>0.54676863347071414</v>
      </c>
      <c r="AL5" s="20">
        <f t="shared" si="4"/>
        <v>3.0657680329077333</v>
      </c>
      <c r="AM5" s="59">
        <f t="shared" si="5"/>
        <v>183.39957060100573</v>
      </c>
      <c r="AN5" s="59">
        <f ca="1">AVERAGE(OFFSET($AM$3,0,0,'Données projet'!$E$10+1,1))-AVERAGE(OFFSET($H$3,0,0,'Données projet'!$E$10+1,1))</f>
        <v>96.263123361643096</v>
      </c>
      <c r="AO5" s="59">
        <f t="shared" ref="AO5:AO68" si="36">$AO$3</f>
        <v>291.35824366856377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48.515279488269151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10.683760683760683</v>
      </c>
      <c r="BD5" s="12">
        <f>IF('Données projet'!$A$88&gt;35,BD4+BC5-BL4,IF(A5&lt;'Données projet'!$A$88,$BA$205^A5,IF(A5='Données projet'!$A$88,'Données projet'!$B$88,BD4+BC5-BL4)))</f>
        <v>2.7584127905111577</v>
      </c>
      <c r="BE5" s="13">
        <f>BD5*VLOOKUP('Données projet'!$B$11,Paramètres!$A$1:$I$89,3,0)*VLOOKUP('Données projet'!$B$11,Paramètres!$A$1:$I$89,5,0)</f>
        <v>1.3124528057252087</v>
      </c>
      <c r="BF5" s="13">
        <f t="shared" ref="BF5:BF68" si="37">EXP(-1.0587+0.8836*LN(BE5)+0.284)</f>
        <v>0.58599082785357881</v>
      </c>
      <c r="BG5" s="20">
        <f t="shared" si="7"/>
        <v>3.3064559951497219</v>
      </c>
      <c r="BH5" s="59">
        <f t="shared" si="8"/>
        <v>183.64025856324773</v>
      </c>
      <c r="BI5" s="59">
        <f ca="1">AVERAGE(OFFSET($BH$3,0,0,'Données projet'!$E$11+1,1))-AVERAGE(OFFSET($H$3,0,0,'Données projet'!$E$11+1,1))</f>
        <v>103.69736557010637</v>
      </c>
      <c r="BJ5" s="59">
        <f t="shared" ref="BJ5:BJ68" si="38">$BJ$3</f>
        <v>312.86697521864392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48.515279488269151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7.5454545454545459</v>
      </c>
      <c r="BY5" s="12">
        <f>IF('Données projet'!$A$114&gt;35,BY4+BX5-CG4,IF(A5&lt;'Données projet'!$A$114,$BV$205^A5,IF(A5='Données projet'!$A$114,'Données projet'!$B$114,BY4+BX5-CG4)))</f>
        <v>2.2331777364465815</v>
      </c>
      <c r="BZ5" s="13">
        <f>BY5*VLOOKUP('Données projet'!$B$12,Paramètres!$A$1:$I$89,3,0)*VLOOKUP('Données projet'!$B$12,Paramètres!$A$1:$I$89,5,0)</f>
        <v>1.3354402863950559</v>
      </c>
      <c r="CA5" s="13">
        <f t="shared" ref="CA5:CA68" si="39">EXP(-1.0587+0.8836*LN(BZ5)+0.284)</f>
        <v>0.59505053454406853</v>
      </c>
      <c r="CB5" s="20">
        <f t="shared" si="10"/>
        <v>3.3622715131356418</v>
      </c>
      <c r="CC5" s="59">
        <f t="shared" si="11"/>
        <v>183.69607408123366</v>
      </c>
      <c r="CD5" s="59">
        <f ca="1">AVERAGE(OFFSET($CC$3,0,0,'Données projet'!$E$12+1,1))-AVERAGE(OFFSET($H$3,0,0,'Données projet'!$E$12+1,1))</f>
        <v>189.55118397415424</v>
      </c>
      <c r="CE5" s="59">
        <f t="shared" ref="CE5:CE68" si="40">$CE$3</f>
        <v>456.28719984856014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48.515279488269151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48.515279488269151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48.515279488269151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48.515279488269151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48.515279488269151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48.515279488269151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4.45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16.316666666666666</v>
      </c>
      <c r="H6" s="66">
        <f t="shared" si="1"/>
        <v>191.4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48.887991356508429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10.683760683760683</v>
      </c>
      <c r="N6" s="13">
        <f>IF('Données projet'!$A$36&gt;35,N5+M6-V5,IF(A6&lt;'Données projet'!$A$36,$K$205^A6,IF(A6='Données projet'!$A$36,'Données projet'!$B$36,N5+M6-V5)))</f>
        <v>4.5813016353708944</v>
      </c>
      <c r="O6" s="13">
        <f>N6*VLOOKUP('Données projet'!$B$9,Paramètres!$A$1:$I$89,3,0)*VLOOKUP('Données projet'!$B$9,Paramètres!$A$1:$I$89,5,0)</f>
        <v>2.0154062154323635</v>
      </c>
      <c r="P6" s="13">
        <f t="shared" si="33"/>
        <v>0.85602579675755586</v>
      </c>
      <c r="Q6" s="20">
        <f t="shared" si="2"/>
        <v>5.001077421230776</v>
      </c>
      <c r="R6" s="59">
        <f t="shared" si="0"/>
        <v>187.92371239509501</v>
      </c>
      <c r="S6" s="59">
        <f ca="1">AVERAGE(OFFSET($R$3,0,0,'Données projet'!$E$9+1,1))-AVERAGE(OFFSET($H$3,0,0,'Données projet'!$E$9+1,1))</f>
        <v>129.89493875503857</v>
      </c>
      <c r="T6" s="59">
        <f t="shared" si="34"/>
        <v>318.19554842399577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48.887991356508429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10.683760683760683</v>
      </c>
      <c r="AI6" s="13">
        <f>IF('Données projet'!$A$62&gt;35,AI5+AH6-AQ5,IF(A6&lt;'Données projet'!$A$62,$AF$205^A6,IF(A6='Données projet'!$A$62,'Données projet'!$B$62,AI5+AH6-AQ5)))</f>
        <v>4.5813016353708944</v>
      </c>
      <c r="AJ6" s="13">
        <f>AI6*VLOOKUP('Données projet'!$B$10,Paramètres!$A$1:$I$89,3,0)*VLOOKUP('Données projet'!$B$10,Paramètres!$A$1:$I$89,5,0)</f>
        <v>2.0154062154323635</v>
      </c>
      <c r="AK6" s="13">
        <f t="shared" si="35"/>
        <v>0.85602579675755586</v>
      </c>
      <c r="AL6" s="20">
        <f t="shared" si="4"/>
        <v>5.001077421230776</v>
      </c>
      <c r="AM6" s="59">
        <f t="shared" si="5"/>
        <v>187.92371239509501</v>
      </c>
      <c r="AN6" s="59">
        <f ca="1">AVERAGE(OFFSET($AM$3,0,0,'Données projet'!$E$10+1,1))-AVERAGE(OFFSET($H$3,0,0,'Données projet'!$E$10+1,1))</f>
        <v>96.263123361643096</v>
      </c>
      <c r="AO6" s="59">
        <f t="shared" si="36"/>
        <v>291.35824366856377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48.887991356508429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10.683760683760683</v>
      </c>
      <c r="BD6" s="12">
        <f>IF('Données projet'!$A$88&gt;35,BD5+BC6-BL5,IF(A6&lt;'Données projet'!$A$88,$BA$205^A6,IF(A6='Données projet'!$A$88,'Données projet'!$B$88,BD5+BC6-BL5)))</f>
        <v>4.5813016353708944</v>
      </c>
      <c r="BE6" s="13">
        <f>BD6*VLOOKUP('Données projet'!$B$11,Paramètres!$A$1:$I$89,3,0)*VLOOKUP('Données projet'!$B$11,Paramètres!$A$1:$I$89,5,0)</f>
        <v>2.1797833181094717</v>
      </c>
      <c r="BF6" s="13">
        <f t="shared" si="37"/>
        <v>0.91743241034481815</v>
      </c>
      <c r="BG6" s="20">
        <f t="shared" si="7"/>
        <v>5.3943173937245552</v>
      </c>
      <c r="BH6" s="59">
        <f t="shared" si="8"/>
        <v>188.31695236758878</v>
      </c>
      <c r="BI6" s="59">
        <f ca="1">AVERAGE(OFFSET($BH$3,0,0,'Données projet'!$E$11+1,1))-AVERAGE(OFFSET($H$3,0,0,'Données projet'!$E$11+1,1))</f>
        <v>103.69736557010637</v>
      </c>
      <c r="BJ6" s="59">
        <f t="shared" si="38"/>
        <v>312.86697521864392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48.887991356508429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7.5454545454545459</v>
      </c>
      <c r="BY6" s="12">
        <f>IF('Données projet'!$A$114&gt;35,BY5+BX6-CG5,IF(A6&lt;'Données projet'!$A$114,$BV$205^A6,IF(A6='Données projet'!$A$114,'Données projet'!$B$114,BY5+BX6-CG5)))</f>
        <v>3.337220742548225</v>
      </c>
      <c r="BZ6" s="13">
        <f>BY6*VLOOKUP('Données projet'!$B$12,Paramètres!$A$1:$I$89,3,0)*VLOOKUP('Données projet'!$B$12,Paramètres!$A$1:$I$89,5,0)</f>
        <v>1.9956580040438385</v>
      </c>
      <c r="CA6" s="13">
        <f t="shared" si="39"/>
        <v>0.84861002696285914</v>
      </c>
      <c r="CB6" s="20">
        <f t="shared" si="10"/>
        <v>4.9537668206699985</v>
      </c>
      <c r="CC6" s="59">
        <f t="shared" si="11"/>
        <v>187.87640179453425</v>
      </c>
      <c r="CD6" s="59">
        <f ca="1">AVERAGE(OFFSET($CC$3,0,0,'Données projet'!$E$12+1,1))-AVERAGE(OFFSET($H$3,0,0,'Données projet'!$E$12+1,1))</f>
        <v>189.55118397415424</v>
      </c>
      <c r="CE6" s="59">
        <f t="shared" si="40"/>
        <v>456.28719984856014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48.887991356508429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48.887991356508429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48.887991356508429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48.887991356508429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48.887991356508429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48.887991356508429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4.45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16.316666666666666</v>
      </c>
      <c r="H7" s="66">
        <f t="shared" si="1"/>
        <v>191.4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49.254237507092654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10.683760683760683</v>
      </c>
      <c r="N7" s="13">
        <f>IF('Données projet'!$A$36&gt;35,N6+M7-V6,IF(A7&lt;'Données projet'!$A$36,$K$205^A7,IF(A7='Données projet'!$A$36,'Données projet'!$B$36,N6+M7-V6)))</f>
        <v>7.6088411228555524</v>
      </c>
      <c r="O7" s="13">
        <f>N7*VLOOKUP('Données projet'!$B$9,Paramètres!$A$1:$I$89,3,0)*VLOOKUP('Données projet'!$B$9,Paramètres!$A$1:$I$89,5,0)</f>
        <v>3.3472813867666145</v>
      </c>
      <c r="P7" s="13">
        <f t="shared" si="33"/>
        <v>1.3402015402071483</v>
      </c>
      <c r="Q7" s="20">
        <f t="shared" si="2"/>
        <v>8.1640327644793036</v>
      </c>
      <c r="R7" s="59">
        <f t="shared" si="0"/>
        <v>193.65179251270794</v>
      </c>
      <c r="S7" s="59">
        <f ca="1">AVERAGE(OFFSET($R$3,0,0,'Données projet'!$E$9+1,1))-AVERAGE(OFFSET($H$3,0,0,'Données projet'!$E$9+1,1))</f>
        <v>129.89493875503857</v>
      </c>
      <c r="T7" s="59">
        <f t="shared" si="34"/>
        <v>318.19554842399577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49.254237507092654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10.683760683760683</v>
      </c>
      <c r="AI7" s="13">
        <f>IF('Données projet'!$A$62&gt;35,AI6+AH7-AQ6,IF(A7&lt;'Données projet'!$A$62,$AF$205^A7,IF(A7='Données projet'!$A$62,'Données projet'!$B$62,AI6+AH7-AQ6)))</f>
        <v>7.6088411228555524</v>
      </c>
      <c r="AJ7" s="13">
        <f>AI7*VLOOKUP('Données projet'!$B$10,Paramètres!$A$1:$I$89,3,0)*VLOOKUP('Données projet'!$B$10,Paramètres!$A$1:$I$89,5,0)</f>
        <v>3.3472813867666145</v>
      </c>
      <c r="AK7" s="13">
        <f t="shared" si="35"/>
        <v>1.3402015402071483</v>
      </c>
      <c r="AL7" s="20">
        <f t="shared" si="4"/>
        <v>8.1640327644793036</v>
      </c>
      <c r="AM7" s="59">
        <f t="shared" si="5"/>
        <v>193.65179251270794</v>
      </c>
      <c r="AN7" s="59">
        <f ca="1">AVERAGE(OFFSET($AM$3,0,0,'Données projet'!$E$10+1,1))-AVERAGE(OFFSET($H$3,0,0,'Données projet'!$E$10+1,1))</f>
        <v>96.263123361643096</v>
      </c>
      <c r="AO7" s="59">
        <f t="shared" si="36"/>
        <v>291.35824366856377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49.254237507092654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10.683760683760683</v>
      </c>
      <c r="BD7" s="12">
        <f>IF('Données projet'!$A$88&gt;35,BD6+BC7-BL6,IF(A7&lt;'Données projet'!$A$88,$BA$205^A7,IF(A7='Données projet'!$A$88,'Données projet'!$B$88,BD6+BC7-BL6)))</f>
        <v>7.6088411228555524</v>
      </c>
      <c r="BE7" s="13">
        <f>BD7*VLOOKUP('Données projet'!$B$11,Paramètres!$A$1:$I$89,3,0)*VLOOKUP('Données projet'!$B$11,Paramètres!$A$1:$I$89,5,0)</f>
        <v>3.6202866062546719</v>
      </c>
      <c r="BF7" s="13">
        <f t="shared" si="37"/>
        <v>1.4363402762362241</v>
      </c>
      <c r="BG7" s="20">
        <f t="shared" si="7"/>
        <v>8.8069584870049766</v>
      </c>
      <c r="BH7" s="59">
        <f t="shared" si="8"/>
        <v>194.2947182352336</v>
      </c>
      <c r="BI7" s="59">
        <f ca="1">AVERAGE(OFFSET($BH$3,0,0,'Données projet'!$E$11+1,1))-AVERAGE(OFFSET($H$3,0,0,'Données projet'!$E$11+1,1))</f>
        <v>103.69736557010637</v>
      </c>
      <c r="BJ7" s="59">
        <f t="shared" si="38"/>
        <v>312.86697521864392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49.254237507092654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7.5454545454545459</v>
      </c>
      <c r="BY7" s="12">
        <f>IF('Données projet'!$A$114&gt;35,BY6+BX7-CG6,IF(A7&lt;'Données projet'!$A$114,$BV$205^A7,IF(A7='Données projet'!$A$114,'Données projet'!$B$114,BY6+BX7-CG6)))</f>
        <v>4.9870828025606775</v>
      </c>
      <c r="BZ7" s="13">
        <f>BY7*VLOOKUP('Données projet'!$B$12,Paramètres!$A$1:$I$89,3,0)*VLOOKUP('Données projet'!$B$12,Paramètres!$A$1:$I$89,5,0)</f>
        <v>2.9822755159312857</v>
      </c>
      <c r="CA7" s="13">
        <f t="shared" si="39"/>
        <v>1.2102148238782438</v>
      </c>
      <c r="CB7" s="20">
        <f t="shared" si="10"/>
        <v>7.3019206751682626</v>
      </c>
      <c r="CC7" s="59">
        <f t="shared" si="11"/>
        <v>192.7896804233969</v>
      </c>
      <c r="CD7" s="59">
        <f ca="1">AVERAGE(OFFSET($CC$3,0,0,'Données projet'!$E$12+1,1))-AVERAGE(OFFSET($H$3,0,0,'Données projet'!$E$12+1,1))</f>
        <v>189.55118397415424</v>
      </c>
      <c r="CE7" s="59">
        <f t="shared" si="40"/>
        <v>456.28719984856014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49.254237507092654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49.254237507092654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49.254237507092654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49.254237507092654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49.254237507092654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49.254237507092654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4.45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16.316666666666666</v>
      </c>
      <c r="H8" s="66">
        <f t="shared" si="1"/>
        <v>191.4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49.614130105767984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10.683760683760683</v>
      </c>
      <c r="N8" s="13">
        <f>IF('Données projet'!$A$36&gt;35,N7+M8-V7,IF(A8&lt;'Données projet'!$A$36,$K$205^A8,IF(A8='Données projet'!$A$36,'Données projet'!$B$36,N7+M8-V7)))</f>
        <v>12.637121028196761</v>
      </c>
      <c r="O8" s="13">
        <f>N8*VLOOKUP('Données projet'!$B$9,Paramètres!$A$1:$I$89,3,0)*VLOOKUP('Données projet'!$B$9,Paramètres!$A$1:$I$89,5,0)</f>
        <v>5.5593222827243185</v>
      </c>
      <c r="P8" s="13">
        <f t="shared" si="33"/>
        <v>2.0982313560841388</v>
      </c>
      <c r="Q8" s="20">
        <f t="shared" si="2"/>
        <v>13.336905920924728</v>
      </c>
      <c r="R8" s="59">
        <f t="shared" si="0"/>
        <v>201.36649408651843</v>
      </c>
      <c r="S8" s="59">
        <f ca="1">AVERAGE(OFFSET($R$3,0,0,'Données projet'!$E$9+1,1))-AVERAGE(OFFSET($H$3,0,0,'Données projet'!$E$9+1,1))</f>
        <v>129.89493875503857</v>
      </c>
      <c r="T8" s="59">
        <f t="shared" si="34"/>
        <v>318.19554842399577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49.614130105767984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10.683760683760683</v>
      </c>
      <c r="AI8" s="13">
        <f>IF('Données projet'!$A$62&gt;35,AI7+AH8-AQ7,IF(A8&lt;'Données projet'!$A$62,$AF$205^A8,IF(A8='Données projet'!$A$62,'Données projet'!$B$62,AI7+AH8-AQ7)))</f>
        <v>12.637121028196761</v>
      </c>
      <c r="AJ8" s="13">
        <f>AI8*VLOOKUP('Données projet'!$B$10,Paramètres!$A$1:$I$89,3,0)*VLOOKUP('Données projet'!$B$10,Paramètres!$A$1:$I$89,5,0)</f>
        <v>5.5593222827243185</v>
      </c>
      <c r="AK8" s="13">
        <f t="shared" si="35"/>
        <v>2.0982313560841388</v>
      </c>
      <c r="AL8" s="20">
        <f t="shared" si="4"/>
        <v>13.336905920924728</v>
      </c>
      <c r="AM8" s="59">
        <f t="shared" si="5"/>
        <v>201.36649408651843</v>
      </c>
      <c r="AN8" s="59">
        <f ca="1">AVERAGE(OFFSET($AM$3,0,0,'Données projet'!$E$10+1,1))-AVERAGE(OFFSET($H$3,0,0,'Données projet'!$E$10+1,1))</f>
        <v>96.263123361643096</v>
      </c>
      <c r="AO8" s="59">
        <f t="shared" si="36"/>
        <v>291.35824366856377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49.614130105767984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10.683760683760683</v>
      </c>
      <c r="BD8" s="12">
        <f>IF('Données projet'!$A$88&gt;35,BD7+BC8-BL7,IF(A8&lt;'Données projet'!$A$88,$BA$205^A8,IF(A8='Données projet'!$A$88,'Données projet'!$B$88,BD7+BC8-BL7)))</f>
        <v>12.637121028196761</v>
      </c>
      <c r="BE8" s="13">
        <f>BD8*VLOOKUP('Données projet'!$B$11,Paramètres!$A$1:$I$89,3,0)*VLOOKUP('Données projet'!$B$11,Paramètres!$A$1:$I$89,5,0)</f>
        <v>6.0127421852160197</v>
      </c>
      <c r="BF8" s="13">
        <f t="shared" si="37"/>
        <v>2.2487470094532016</v>
      </c>
      <c r="BG8" s="20">
        <f t="shared" si="7"/>
        <v>14.388760347382226</v>
      </c>
      <c r="BH8" s="59">
        <f t="shared" si="8"/>
        <v>202.41834851297594</v>
      </c>
      <c r="BI8" s="59">
        <f ca="1">AVERAGE(OFFSET($BH$3,0,0,'Données projet'!$E$11+1,1))-AVERAGE(OFFSET($H$3,0,0,'Données projet'!$E$11+1,1))</f>
        <v>103.69736557010637</v>
      </c>
      <c r="BJ8" s="59">
        <f t="shared" si="38"/>
        <v>312.86697521864392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49.614130105767984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7.5454545454545459</v>
      </c>
      <c r="BY8" s="12">
        <f>IF('Données projet'!$A$114&gt;35,BY7+BX8-CG7,IF(A8&lt;'Données projet'!$A$114,$BV$205^A8,IF(A8='Données projet'!$A$114,'Données projet'!$B$114,BY7+BX8-CG7)))</f>
        <v>7.4526070638664255</v>
      </c>
      <c r="BZ8" s="13">
        <f>BY8*VLOOKUP('Données projet'!$B$12,Paramètres!$A$1:$I$89,3,0)*VLOOKUP('Données projet'!$B$12,Paramètres!$A$1:$I$89,5,0)</f>
        <v>4.4566590241921231</v>
      </c>
      <c r="CA8" s="13">
        <f t="shared" si="39"/>
        <v>1.7259045655829262</v>
      </c>
      <c r="CB8" s="20">
        <f t="shared" si="10"/>
        <v>10.76796491885821</v>
      </c>
      <c r="CC8" s="59">
        <f t="shared" si="11"/>
        <v>198.79755308445192</v>
      </c>
      <c r="CD8" s="59">
        <f ca="1">AVERAGE(OFFSET($CC$3,0,0,'Données projet'!$E$12+1,1))-AVERAGE(OFFSET($H$3,0,0,'Données projet'!$E$12+1,1))</f>
        <v>189.55118397415424</v>
      </c>
      <c r="CE8" s="59">
        <f t="shared" si="40"/>
        <v>456.28719984856014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49.614130105767984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49.614130105767984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49.614130105767984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49.614130105767984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49.614130105767984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49.614130105767984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4.45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16.316666666666666</v>
      </c>
      <c r="H9" s="66">
        <f t="shared" si="1"/>
        <v>191.4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49.967779372455595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10.683760683760683</v>
      </c>
      <c r="N9" s="13">
        <f>IF('Données projet'!$A$36&gt;35,N8+M9-V8,IF(A9&lt;'Données projet'!$A$36,$K$205^A9,IF(A9='Données projet'!$A$36,'Données projet'!$B$36,N8+M9-V8)))</f>
        <v>20.988324674252034</v>
      </c>
      <c r="O9" s="13">
        <f>N9*VLOOKUP('Données projet'!$B$9,Paramètres!$A$1:$I$89,3,0)*VLOOKUP('Données projet'!$B$9,Paramètres!$A$1:$I$89,5,0)</f>
        <v>9.2331837906969536</v>
      </c>
      <c r="P9" s="13">
        <f t="shared" si="33"/>
        <v>3.2850095239960697</v>
      </c>
      <c r="Q9" s="20">
        <f t="shared" si="2"/>
        <v>21.802520023090349</v>
      </c>
      <c r="R9" s="59">
        <f t="shared" si="0"/>
        <v>212.35104438876084</v>
      </c>
      <c r="S9" s="59">
        <f ca="1">AVERAGE(OFFSET($R$3,0,0,'Données projet'!$E$9+1,1))-AVERAGE(OFFSET($H$3,0,0,'Données projet'!$E$9+1,1))</f>
        <v>129.89493875503857</v>
      </c>
      <c r="T9" s="59">
        <f t="shared" si="34"/>
        <v>318.19554842399577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49.967779372455595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10.683760683760683</v>
      </c>
      <c r="AI9" s="13">
        <f>IF('Données projet'!$A$62&gt;35,AI8+AH9-AQ8,IF(A9&lt;'Données projet'!$A$62,$AF$205^A9,IF(A9='Données projet'!$A$62,'Données projet'!$B$62,AI8+AH9-AQ8)))</f>
        <v>20.988324674252034</v>
      </c>
      <c r="AJ9" s="13">
        <f>AI9*VLOOKUP('Données projet'!$B$10,Paramètres!$A$1:$I$89,3,0)*VLOOKUP('Données projet'!$B$10,Paramètres!$A$1:$I$89,5,0)</f>
        <v>9.2331837906969536</v>
      </c>
      <c r="AK9" s="13">
        <f t="shared" si="35"/>
        <v>3.2850095239960697</v>
      </c>
      <c r="AL9" s="20">
        <f t="shared" si="4"/>
        <v>21.802520023090349</v>
      </c>
      <c r="AM9" s="59">
        <f t="shared" si="5"/>
        <v>212.35104438876084</v>
      </c>
      <c r="AN9" s="59">
        <f ca="1">AVERAGE(OFFSET($AM$3,0,0,'Données projet'!$E$10+1,1))-AVERAGE(OFFSET($H$3,0,0,'Données projet'!$E$10+1,1))</f>
        <v>96.263123361643096</v>
      </c>
      <c r="AO9" s="59">
        <f t="shared" si="36"/>
        <v>291.35824366856377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49.967779372455595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10.683760683760683</v>
      </c>
      <c r="BD9" s="12">
        <f>IF('Données projet'!$A$88&gt;35,BD8+BC9-BL8,IF(A9&lt;'Données projet'!$A$88,$BA$205^A9,IF(A9='Données projet'!$A$88,'Données projet'!$B$88,BD8+BC9-BL8)))</f>
        <v>20.988324674252034</v>
      </c>
      <c r="BE9" s="13">
        <f>BD9*VLOOKUP('Données projet'!$B$11,Paramètres!$A$1:$I$89,3,0)*VLOOKUP('Données projet'!$B$11,Paramètres!$A$1:$I$89,5,0)</f>
        <v>9.9862448800091173</v>
      </c>
      <c r="BF9" s="13">
        <f t="shared" si="37"/>
        <v>3.520658158925742</v>
      </c>
      <c r="BG9" s="20">
        <f t="shared" si="7"/>
        <v>23.524522792811542</v>
      </c>
      <c r="BH9" s="59">
        <f t="shared" si="8"/>
        <v>214.07304715848204</v>
      </c>
      <c r="BI9" s="59">
        <f ca="1">AVERAGE(OFFSET($BH$3,0,0,'Données projet'!$E$11+1,1))-AVERAGE(OFFSET($H$3,0,0,'Données projet'!$E$11+1,1))</f>
        <v>103.69736557010637</v>
      </c>
      <c r="BJ9" s="59">
        <f t="shared" si="38"/>
        <v>312.86697521864392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49.967779372455595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7.5454545454545459</v>
      </c>
      <c r="BY9" s="12">
        <f>IF('Données projet'!$A$114&gt;35,BY8+BX9-CG8,IF(A9&lt;'Données projet'!$A$114,$BV$205^A9,IF(A9='Données projet'!$A$114,'Données projet'!$B$114,BY8+BX9-CG8)))</f>
        <v>11.137042284494127</v>
      </c>
      <c r="BZ9" s="13">
        <f>BY9*VLOOKUP('Données projet'!$B$12,Paramètres!$A$1:$I$89,3,0)*VLOOKUP('Données projet'!$B$12,Paramètres!$A$1:$I$89,5,0)</f>
        <v>6.6599512861274883</v>
      </c>
      <c r="CA9" s="13">
        <f t="shared" si="39"/>
        <v>2.461337037629669</v>
      </c>
      <c r="CB9" s="20">
        <f t="shared" si="10"/>
        <v>15.886243830543714</v>
      </c>
      <c r="CC9" s="59">
        <f t="shared" si="11"/>
        <v>206.43476819621421</v>
      </c>
      <c r="CD9" s="59">
        <f ca="1">AVERAGE(OFFSET($CC$3,0,0,'Données projet'!$E$12+1,1))-AVERAGE(OFFSET($H$3,0,0,'Données projet'!$E$12+1,1))</f>
        <v>189.55118397415424</v>
      </c>
      <c r="CE9" s="59">
        <f t="shared" si="40"/>
        <v>456.28719984856014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49.967779372455595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49.967779372455595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49.967779372455595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49.967779372455595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49.967779372455595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49.967779372455595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4.45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16.316666666666666</v>
      </c>
      <c r="H10" s="66">
        <f t="shared" si="1"/>
        <v>191.4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50.315293615007491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10.683760683760683</v>
      </c>
      <c r="N10" s="13">
        <f>IF('Données projet'!$A$36&gt;35,N9+M10-V9,IF(A10&lt;'Données projet'!$A$36,$K$205^A10,IF(A10='Données projet'!$A$36,'Données projet'!$B$36,N9+M10-V9)))</f>
        <v>34.858396279415452</v>
      </c>
      <c r="O10" s="13">
        <f>N10*VLOOKUP('Données projet'!$B$9,Paramètres!$A$1:$I$89,3,0)*VLOOKUP('Données projet'!$B$9,Paramètres!$A$1:$I$89,5,0)</f>
        <v>15.334905691240445</v>
      </c>
      <c r="P10" s="13">
        <f t="shared" si="33"/>
        <v>5.1430398947446472</v>
      </c>
      <c r="Q10" s="20">
        <f t="shared" si="2"/>
        <v>35.665755228924034</v>
      </c>
      <c r="R10" s="59">
        <f t="shared" si="0"/>
        <v>228.71072070617373</v>
      </c>
      <c r="S10" s="59">
        <f ca="1">AVERAGE(OFFSET($R$3,0,0,'Données projet'!$E$9+1,1))-AVERAGE(OFFSET($H$3,0,0,'Données projet'!$E$9+1,1))</f>
        <v>129.89493875503857</v>
      </c>
      <c r="T10" s="59">
        <f t="shared" si="34"/>
        <v>318.19554842399577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50.315293615007491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10.683760683760683</v>
      </c>
      <c r="AI10" s="13">
        <f>IF('Données projet'!$A$62&gt;35,AI9+AH10-AQ9,IF(A10&lt;'Données projet'!$A$62,$AF$205^A10,IF(A10='Données projet'!$A$62,'Données projet'!$B$62,AI9+AH10-AQ9)))</f>
        <v>34.858396279415452</v>
      </c>
      <c r="AJ10" s="13">
        <f>AI10*VLOOKUP('Données projet'!$B$10,Paramètres!$A$1:$I$89,3,0)*VLOOKUP('Données projet'!$B$10,Paramètres!$A$1:$I$89,5,0)</f>
        <v>15.334905691240445</v>
      </c>
      <c r="AK10" s="13">
        <f t="shared" si="35"/>
        <v>5.1430398947446472</v>
      </c>
      <c r="AL10" s="20">
        <f t="shared" si="4"/>
        <v>35.665755228924034</v>
      </c>
      <c r="AM10" s="59">
        <f t="shared" si="5"/>
        <v>228.71072070617373</v>
      </c>
      <c r="AN10" s="59">
        <f ca="1">AVERAGE(OFFSET($AM$3,0,0,'Données projet'!$E$10+1,1))-AVERAGE(OFFSET($H$3,0,0,'Données projet'!$E$10+1,1))</f>
        <v>96.263123361643096</v>
      </c>
      <c r="AO10" s="59">
        <f t="shared" si="36"/>
        <v>291.35824366856377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50.315293615007491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10.683760683760683</v>
      </c>
      <c r="BD10" s="12">
        <f>IF('Données projet'!$A$88&gt;35,BD9+BC10-BL9,IF(A10&lt;'Données projet'!$A$88,$BA$205^A10,IF(A10='Données projet'!$A$88,'Données projet'!$B$88,BD9+BC10-BL9)))</f>
        <v>34.858396279415452</v>
      </c>
      <c r="BE10" s="13">
        <f>BD10*VLOOKUP('Données projet'!$B$11,Paramètres!$A$1:$I$89,3,0)*VLOOKUP('Données projet'!$B$11,Paramètres!$A$1:$I$89,5,0)</f>
        <v>16.585624949745874</v>
      </c>
      <c r="BF10" s="13">
        <f t="shared" si="37"/>
        <v>5.5119734767426491</v>
      </c>
      <c r="BG10" s="20">
        <f t="shared" si="7"/>
        <v>38.486650592800842</v>
      </c>
      <c r="BH10" s="59">
        <f t="shared" si="8"/>
        <v>231.53161607005052</v>
      </c>
      <c r="BI10" s="59">
        <f ca="1">AVERAGE(OFFSET($BH$3,0,0,'Données projet'!$E$11+1,1))-AVERAGE(OFFSET($H$3,0,0,'Données projet'!$E$11+1,1))</f>
        <v>103.69736557010637</v>
      </c>
      <c r="BJ10" s="59">
        <f t="shared" si="38"/>
        <v>312.86697521864392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50.315293615007491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7.5454545454545459</v>
      </c>
      <c r="BY10" s="12">
        <f>IF('Données projet'!$A$114&gt;35,BY9+BX10-CG9,IF(A10&lt;'Données projet'!$A$114,$BV$205^A10,IF(A10='Données projet'!$A$114,'Données projet'!$B$114,BY9+BX10-CG9)))</f>
        <v>16.642996173511026</v>
      </c>
      <c r="BZ10" s="13">
        <f>BY10*VLOOKUP('Données projet'!$B$12,Paramètres!$A$1:$I$89,3,0)*VLOOKUP('Données projet'!$B$12,Paramètres!$A$1:$I$89,5,0)</f>
        <v>9.9525117117595947</v>
      </c>
      <c r="CA10" s="13">
        <f t="shared" si="39"/>
        <v>3.5101477414317164</v>
      </c>
      <c r="CB10" s="20">
        <f t="shared" si="10"/>
        <v>23.447465214308199</v>
      </c>
      <c r="CC10" s="59">
        <f t="shared" si="11"/>
        <v>216.4924306915579</v>
      </c>
      <c r="CD10" s="59">
        <f ca="1">AVERAGE(OFFSET($CC$3,0,0,'Données projet'!$E$12+1,1))-AVERAGE(OFFSET($H$3,0,0,'Données projet'!$E$12+1,1))</f>
        <v>189.55118397415424</v>
      </c>
      <c r="CE10" s="59">
        <f t="shared" si="40"/>
        <v>456.28719984856014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50.315293615007491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50.315293615007491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50.315293615007491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50.315293615007491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50.315293615007491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50.315293615007491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4.45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16.316666666666666</v>
      </c>
      <c r="H11" s="66">
        <f t="shared" si="1"/>
        <v>191.4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50.656779262376574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10.683760683760683</v>
      </c>
      <c r="N11" s="13">
        <f>IF('Données projet'!$A$36&gt;35,N10+M11-V10,IF(A11&lt;'Données projet'!$A$36,$K$205^A11,IF(A11='Données projet'!$A$36,'Données projet'!$B$36,N10+M11-V10)))</f>
        <v>57.894463232857746</v>
      </c>
      <c r="O11" s="13">
        <f>N11*VLOOKUP('Données projet'!$B$9,Paramètres!$A$1:$I$89,3,0)*VLOOKUP('Données projet'!$B$9,Paramètres!$A$1:$I$89,5,0)</f>
        <v>25.468932265398781</v>
      </c>
      <c r="P11" s="13">
        <f t="shared" si="33"/>
        <v>8.0519886367813989</v>
      </c>
      <c r="Q11" s="20">
        <f t="shared" si="2"/>
        <v>58.382270571297141</v>
      </c>
      <c r="R11" s="59">
        <f t="shared" si="0"/>
        <v>253.90157231112235</v>
      </c>
      <c r="S11" s="59">
        <f ca="1">AVERAGE(OFFSET($R$3,0,0,'Données projet'!$E$9+1,1))-AVERAGE(OFFSET($H$3,0,0,'Données projet'!$E$9+1,1))</f>
        <v>129.89493875503857</v>
      </c>
      <c r="T11" s="59">
        <f t="shared" si="34"/>
        <v>318.19554842399577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50.656779262376574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10.683760683760683</v>
      </c>
      <c r="AI11" s="13">
        <f>IF('Données projet'!$A$62&gt;35,AI10+AH11-AQ10,IF(A11&lt;'Données projet'!$A$62,$AF$205^A11,IF(A11='Données projet'!$A$62,'Données projet'!$B$62,AI10+AH11-AQ10)))</f>
        <v>57.894463232857746</v>
      </c>
      <c r="AJ11" s="13">
        <f>AI11*VLOOKUP('Données projet'!$B$10,Paramètres!$A$1:$I$89,3,0)*VLOOKUP('Données projet'!$B$10,Paramètres!$A$1:$I$89,5,0)</f>
        <v>25.468932265398781</v>
      </c>
      <c r="AK11" s="13">
        <f t="shared" si="35"/>
        <v>8.0519886367813989</v>
      </c>
      <c r="AL11" s="20">
        <f t="shared" si="4"/>
        <v>58.382270571297141</v>
      </c>
      <c r="AM11" s="59">
        <f t="shared" si="5"/>
        <v>253.90157231112235</v>
      </c>
      <c r="AN11" s="59">
        <f ca="1">AVERAGE(OFFSET($AM$3,0,0,'Données projet'!$E$10+1,1))-AVERAGE(OFFSET($H$3,0,0,'Données projet'!$E$10+1,1))</f>
        <v>96.263123361643096</v>
      </c>
      <c r="AO11" s="59">
        <f t="shared" si="36"/>
        <v>291.35824366856377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50.656779262376574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10.683760683760683</v>
      </c>
      <c r="BD11" s="12">
        <f>IF('Données projet'!$A$88&gt;35,BD10+BC11-BL10,IF(A11&lt;'Données projet'!$A$88,$BA$205^A11,IF(A11='Données projet'!$A$88,'Données projet'!$B$88,BD10+BC11-BL10)))</f>
        <v>57.894463232857746</v>
      </c>
      <c r="BE11" s="13">
        <f>BD11*VLOOKUP('Données projet'!$B$11,Paramètres!$A$1:$I$89,3,0)*VLOOKUP('Données projet'!$B$11,Paramètres!$A$1:$I$89,5,0)</f>
        <v>27.546185606193717</v>
      </c>
      <c r="BF11" s="13">
        <f t="shared" si="37"/>
        <v>8.6295943078963528</v>
      </c>
      <c r="BG11" s="20">
        <f t="shared" si="7"/>
        <v>63.006150017040206</v>
      </c>
      <c r="BH11" s="59">
        <f t="shared" si="8"/>
        <v>258.52545175686544</v>
      </c>
      <c r="BI11" s="59">
        <f ca="1">AVERAGE(OFFSET($BH$3,0,0,'Données projet'!$E$11+1,1))-AVERAGE(OFFSET($H$3,0,0,'Données projet'!$E$11+1,1))</f>
        <v>103.69736557010637</v>
      </c>
      <c r="BJ11" s="59">
        <f t="shared" si="38"/>
        <v>312.86697521864392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50.656779262376574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7.5454545454545459</v>
      </c>
      <c r="BY11" s="12">
        <f>IF('Données projet'!$A$114&gt;35,BY10+BX11-CG10,IF(A11&lt;'Données projet'!$A$114,$BV$205^A11,IF(A11='Données projet'!$A$114,'Données projet'!$B$114,BY10+BX11-CG10)))</f>
        <v>24.870994879596463</v>
      </c>
      <c r="BZ11" s="13">
        <f>BY11*VLOOKUP('Données projet'!$B$12,Paramètres!$A$1:$I$89,3,0)*VLOOKUP('Données projet'!$B$12,Paramètres!$A$1:$I$89,5,0)</f>
        <v>14.872854937998687</v>
      </c>
      <c r="CA11" s="13">
        <f t="shared" si="39"/>
        <v>5.0058715967414829</v>
      </c>
      <c r="CB11" s="20">
        <f t="shared" si="10"/>
        <v>34.622115381339128</v>
      </c>
      <c r="CC11" s="59">
        <f t="shared" si="11"/>
        <v>230.14141712116435</v>
      </c>
      <c r="CD11" s="59">
        <f ca="1">AVERAGE(OFFSET($CC$3,0,0,'Données projet'!$E$12+1,1))-AVERAGE(OFFSET($H$3,0,0,'Données projet'!$E$12+1,1))</f>
        <v>189.55118397415424</v>
      </c>
      <c r="CE11" s="59">
        <f t="shared" si="40"/>
        <v>456.28719984856014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50.656779262376574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50.656779262376574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50.656779262376574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50.656779262376574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50.656779262376574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50.656779262376574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4.45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16.316666666666666</v>
      </c>
      <c r="H12" s="66">
        <f t="shared" si="1"/>
        <v>191.4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50.992340897211335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>
        <f>VLOOKUP(A12,'Données projet'!$A$35:$I$55,2,0)</f>
        <v>96.153846153846146</v>
      </c>
      <c r="L12" s="12">
        <f>VLOOKUP(A12,'Données projet'!$A$35:$I$55,9,0)</f>
        <v>10.683760683760683</v>
      </c>
      <c r="M12" s="12">
        <f t="array" ref="M12">INDEX(L:L,MIN(IF(ISNUMBER(L12:L208),ROW(L12:L208),"")))</f>
        <v>10.683760683760683</v>
      </c>
      <c r="N12" s="13">
        <f>IF('Données projet'!$A$36&gt;35,N11+M12-V11,IF(A12&lt;'Données projet'!$A$36,$K$205^A12,IF(A12='Données projet'!$A$36,'Données projet'!$B$36,N11+M12-V11)))</f>
        <v>96.153846153846146</v>
      </c>
      <c r="O12" s="13">
        <f>N12*VLOOKUP('Données projet'!$B$9,Paramètres!$A$1:$I$89,3,0)*VLOOKUP('Données projet'!$B$9,Paramètres!$A$1:$I$89,5,0)</f>
        <v>42.29999999999999</v>
      </c>
      <c r="P12" s="13">
        <f t="shared" si="33"/>
        <v>12.606264453267638</v>
      </c>
      <c r="Q12" s="20">
        <f t="shared" si="2"/>
        <v>95.628410589441103</v>
      </c>
      <c r="R12" s="59">
        <f t="shared" si="0"/>
        <v>293.60032721254936</v>
      </c>
      <c r="S12" s="59">
        <f ca="1">AVERAGE(OFFSET($R$3,0,0,'Données projet'!$E$9+1,1))-AVERAGE(OFFSET($H$3,0,0,'Données projet'!$E$9+1,1))</f>
        <v>129.89493875503857</v>
      </c>
      <c r="T12" s="59">
        <f t="shared" si="34"/>
        <v>318.19554842399577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50.992340897211335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>
        <f>VLOOKUP(A12,'Données projet'!$A$61:$I$81,2,0)</f>
        <v>96.153846153846146</v>
      </c>
      <c r="AG12" s="12">
        <f>VLOOKUP(A12,'Données projet'!$A$61:$I$81,9,0)</f>
        <v>10.683760683760683</v>
      </c>
      <c r="AH12" s="12">
        <f t="array" ref="AH12">INDEX(AG:AG,MIN(IF(ISNUMBER(AG12:AG208),ROW(AG12:AG208),"")))</f>
        <v>10.683760683760683</v>
      </c>
      <c r="AI12" s="13">
        <f>IF('Données projet'!$A$62&gt;35,AI11+AH12-AQ11,IF(A12&lt;'Données projet'!$A$62,$AF$205^A12,IF(A12='Données projet'!$A$62,'Données projet'!$B$62,AI11+AH12-AQ11)))</f>
        <v>96.153846153846146</v>
      </c>
      <c r="AJ12" s="13">
        <f>AI12*VLOOKUP('Données projet'!$B$10,Paramètres!$A$1:$I$89,3,0)*VLOOKUP('Données projet'!$B$10,Paramètres!$A$1:$I$89,5,0)</f>
        <v>42.29999999999999</v>
      </c>
      <c r="AK12" s="13">
        <f t="shared" si="35"/>
        <v>12.606264453267638</v>
      </c>
      <c r="AL12" s="20">
        <f t="shared" si="4"/>
        <v>95.628410589441103</v>
      </c>
      <c r="AM12" s="59">
        <f t="shared" si="5"/>
        <v>293.60032721254936</v>
      </c>
      <c r="AN12" s="59">
        <f ca="1">AVERAGE(OFFSET($AM$3,0,0,'Données projet'!$E$10+1,1))-AVERAGE(OFFSET($H$3,0,0,'Données projet'!$E$10+1,1))</f>
        <v>96.263123361643096</v>
      </c>
      <c r="AO12" s="59">
        <f t="shared" si="36"/>
        <v>291.35824366856377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50.992340897211335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>
        <f>VLOOKUP(A12,'Données projet'!$A$87:$I$107,2,0)</f>
        <v>96.153846153846146</v>
      </c>
      <c r="BB12" s="12">
        <f>VLOOKUP(A12,'Données projet'!$A$87:$I$107,9,0)</f>
        <v>10.683760683760683</v>
      </c>
      <c r="BC12" s="12">
        <f t="array" ref="BC12">INDEX(BB:BB,MIN(IF(ISNUMBER(BB12:BB208),ROW(BB12:BB208),"")))</f>
        <v>10.683760683760683</v>
      </c>
      <c r="BD12" s="12">
        <f>IF('Données projet'!$A$88&gt;35,BD11+BC12-BL11,IF(A12&lt;'Données projet'!$A$88,$BA$205^A12,IF(A12='Données projet'!$A$88,'Données projet'!$B$88,BD11+BC12-BL11)))</f>
        <v>96.153846153846146</v>
      </c>
      <c r="BE12" s="13">
        <f>BD12*VLOOKUP('Données projet'!$B$11,Paramètres!$A$1:$I$89,3,0)*VLOOKUP('Données projet'!$B$11,Paramètres!$A$1:$I$89,5,0)</f>
        <v>45.749999999999993</v>
      </c>
      <c r="BF12" s="13">
        <f t="shared" si="37"/>
        <v>13.510568988239367</v>
      </c>
      <c r="BG12" s="20">
        <f t="shared" si="7"/>
        <v>103.21215765451687</v>
      </c>
      <c r="BH12" s="59">
        <f t="shared" si="8"/>
        <v>301.18407427762509</v>
      </c>
      <c r="BI12" s="59">
        <f ca="1">AVERAGE(OFFSET($BH$3,0,0,'Données projet'!$E$11+1,1))-AVERAGE(OFFSET($H$3,0,0,'Données projet'!$E$11+1,1))</f>
        <v>103.69736557010637</v>
      </c>
      <c r="BJ12" s="59">
        <f t="shared" si="38"/>
        <v>312.86697521864392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50.992340897211335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7.5454545454545459</v>
      </c>
      <c r="BY12" s="12">
        <f>IF('Données projet'!$A$114&gt;35,BY11+BX12-CG11,IF(A12&lt;'Données projet'!$A$114,$BV$205^A12,IF(A12='Données projet'!$A$114,'Données projet'!$B$114,BY11+BX12-CG11)))</f>
        <v>37.166768522450475</v>
      </c>
      <c r="BZ12" s="13">
        <f>BY12*VLOOKUP('Données projet'!$B$12,Paramètres!$A$1:$I$89,3,0)*VLOOKUP('Données projet'!$B$12,Paramètres!$A$1:$I$89,5,0)</f>
        <v>22.225727576425388</v>
      </c>
      <c r="CA12" s="13">
        <f t="shared" si="39"/>
        <v>7.1389446510425687</v>
      </c>
      <c r="CB12" s="20">
        <f t="shared" si="10"/>
        <v>51.143470796173354</v>
      </c>
      <c r="CC12" s="59">
        <f t="shared" si="11"/>
        <v>249.11538741928157</v>
      </c>
      <c r="CD12" s="59">
        <f ca="1">AVERAGE(OFFSET($CC$3,0,0,'Données projet'!$E$12+1,1))-AVERAGE(OFFSET($H$3,0,0,'Données projet'!$E$12+1,1))</f>
        <v>189.55118397415424</v>
      </c>
      <c r="CE12" s="59">
        <f t="shared" si="40"/>
        <v>456.28719984856014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50.992340897211335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50.992340897211335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50.992340897211335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50.992340897211335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50.992340897211335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50.992340897211335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4.45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16.316666666666666</v>
      </c>
      <c r="H13" s="66">
        <f t="shared" si="1"/>
        <v>191.4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51.32208128788514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35.256410256410255</v>
      </c>
      <c r="N13" s="13">
        <f>IF('Données projet'!$A$36&gt;35,N12+M13-V12,IF(A13&lt;'Données projet'!$A$36,$K$205^A13,IF(A13='Données projet'!$A$36,'Données projet'!$B$36,N12+M13-V12)))</f>
        <v>131.41025641025641</v>
      </c>
      <c r="O13" s="13">
        <f>N13*VLOOKUP('Données projet'!$B$9,Paramètres!$A$1:$I$89,3,0)*VLOOKUP('Données projet'!$B$9,Paramètres!$A$1:$I$89,5,0)</f>
        <v>57.81</v>
      </c>
      <c r="P13" s="13">
        <f t="shared" si="33"/>
        <v>16.613375782579244</v>
      </c>
      <c r="Q13" s="20">
        <f t="shared" si="2"/>
        <v>129.6207128213255</v>
      </c>
      <c r="R13" s="59">
        <f t="shared" si="0"/>
        <v>330.0238997657932</v>
      </c>
      <c r="S13" s="59">
        <f ca="1">AVERAGE(OFFSET($R$3,0,0,'Données projet'!$E$9+1,1))-AVERAGE(OFFSET($H$3,0,0,'Données projet'!$E$9+1,1))</f>
        <v>129.89493875503857</v>
      </c>
      <c r="T13" s="59">
        <f t="shared" si="34"/>
        <v>318.19554842399577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51.32208128788514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35.256410256410255</v>
      </c>
      <c r="AI13" s="13">
        <f>IF('Données projet'!$A$62&gt;35,AI12+AH13-AQ12,IF(A13&lt;'Données projet'!$A$62,$AF$205^A13,IF(A13='Données projet'!$A$62,'Données projet'!$B$62,AI12+AH13-AQ12)))</f>
        <v>131.41025641025641</v>
      </c>
      <c r="AJ13" s="13">
        <f>AI13*VLOOKUP('Données projet'!$B$10,Paramètres!$A$1:$I$89,3,0)*VLOOKUP('Données projet'!$B$10,Paramètres!$A$1:$I$89,5,0)</f>
        <v>57.81</v>
      </c>
      <c r="AK13" s="13">
        <f t="shared" si="35"/>
        <v>16.613375782579244</v>
      </c>
      <c r="AL13" s="20">
        <f t="shared" si="4"/>
        <v>129.6207128213255</v>
      </c>
      <c r="AM13" s="59">
        <f t="shared" si="5"/>
        <v>330.0238997657932</v>
      </c>
      <c r="AN13" s="59">
        <f ca="1">AVERAGE(OFFSET($AM$3,0,0,'Données projet'!$E$10+1,1))-AVERAGE(OFFSET($H$3,0,0,'Données projet'!$E$10+1,1))</f>
        <v>96.263123361643096</v>
      </c>
      <c r="AO13" s="59">
        <f t="shared" si="36"/>
        <v>291.35824366856377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51.32208128788514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35.256410256410255</v>
      </c>
      <c r="BD13" s="12">
        <f>IF('Données projet'!$A$88&gt;35,BD12+BC13-BL12,IF(A13&lt;'Données projet'!$A$88,$BA$205^A13,IF(A13='Données projet'!$A$88,'Données projet'!$B$88,BD12+BC13-BL12)))</f>
        <v>131.41025641025641</v>
      </c>
      <c r="BE13" s="13">
        <f>BD13*VLOOKUP('Données projet'!$B$11,Paramètres!$A$1:$I$89,3,0)*VLOOKUP('Données projet'!$B$11,Paramètres!$A$1:$I$89,5,0)</f>
        <v>62.524999999999999</v>
      </c>
      <c r="BF13" s="13">
        <f t="shared" si="37"/>
        <v>17.80512859064299</v>
      </c>
      <c r="BG13" s="20">
        <f t="shared" si="7"/>
        <v>139.90830729536984</v>
      </c>
      <c r="BH13" s="59">
        <f t="shared" si="8"/>
        <v>340.31149423983754</v>
      </c>
      <c r="BI13" s="59">
        <f ca="1">AVERAGE(OFFSET($BH$3,0,0,'Données projet'!$E$11+1,1))-AVERAGE(OFFSET($H$3,0,0,'Données projet'!$E$11+1,1))</f>
        <v>103.69736557010637</v>
      </c>
      <c r="BJ13" s="59">
        <f t="shared" si="38"/>
        <v>312.86697521864392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51.32208128788514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7.5454545454545459</v>
      </c>
      <c r="BY13" s="12">
        <f>IF('Données projet'!$A$114&gt;35,BY12+BX13-CG12,IF(A13&lt;'Données projet'!$A$114,$BV$205^A13,IF(A13='Données projet'!$A$114,'Données projet'!$B$114,BY12+BX13-CG12)))</f>
        <v>55.541352048391744</v>
      </c>
      <c r="BZ13" s="13">
        <f>BY13*VLOOKUP('Données projet'!$B$12,Paramètres!$A$1:$I$89,3,0)*VLOOKUP('Données projet'!$B$12,Paramètres!$A$1:$I$89,5,0)</f>
        <v>33.213728524938269</v>
      </c>
      <c r="CA13" s="13">
        <f t="shared" si="39"/>
        <v>10.180950459021789</v>
      </c>
      <c r="CB13" s="20">
        <f t="shared" si="10"/>
        <v>75.579065897063757</v>
      </c>
      <c r="CC13" s="59">
        <f t="shared" si="11"/>
        <v>275.98225284153148</v>
      </c>
      <c r="CD13" s="59">
        <f ca="1">AVERAGE(OFFSET($CC$3,0,0,'Données projet'!$E$12+1,1))-AVERAGE(OFFSET($H$3,0,0,'Données projet'!$E$12+1,1))</f>
        <v>189.55118397415424</v>
      </c>
      <c r="CE13" s="59">
        <f t="shared" si="40"/>
        <v>456.28719984856014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51.32208128788514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51.32208128788514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51.32208128788514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51.32208128788514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51.32208128788514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51.32208128788514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4.45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16.316666666666666</v>
      </c>
      <c r="H14" s="66">
        <f t="shared" si="1"/>
        <v>191.4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51.646101419969831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35.256410256410255</v>
      </c>
      <c r="N14" s="13">
        <f>IF('Données projet'!$A$36&gt;35,N13+M14-V13,IF(A14&lt;'Données projet'!$A$36,$K$205^A14,IF(A14='Données projet'!$A$36,'Données projet'!$B$36,N13+M14-V13)))</f>
        <v>166.66666666666666</v>
      </c>
      <c r="O14" s="13">
        <f>N14*VLOOKUP('Données projet'!$B$9,Paramètres!$A$1:$I$89,3,0)*VLOOKUP('Données projet'!$B$9,Paramètres!$A$1:$I$89,5,0)</f>
        <v>73.319999999999993</v>
      </c>
      <c r="P14" s="13">
        <f t="shared" si="33"/>
        <v>20.495693943372068</v>
      </c>
      <c r="Q14" s="20">
        <f t="shared" si="2"/>
        <v>163.39566695137299</v>
      </c>
      <c r="R14" s="59">
        <f t="shared" si="0"/>
        <v>366.20914993570682</v>
      </c>
      <c r="S14" s="59">
        <f ca="1">AVERAGE(OFFSET($R$3,0,0,'Données projet'!$E$9+1,1))-AVERAGE(OFFSET($H$3,0,0,'Données projet'!$E$9+1,1))</f>
        <v>129.89493875503857</v>
      </c>
      <c r="T14" s="59">
        <f t="shared" si="34"/>
        <v>318.19554842399577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51.646101419969831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35.256410256410255</v>
      </c>
      <c r="AI14" s="13">
        <f>IF('Données projet'!$A$62&gt;35,AI13+AH14-AQ13,IF(A14&lt;'Données projet'!$A$62,$AF$205^A14,IF(A14='Données projet'!$A$62,'Données projet'!$B$62,AI13+AH14-AQ13)))</f>
        <v>166.66666666666666</v>
      </c>
      <c r="AJ14" s="13">
        <f>AI14*VLOOKUP('Données projet'!$B$10,Paramètres!$A$1:$I$89,3,0)*VLOOKUP('Données projet'!$B$10,Paramètres!$A$1:$I$89,5,0)</f>
        <v>73.319999999999993</v>
      </c>
      <c r="AK14" s="13">
        <f t="shared" si="35"/>
        <v>20.495693943372068</v>
      </c>
      <c r="AL14" s="20">
        <f t="shared" si="4"/>
        <v>163.39566695137299</v>
      </c>
      <c r="AM14" s="59">
        <f t="shared" si="5"/>
        <v>366.20914993570682</v>
      </c>
      <c r="AN14" s="59">
        <f ca="1">AVERAGE(OFFSET($AM$3,0,0,'Données projet'!$E$10+1,1))-AVERAGE(OFFSET($H$3,0,0,'Données projet'!$E$10+1,1))</f>
        <v>96.263123361643096</v>
      </c>
      <c r="AO14" s="59">
        <f t="shared" si="36"/>
        <v>291.35824366856377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51.646101419969831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35.256410256410255</v>
      </c>
      <c r="BD14" s="12">
        <f>IF('Données projet'!$A$88&gt;35,BD13+BC14-BL13,IF(A14&lt;'Données projet'!$A$88,$BA$205^A14,IF(A14='Données projet'!$A$88,'Données projet'!$B$88,BD13+BC14-BL13)))</f>
        <v>166.66666666666666</v>
      </c>
      <c r="BE14" s="13">
        <f>BD14*VLOOKUP('Données projet'!$B$11,Paramètres!$A$1:$I$89,3,0)*VLOOKUP('Données projet'!$B$11,Paramètres!$A$1:$I$89,5,0)</f>
        <v>79.3</v>
      </c>
      <c r="BF14" s="13">
        <f t="shared" si="37"/>
        <v>21.965943044451311</v>
      </c>
      <c r="BG14" s="20">
        <f t="shared" si="7"/>
        <v>176.371517469086</v>
      </c>
      <c r="BH14" s="59">
        <f t="shared" si="8"/>
        <v>379.18500045341983</v>
      </c>
      <c r="BI14" s="59">
        <f ca="1">AVERAGE(OFFSET($BH$3,0,0,'Données projet'!$E$11+1,1))-AVERAGE(OFFSET($H$3,0,0,'Données projet'!$E$11+1,1))</f>
        <v>103.69736557010637</v>
      </c>
      <c r="BJ14" s="59">
        <f t="shared" si="38"/>
        <v>312.86697521864392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51.646101419969831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>
        <f>VLOOKUP(A14,'Données projet'!$A$113:$I$133,2,0)</f>
        <v>83</v>
      </c>
      <c r="BW14" s="12">
        <f>VLOOKUP(A14,'Données projet'!$A$113:$I$133,9,0)</f>
        <v>7.5454545454545459</v>
      </c>
      <c r="BX14" s="12">
        <f t="array" ref="BX14">INDEX(BW:BW,MIN(IF(ISNUMBER(BW14:BW210),ROW(BW14:BW210),"")))</f>
        <v>7.5454545454545459</v>
      </c>
      <c r="BY14" s="12">
        <f>IF('Données projet'!$A$114&gt;35,BY13+BX14-CG13,IF(A14&lt;'Données projet'!$A$114,$BV$205^A14,IF(A14='Données projet'!$A$114,'Données projet'!$B$114,BY13+BX14-CG13)))</f>
        <v>83</v>
      </c>
      <c r="BZ14" s="13">
        <f>BY14*VLOOKUP('Données projet'!$B$12,Paramètres!$A$1:$I$89,3,0)*VLOOKUP('Données projet'!$B$12,Paramètres!$A$1:$I$89,5,0)</f>
        <v>49.634</v>
      </c>
      <c r="CA14" s="13">
        <f t="shared" si="39"/>
        <v>14.519198189037462</v>
      </c>
      <c r="CB14" s="20">
        <f t="shared" si="10"/>
        <v>111.73348684590691</v>
      </c>
      <c r="CC14" s="59">
        <f t="shared" si="11"/>
        <v>314.54696983024076</v>
      </c>
      <c r="CD14" s="59">
        <f ca="1">AVERAGE(OFFSET($CC$3,0,0,'Données projet'!$E$12+1,1))-AVERAGE(OFFSET($H$3,0,0,'Données projet'!$E$12+1,1))</f>
        <v>189.55118397415424</v>
      </c>
      <c r="CE14" s="59">
        <f t="shared" si="40"/>
        <v>456.28719984856014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51.646101419969831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51.646101419969831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51.646101419969831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51.646101419969831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51.646101419969831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51.646101419969831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4.45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16.316666666666666</v>
      </c>
      <c r="H15" s="66">
        <f t="shared" si="1"/>
        <v>191.4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51.964500527163345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35.256410256410255</v>
      </c>
      <c r="N15" s="13">
        <f>IF('Données projet'!$A$36&gt;35,N14+M15-V14,IF(A15&lt;'Données projet'!$A$36,$K$205^A15,IF(A15='Données projet'!$A$36,'Données projet'!$B$36,N14+M15-V14)))</f>
        <v>201.92307692307691</v>
      </c>
      <c r="O15" s="13">
        <f>N15*VLOOKUP('Données projet'!$B$9,Paramètres!$A$1:$I$89,3,0)*VLOOKUP('Données projet'!$B$9,Paramètres!$A$1:$I$89,5,0)</f>
        <v>88.829999999999984</v>
      </c>
      <c r="P15" s="13">
        <f t="shared" si="33"/>
        <v>24.282834633228756</v>
      </c>
      <c r="Q15" s="20">
        <f t="shared" si="2"/>
        <v>197.00485365287338</v>
      </c>
      <c r="R15" s="59">
        <f t="shared" si="0"/>
        <v>402.20802225247235</v>
      </c>
      <c r="S15" s="59">
        <f ca="1">AVERAGE(OFFSET($R$3,0,0,'Données projet'!$E$9+1,1))-AVERAGE(OFFSET($H$3,0,0,'Données projet'!$E$9+1,1))</f>
        <v>129.89493875503857</v>
      </c>
      <c r="T15" s="59">
        <f t="shared" si="34"/>
        <v>318.19554842399577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51.964500527163345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35.256410256410255</v>
      </c>
      <c r="AI15" s="13">
        <f>IF('Données projet'!$A$62&gt;35,AI14+AH15-AQ14,IF(A15&lt;'Données projet'!$A$62,$AF$205^A15,IF(A15='Données projet'!$A$62,'Données projet'!$B$62,AI14+AH15-AQ14)))</f>
        <v>201.92307692307691</v>
      </c>
      <c r="AJ15" s="13">
        <f>AI15*VLOOKUP('Données projet'!$B$10,Paramètres!$A$1:$I$89,3,0)*VLOOKUP('Données projet'!$B$10,Paramètres!$A$1:$I$89,5,0)</f>
        <v>88.829999999999984</v>
      </c>
      <c r="AK15" s="13">
        <f t="shared" si="35"/>
        <v>24.282834633228756</v>
      </c>
      <c r="AL15" s="20">
        <f t="shared" si="4"/>
        <v>197.00485365287338</v>
      </c>
      <c r="AM15" s="59">
        <f t="shared" si="5"/>
        <v>402.20802225247235</v>
      </c>
      <c r="AN15" s="59">
        <f ca="1">AVERAGE(OFFSET($AM$3,0,0,'Données projet'!$E$10+1,1))-AVERAGE(OFFSET($H$3,0,0,'Données projet'!$E$10+1,1))</f>
        <v>96.263123361643096</v>
      </c>
      <c r="AO15" s="59">
        <f t="shared" si="36"/>
        <v>291.35824366856377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51.964500527163345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35.256410256410255</v>
      </c>
      <c r="BD15" s="12">
        <f>IF('Données projet'!$A$88&gt;35,BD14+BC15-BL14,IF(A15&lt;'Données projet'!$A$88,$BA$205^A15,IF(A15='Données projet'!$A$88,'Données projet'!$B$88,BD14+BC15-BL14)))</f>
        <v>201.92307692307691</v>
      </c>
      <c r="BE15" s="13">
        <f>BD15*VLOOKUP('Données projet'!$B$11,Paramètres!$A$1:$I$89,3,0)*VLOOKUP('Données projet'!$B$11,Paramètres!$A$1:$I$89,5,0)</f>
        <v>96.074999999999989</v>
      </c>
      <c r="BF15" s="13">
        <f t="shared" si="37"/>
        <v>26.024752515580126</v>
      </c>
      <c r="BG15" s="20">
        <f t="shared" si="7"/>
        <v>212.65706896463539</v>
      </c>
      <c r="BH15" s="59">
        <f t="shared" si="8"/>
        <v>417.86023756423435</v>
      </c>
      <c r="BI15" s="59">
        <f ca="1">AVERAGE(OFFSET($BH$3,0,0,'Données projet'!$E$11+1,1))-AVERAGE(OFFSET($H$3,0,0,'Données projet'!$E$11+1,1))</f>
        <v>103.69736557010637</v>
      </c>
      <c r="BJ15" s="59">
        <f t="shared" si="38"/>
        <v>312.86697521864392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51.964500527163345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>
        <f>VLOOKUP(A15,'Données projet'!$A$113:$I$133,2,0)</f>
        <v>106</v>
      </c>
      <c r="BW15" s="12">
        <f>VLOOKUP(A15,'Données projet'!$A$113:$I$133,9,0)</f>
        <v>23</v>
      </c>
      <c r="BX15" s="12">
        <f t="array" ref="BX15">INDEX(BW:BW,MIN(IF(ISNUMBER(BW15:BW211),ROW(BW15:BW211),"")))</f>
        <v>23</v>
      </c>
      <c r="BY15" s="12">
        <f>IF('Données projet'!$A$114&gt;35,BY14+BX15-CG14,IF(A15&lt;'Données projet'!$A$114,$BV$205^A15,IF(A15='Données projet'!$A$114,'Données projet'!$B$114,BY14+BX15-CG14)))</f>
        <v>106</v>
      </c>
      <c r="BZ15" s="13">
        <f>BY15*VLOOKUP('Données projet'!$B$12,Paramètres!$A$1:$I$89,3,0)*VLOOKUP('Données projet'!$B$12,Paramètres!$A$1:$I$89,5,0)</f>
        <v>63.388000000000012</v>
      </c>
      <c r="CA15" s="13">
        <f t="shared" si="39"/>
        <v>18.022104085041263</v>
      </c>
      <c r="CB15" s="20">
        <f t="shared" si="10"/>
        <v>141.78926461478019</v>
      </c>
      <c r="CC15" s="59">
        <f t="shared" si="11"/>
        <v>346.99243321437916</v>
      </c>
      <c r="CD15" s="59">
        <f ca="1">AVERAGE(OFFSET($CC$3,0,0,'Données projet'!$E$12+1,1))-AVERAGE(OFFSET($H$3,0,0,'Données projet'!$E$12+1,1))</f>
        <v>189.55118397415424</v>
      </c>
      <c r="CE15" s="59">
        <f t="shared" si="40"/>
        <v>456.28719984856014</v>
      </c>
      <c r="CF15" s="15">
        <f>IF(ISNA(VLOOKUP(A15,'Données projet'!$A$113:$I$133,3,0)),0,VLOOKUP(A15,'Données projet'!$A$113:$I$133,3,0))</f>
        <v>1</v>
      </c>
      <c r="CG15" s="15">
        <f>IF(ISNA(VLOOKUP(A15,'Données projet'!$A$113:$I$133,4,0)),0,VLOOKUP(A15,'Données projet'!$A$113:$I$133,4,0))</f>
        <v>34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1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23.020547073308105</v>
      </c>
      <c r="CN15" s="22">
        <f t="shared" si="12"/>
        <v>23.020547073308105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51.964500527163345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51.964500527163345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51.964500527163345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51.964500527163345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51.964500527163345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51.964500527163345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4.45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16.316666666666666</v>
      </c>
      <c r="H16" s="66">
        <f t="shared" si="1"/>
        <v>191.4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52.27737612168081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35.256410256410255</v>
      </c>
      <c r="N16" s="13">
        <f>IF('Données projet'!$A$36&gt;35,N15+M16-V15,IF(A16&lt;'Données projet'!$A$36,$K$205^A16,IF(A16='Données projet'!$A$36,'Données projet'!$B$36,N15+M16-V15)))</f>
        <v>237.17948717948715</v>
      </c>
      <c r="O16" s="13">
        <f>N16*VLOOKUP('Données projet'!$B$9,Paramètres!$A$1:$I$89,3,0)*VLOOKUP('Données projet'!$B$9,Paramètres!$A$1:$I$89,5,0)</f>
        <v>104.33999999999999</v>
      </c>
      <c r="P16" s="13">
        <f t="shared" si="33"/>
        <v>27.993372315934199</v>
      </c>
      <c r="Q16" s="20">
        <f t="shared" si="2"/>
        <v>230.48062345025201</v>
      </c>
      <c r="R16" s="59">
        <f t="shared" si="0"/>
        <v>438.05322478530388</v>
      </c>
      <c r="S16" s="59">
        <f ca="1">AVERAGE(OFFSET($R$3,0,0,'Données projet'!$E$9+1,1))-AVERAGE(OFFSET($H$3,0,0,'Données projet'!$E$9+1,1))</f>
        <v>129.89493875503857</v>
      </c>
      <c r="T16" s="59">
        <f t="shared" si="34"/>
        <v>318.19554842399577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52.27737612168081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35.256410256410255</v>
      </c>
      <c r="AI16" s="13">
        <f>IF('Données projet'!$A$62&gt;35,AI15+AH16-AQ15,IF(A16&lt;'Données projet'!$A$62,$AF$205^A16,IF(A16='Données projet'!$A$62,'Données projet'!$B$62,AI15+AH16-AQ15)))</f>
        <v>237.17948717948715</v>
      </c>
      <c r="AJ16" s="13">
        <f>AI16*VLOOKUP('Données projet'!$B$10,Paramètres!$A$1:$I$89,3,0)*VLOOKUP('Données projet'!$B$10,Paramètres!$A$1:$I$89,5,0)</f>
        <v>104.33999999999999</v>
      </c>
      <c r="AK16" s="13">
        <f t="shared" si="35"/>
        <v>27.993372315934199</v>
      </c>
      <c r="AL16" s="20">
        <f t="shared" si="4"/>
        <v>230.48062345025201</v>
      </c>
      <c r="AM16" s="59">
        <f t="shared" si="5"/>
        <v>438.05322478530388</v>
      </c>
      <c r="AN16" s="59">
        <f ca="1">AVERAGE(OFFSET($AM$3,0,0,'Données projet'!$E$10+1,1))-AVERAGE(OFFSET($H$3,0,0,'Données projet'!$E$10+1,1))</f>
        <v>96.263123361643096</v>
      </c>
      <c r="AO16" s="59">
        <f t="shared" si="36"/>
        <v>291.35824366856377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52.27737612168081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35.256410256410255</v>
      </c>
      <c r="BD16" s="12">
        <f>IF('Données projet'!$A$88&gt;35,BD15+BC16-BL15,IF(A16&lt;'Données projet'!$A$88,$BA$205^A16,IF(A16='Données projet'!$A$88,'Données projet'!$B$88,BD15+BC16-BL15)))</f>
        <v>237.17948717948715</v>
      </c>
      <c r="BE16" s="13">
        <f>BD16*VLOOKUP('Données projet'!$B$11,Paramètres!$A$1:$I$89,3,0)*VLOOKUP('Données projet'!$B$11,Paramètres!$A$1:$I$89,5,0)</f>
        <v>112.84999999999998</v>
      </c>
      <c r="BF16" s="13">
        <f t="shared" si="37"/>
        <v>30.001463898360861</v>
      </c>
      <c r="BG16" s="20">
        <f t="shared" si="7"/>
        <v>248.7996329563118</v>
      </c>
      <c r="BH16" s="59">
        <f t="shared" si="8"/>
        <v>456.37223429136367</v>
      </c>
      <c r="BI16" s="59">
        <f ca="1">AVERAGE(OFFSET($BH$3,0,0,'Données projet'!$E$11+1,1))-AVERAGE(OFFSET($H$3,0,0,'Données projet'!$E$11+1,1))</f>
        <v>103.69736557010637</v>
      </c>
      <c r="BJ16" s="59">
        <f t="shared" si="38"/>
        <v>312.86697521864392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52.27737612168081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>
        <f>VLOOKUP(A16,'Données projet'!$A$113:$I$133,2,0)</f>
        <v>89</v>
      </c>
      <c r="BW16" s="12">
        <f>VLOOKUP(A16,'Données projet'!$A$113:$I$133,9,0)</f>
        <v>17</v>
      </c>
      <c r="BX16" s="12">
        <f t="array" ref="BX16">INDEX(BW:BW,MIN(IF(ISNUMBER(BW16:BW212),ROW(BW16:BW212),"")))</f>
        <v>17</v>
      </c>
      <c r="BY16" s="12">
        <f>IF('Données projet'!$A$114&gt;35,BY15+BX16-CG15,IF(A16&lt;'Données projet'!$A$114,$BV$205^A16,IF(A16='Données projet'!$A$114,'Données projet'!$B$114,BY15+BX16-CG15)))</f>
        <v>89</v>
      </c>
      <c r="BZ16" s="13">
        <f>BY16*VLOOKUP('Données projet'!$B$12,Paramètres!$A$1:$I$89,3,0)*VLOOKUP('Données projet'!$B$12,Paramètres!$A$1:$I$89,5,0)</f>
        <v>53.222000000000008</v>
      </c>
      <c r="CA16" s="13">
        <f t="shared" si="39"/>
        <v>15.442806897867877</v>
      </c>
      <c r="CB16" s="20">
        <f t="shared" si="10"/>
        <v>119.59120534711991</v>
      </c>
      <c r="CC16" s="59">
        <f t="shared" si="11"/>
        <v>327.16380668217175</v>
      </c>
      <c r="CD16" s="59">
        <f ca="1">AVERAGE(OFFSET($CC$3,0,0,'Données projet'!$E$12+1,1))-AVERAGE(OFFSET($H$3,0,0,'Données projet'!$E$12+1,1))</f>
        <v>189.55118397415424</v>
      </c>
      <c r="CE16" s="59">
        <f t="shared" si="40"/>
        <v>456.28719984856014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16.277984942160291</v>
      </c>
      <c r="CN16" s="22">
        <f t="shared" si="12"/>
        <v>16.277984942160291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52.27737612168081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52.27737612168081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52.27737612168081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52.27737612168081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52.27737612168081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52.27737612168081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4.45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16.316666666666666</v>
      </c>
      <c r="H17" s="66">
        <f t="shared" si="1"/>
        <v>191.4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52.58482402411844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272.4358974358974</v>
      </c>
      <c r="L17" s="12">
        <f>VLOOKUP(A17,'Données projet'!$A$35:$I$55,9,0)</f>
        <v>35.256410256410255</v>
      </c>
      <c r="M17" s="12">
        <f t="array" ref="M17">INDEX(L:L,MIN(IF(ISNUMBER(L17:L213),ROW(L17:L213),"")))</f>
        <v>35.256410256410255</v>
      </c>
      <c r="N17" s="13">
        <f>IF('Données projet'!$A$36&gt;35,N16+M17-V16,IF(A17&lt;'Données projet'!$A$36,$K$205^A17,IF(A17='Données projet'!$A$36,'Données projet'!$B$36,N16+M17-V16)))</f>
        <v>272.4358974358974</v>
      </c>
      <c r="O17" s="13">
        <f>N17*VLOOKUP('Données projet'!$B$9,Paramètres!$A$1:$I$89,3,0)*VLOOKUP('Données projet'!$B$9,Paramètres!$A$1:$I$89,5,0)</f>
        <v>119.84999999999998</v>
      </c>
      <c r="P17" s="13">
        <f t="shared" si="33"/>
        <v>31.64001171105657</v>
      </c>
      <c r="Q17" s="20">
        <f t="shared" si="2"/>
        <v>263.84510373009016</v>
      </c>
      <c r="R17" s="59">
        <f t="shared" si="0"/>
        <v>473.76723626296882</v>
      </c>
      <c r="S17" s="59">
        <f ca="1">AVERAGE(OFFSET($R$3,0,0,'Données projet'!$E$9+1,1))-AVERAGE(OFFSET($H$3,0,0,'Données projet'!$E$9+1,1))</f>
        <v>129.89493875503857</v>
      </c>
      <c r="T17" s="59">
        <f t="shared" si="34"/>
        <v>318.19554842399577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52.58482402411844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>
        <f>VLOOKUP(A17,'Données projet'!$A$61:$I$81,2,0)</f>
        <v>272.4358974358974</v>
      </c>
      <c r="AG17" s="12">
        <f>VLOOKUP(A17,'Données projet'!$A$61:$I$81,9,0)</f>
        <v>35.256410256410255</v>
      </c>
      <c r="AH17" s="12">
        <f t="array" ref="AH17">INDEX(AG:AG,MIN(IF(ISNUMBER(AG17:AG213),ROW(AG17:AG213),"")))</f>
        <v>35.256410256410255</v>
      </c>
      <c r="AI17" s="13">
        <f>IF('Données projet'!$A$62&gt;35,AI16+AH17-AQ16,IF(A17&lt;'Données projet'!$A$62,$AF$205^A17,IF(A17='Données projet'!$A$62,'Données projet'!$B$62,AI16+AH17-AQ16)))</f>
        <v>272.4358974358974</v>
      </c>
      <c r="AJ17" s="13">
        <f>AI17*VLOOKUP('Données projet'!$B$10,Paramètres!$A$1:$I$89,3,0)*VLOOKUP('Données projet'!$B$10,Paramètres!$A$1:$I$89,5,0)</f>
        <v>119.84999999999998</v>
      </c>
      <c r="AK17" s="13">
        <f t="shared" si="35"/>
        <v>31.64001171105657</v>
      </c>
      <c r="AL17" s="20">
        <f t="shared" si="4"/>
        <v>263.84510373009016</v>
      </c>
      <c r="AM17" s="59">
        <f t="shared" si="5"/>
        <v>473.76723626296882</v>
      </c>
      <c r="AN17" s="59">
        <f ca="1">AVERAGE(OFFSET($AM$3,0,0,'Données projet'!$E$10+1,1))-AVERAGE(OFFSET($H$3,0,0,'Données projet'!$E$10+1,1))</f>
        <v>96.263123361643096</v>
      </c>
      <c r="AO17" s="59">
        <f t="shared" si="36"/>
        <v>291.35824366856377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52.58482402411844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>
        <f>VLOOKUP(A17,'Données projet'!$A$87:$I$107,2,0)</f>
        <v>272.4358974358974</v>
      </c>
      <c r="BB17" s="12">
        <f>VLOOKUP(A17,'Données projet'!$A$87:$I$107,9,0)</f>
        <v>35.256410256410255</v>
      </c>
      <c r="BC17" s="12">
        <f t="array" ref="BC17">INDEX(BB:BB,MIN(IF(ISNUMBER(BB17:BB213),ROW(BB17:BB213),"")))</f>
        <v>35.256410256410255</v>
      </c>
      <c r="BD17" s="12">
        <f>IF('Données projet'!$A$88&gt;35,BD16+BC17-BL16,IF(A17&lt;'Données projet'!$A$88,$BA$205^A17,IF(A17='Données projet'!$A$88,'Données projet'!$B$88,BD16+BC17-BL16)))</f>
        <v>272.4358974358974</v>
      </c>
      <c r="BE17" s="13">
        <f>BD17*VLOOKUP('Données projet'!$B$11,Paramètres!$A$1:$I$89,3,0)*VLOOKUP('Données projet'!$B$11,Paramètres!$A$1:$I$89,5,0)</f>
        <v>129.62499999999997</v>
      </c>
      <c r="BF17" s="13">
        <f t="shared" si="37"/>
        <v>33.909693279528696</v>
      </c>
      <c r="BG17" s="20">
        <f t="shared" si="7"/>
        <v>284.8229241285124</v>
      </c>
      <c r="BH17" s="59">
        <f t="shared" si="8"/>
        <v>494.74505666139112</v>
      </c>
      <c r="BI17" s="59">
        <f ca="1">AVERAGE(OFFSET($BH$3,0,0,'Données projet'!$E$11+1,1))-AVERAGE(OFFSET($H$3,0,0,'Données projet'!$E$11+1,1))</f>
        <v>103.69736557010637</v>
      </c>
      <c r="BJ17" s="59">
        <f t="shared" si="38"/>
        <v>312.86697521864392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52.58482402411844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>
        <f>VLOOKUP(A17,'Données projet'!$A$113:$I$133,2,0)</f>
        <v>110</v>
      </c>
      <c r="BW17" s="12">
        <f>VLOOKUP(A17,'Données projet'!$A$113:$I$133,9,0)</f>
        <v>21</v>
      </c>
      <c r="BX17" s="12">
        <f t="array" ref="BX17">INDEX(BW:BW,MIN(IF(ISNUMBER(BW17:BW213),ROW(BW17:BW213),"")))</f>
        <v>21</v>
      </c>
      <c r="BY17" s="12">
        <f>IF('Données projet'!$A$114&gt;35,BY16+BX17-CG16,IF(A17&lt;'Données projet'!$A$114,$BV$205^A17,IF(A17='Données projet'!$A$114,'Données projet'!$B$114,BY16+BX17-CG16)))</f>
        <v>110</v>
      </c>
      <c r="BZ17" s="13">
        <f>BY17*VLOOKUP('Données projet'!$B$12,Paramètres!$A$1:$I$89,3,0)*VLOOKUP('Données projet'!$B$12,Paramètres!$A$1:$I$89,5,0)</f>
        <v>65.78</v>
      </c>
      <c r="CA17" s="13">
        <f t="shared" si="39"/>
        <v>18.621720661480644</v>
      </c>
      <c r="CB17" s="20">
        <f t="shared" si="10"/>
        <v>146.99966348541213</v>
      </c>
      <c r="CC17" s="59">
        <f t="shared" si="11"/>
        <v>356.92179601829082</v>
      </c>
      <c r="CD17" s="59">
        <f ca="1">AVERAGE(OFFSET($CC$3,0,0,'Données projet'!$E$12+1,1))-AVERAGE(OFFSET($H$3,0,0,'Données projet'!$E$12+1,1))</f>
        <v>189.55118397415424</v>
      </c>
      <c r="CE17" s="59">
        <f t="shared" si="40"/>
        <v>456.28719984856014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11.510273536654053</v>
      </c>
      <c r="CN17" s="22">
        <f t="shared" si="12"/>
        <v>11.510273536654053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52.58482402411844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52.58482402411844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52.58482402411844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52.58482402411844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52.58482402411844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52.58482402411844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4.45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16.316666666666666</v>
      </c>
      <c r="H18" s="66">
        <f t="shared" si="1"/>
        <v>191.4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52.886938392799308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7.0512820512820582</v>
      </c>
      <c r="N18" s="13">
        <f>IF('Données projet'!$A$36&gt;35,N17+M18-V17,IF(A18&lt;'Données projet'!$A$36,$K$205^A18,IF(A18='Données projet'!$A$36,'Données projet'!$B$36,N17+M18-V17)))</f>
        <v>279.48717948717945</v>
      </c>
      <c r="O18" s="13">
        <f>N18*VLOOKUP('Données projet'!$B$9,Paramètres!$A$1:$I$89,3,0)*VLOOKUP('Données projet'!$B$9,Paramètres!$A$1:$I$89,5,0)</f>
        <v>122.95199999999998</v>
      </c>
      <c r="P18" s="13">
        <f t="shared" si="33"/>
        <v>32.36252797797107</v>
      </c>
      <c r="Q18" s="20">
        <f t="shared" si="2"/>
        <v>270.50613622829962</v>
      </c>
      <c r="R18" s="59">
        <f t="shared" si="0"/>
        <v>482.75824366856375</v>
      </c>
      <c r="S18" s="59">
        <f ca="1">AVERAGE(OFFSET($R$3,0,0,'Données projet'!$E$9+1,1))-AVERAGE(OFFSET($H$3,0,0,'Données projet'!$E$9+1,1))</f>
        <v>129.89493875503857</v>
      </c>
      <c r="T18" s="59">
        <f t="shared" si="34"/>
        <v>318.19554842399577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52.886938392799308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279.4871794871795</v>
      </c>
      <c r="AG18" s="12">
        <f>VLOOKUP(A18,'Données projet'!$A$61:$I$81,9,0)</f>
        <v>7.0512820512821008</v>
      </c>
      <c r="AH18" s="12">
        <f t="array" ref="AH18">INDEX(AG:AG,MIN(IF(ISNUMBER(AG18:AG214),ROW(AG18:AG214),"")))</f>
        <v>7.0512820512821008</v>
      </c>
      <c r="AI18" s="13">
        <f>IF('Données projet'!$A$62&gt;35,AI17+AH18-AQ17,IF(A18&lt;'Données projet'!$A$62,$AF$205^A18,IF(A18='Données projet'!$A$62,'Données projet'!$B$62,AI17+AH18-AQ17)))</f>
        <v>279.4871794871795</v>
      </c>
      <c r="AJ18" s="13">
        <f>AI18*VLOOKUP('Données projet'!$B$10,Paramètres!$A$1:$I$89,3,0)*VLOOKUP('Données projet'!$B$10,Paramètres!$A$1:$I$89,5,0)</f>
        <v>122.952</v>
      </c>
      <c r="AK18" s="13">
        <f t="shared" si="35"/>
        <v>32.36252797797107</v>
      </c>
      <c r="AL18" s="20">
        <f t="shared" si="4"/>
        <v>270.50613622829962</v>
      </c>
      <c r="AM18" s="59">
        <f t="shared" si="5"/>
        <v>482.75824366856375</v>
      </c>
      <c r="AN18" s="59">
        <f ca="1">AVERAGE(OFFSET($AM$3,0,0,'Données projet'!$E$10+1,1))-AVERAGE(OFFSET($H$3,0,0,'Données projet'!$E$10+1,1))</f>
        <v>96.263123361643096</v>
      </c>
      <c r="AO18" s="59">
        <f t="shared" si="36"/>
        <v>291.35824366856377</v>
      </c>
      <c r="AP18" s="15" t="str">
        <f>IF(ISNA(VLOOKUP(A18,'Données projet'!$A$61:$I$81,3,0)),0,VLOOKUP(A18,'Données projet'!$A$61:$I$81,3,0))</f>
        <v>CR</v>
      </c>
      <c r="AQ18" s="15">
        <f>IF(ISNA(VLOOKUP(A18,'Données projet'!$A$61:$I$81,4,0)),0,VLOOKUP(A18,'Données projet'!$A$61:$I$81,4,0))</f>
        <v>279.4871794871795</v>
      </c>
      <c r="AR18" s="16">
        <f>IF(ISNA(VLOOKUP(A18,'Données projet'!$A$61:$I$81,5,0)),0%,VLOOKUP(A18,'Données projet'!$A$61:$I$81,5,0)*VLOOKUP('Données projet'!$B$10,Paramètres!$A$1:$I$89,7,0))</f>
        <v>0.46199999999999997</v>
      </c>
      <c r="AS18" s="16">
        <f>IF(ISNA(VLOOKUP(A18,'Données projet'!$A$61:$I$81,6,0)),0%,VLOOKUP(A18,'Données projet'!$A$61:$I$81,6,0)*VLOOKUP('Données projet'!$B$10,Paramètres!$A$1:$I$89,7,0))</f>
        <v>0.126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62.794944876202912</v>
      </c>
      <c r="AV18" s="21">
        <f>EXP(-LN(2)/25)*AV17+(1-EXP(-LN(2)/25))/(LN(2)/25)*Calculateur!AQ18*Calculateur!AS18*VLOOKUP('Données projet'!$B$10,Paramètres!$A$1:$I$89,3,0)*0.475*44/12</f>
        <v>17.058462886766037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79.853407762968942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52.886938392799308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279.4871794871795</v>
      </c>
      <c r="BB18" s="12">
        <f>VLOOKUP(A18,'Données projet'!$A$87:$I$107,9,0)</f>
        <v>7.0512820512821008</v>
      </c>
      <c r="BC18" s="12">
        <f t="array" ref="BC18">INDEX(BB:BB,MIN(IF(ISNUMBER(BB18:BB214),ROW(BB18:BB214),"")))</f>
        <v>7.0512820512821008</v>
      </c>
      <c r="BD18" s="12">
        <f>IF('Données projet'!$A$88&gt;35,BD17+BC18-BL17,IF(A18&lt;'Données projet'!$A$88,$BA$205^A18,IF(A18='Données projet'!$A$88,'Données projet'!$B$88,BD17+BC18-BL17)))</f>
        <v>279.4871794871795</v>
      </c>
      <c r="BE18" s="13">
        <f>BD18*VLOOKUP('Données projet'!$B$11,Paramètres!$A$1:$I$89,3,0)*VLOOKUP('Données projet'!$B$11,Paramètres!$A$1:$I$89,5,0)</f>
        <v>132.98000000000002</v>
      </c>
      <c r="BF18" s="13">
        <f t="shared" si="37"/>
        <v>34.684038915816181</v>
      </c>
      <c r="BG18" s="20">
        <f t="shared" si="7"/>
        <v>292.01486777837982</v>
      </c>
      <c r="BH18" s="59">
        <f t="shared" si="8"/>
        <v>504.26697521864395</v>
      </c>
      <c r="BI18" s="59">
        <f ca="1">AVERAGE(OFFSET($BH$3,0,0,'Données projet'!$E$11+1,1))-AVERAGE(OFFSET($H$3,0,0,'Données projet'!$E$11+1,1))</f>
        <v>103.69736557010637</v>
      </c>
      <c r="BJ18" s="59">
        <f t="shared" si="38"/>
        <v>312.86697521864392</v>
      </c>
      <c r="BK18" s="15" t="str">
        <f>IF(ISNA(VLOOKUP(A18,'Données projet'!$A$87:$I$107,3,0)),0,VLOOKUP(A18,'Données projet'!$A$87:$I$107,3,0))</f>
        <v>CR</v>
      </c>
      <c r="BL18" s="15">
        <f>IF(ISNA(VLOOKUP(A18,'Données projet'!$A$87:$I$107,4,0)),0,VLOOKUP(A18,'Données projet'!$A$87:$I$107,4,0))</f>
        <v>279.4871794871795</v>
      </c>
      <c r="BM18" s="16">
        <f>IF(ISNA(VLOOKUP(A18,'Données projet'!$A$87:$I$107,5,0)),0%,VLOOKUP(A18,'Données projet'!$A$87:$I$107,5,0)*VLOOKUP('Données projet'!$B$11,Paramètres!$A$1:$I$89,7,0))</f>
        <v>0.46199999999999997</v>
      </c>
      <c r="BN18" s="16">
        <f>IF(ISNA(VLOOKUP(A18,'Données projet'!$A$87:$I$107,6,0)),0%,VLOOKUP(A18,'Données projet'!$A$87:$I$107,6,0)*VLOOKUP('Données projet'!$B$11,Paramètres!$A$1:$I$89,7,0))</f>
        <v>0.126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67.916518394474778</v>
      </c>
      <c r="BQ18" s="21">
        <f>EXP(-LN(2)/25)*BQ17+(1-EXP(-LN(2)/25))/(LN(2)/25)*Calculateur!BL18*Calculateur!BN18*VLOOKUP('Données projet'!$B$11,Paramètres!$A$1:$I$89,3,0)*0.475*44/12</f>
        <v>18.449755959090929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86.3662743535657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52.886938392799308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131</v>
      </c>
      <c r="BW18" s="12">
        <f>VLOOKUP(A18,'Données projet'!$A$113:$I$133,9,0)</f>
        <v>21</v>
      </c>
      <c r="BX18" s="12">
        <f t="array" ref="BX18">INDEX(BW:BW,MIN(IF(ISNUMBER(BW18:BW214),ROW(BW18:BW214),"")))</f>
        <v>21</v>
      </c>
      <c r="BY18" s="12">
        <f>IF('Données projet'!$A$114&gt;35,BY17+BX18-CG17,IF(A18&lt;'Données projet'!$A$114,$BV$205^A18,IF(A18='Données projet'!$A$114,'Données projet'!$B$114,BY17+BX18-CG17)))</f>
        <v>131</v>
      </c>
      <c r="BZ18" s="13">
        <f>BY18*VLOOKUP('Données projet'!$B$12,Paramètres!$A$1:$I$89,3,0)*VLOOKUP('Données projet'!$B$12,Paramètres!$A$1:$I$89,5,0)</f>
        <v>78.338000000000008</v>
      </c>
      <c r="CA18" s="13">
        <f t="shared" si="39"/>
        <v>21.730321306378922</v>
      </c>
      <c r="CB18" s="20">
        <f t="shared" si="10"/>
        <v>174.28565960860999</v>
      </c>
      <c r="CC18" s="59">
        <f t="shared" si="11"/>
        <v>386.53776704887412</v>
      </c>
      <c r="CD18" s="59">
        <f ca="1">AVERAGE(OFFSET($CC$3,0,0,'Données projet'!$E$12+1,1))-AVERAGE(OFFSET($H$3,0,0,'Données projet'!$E$12+1,1))</f>
        <v>189.55118397415424</v>
      </c>
      <c r="CE18" s="59">
        <f t="shared" si="40"/>
        <v>456.28719984856014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8.1389924710801456</v>
      </c>
      <c r="CN18" s="22">
        <f t="shared" si="12"/>
        <v>8.1389924710801456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52.886938392799308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52.886938392799308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52.886938392799308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52.886938392799308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52.886938392799308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52.886938392799308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4.45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16.316666666666666</v>
      </c>
      <c r="H19" s="66">
        <f t="shared" si="1"/>
        <v>191.4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53.183811752610112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7.0512820512820582</v>
      </c>
      <c r="N19" s="13">
        <f>IF('Données projet'!$A$36&gt;35,N18+M19-V18,IF(A19&lt;'Données projet'!$A$36,$K$205^A19,IF(A19='Données projet'!$A$36,'Données projet'!$B$36,N18+M19-V18)))</f>
        <v>286.53846153846149</v>
      </c>
      <c r="O19" s="13">
        <f>N19*VLOOKUP('Données projet'!$B$9,Paramètres!$A$1:$I$89,3,0)*VLOOKUP('Données projet'!$B$9,Paramètres!$A$1:$I$89,5,0)</f>
        <v>126.05399999999997</v>
      </c>
      <c r="P19" s="13">
        <f t="shared" si="33"/>
        <v>33.082925308303082</v>
      </c>
      <c r="Q19" s="20">
        <f t="shared" si="2"/>
        <v>277.16347824529447</v>
      </c>
      <c r="R19" s="59">
        <f t="shared" si="0"/>
        <v>491.72634356042045</v>
      </c>
      <c r="S19" s="59">
        <f ca="1">AVERAGE(OFFSET($R$3,0,0,'Données projet'!$E$9+1,1))-AVERAGE(OFFSET($H$3,0,0,'Données projet'!$E$9+1,1))</f>
        <v>129.89493875503857</v>
      </c>
      <c r="T19" s="59">
        <f t="shared" si="34"/>
        <v>318.19554842399577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53.183811752610112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>
        <f>AI19*VLOOKUP('Données projet'!$B$10,Paramètres!$A$1:$I$89,3,0)*VLOOKUP('Données projet'!$B$10,Paramètres!$A$1:$I$89,5,0)</f>
        <v>0</v>
      </c>
      <c r="AK19" s="13" t="e">
        <f t="shared" si="35"/>
        <v>#NUM!</v>
      </c>
      <c r="AL19" s="20" t="e">
        <f t="shared" si="4"/>
        <v>#NUM!</v>
      </c>
      <c r="AM19" s="59" t="e">
        <f t="shared" si="5"/>
        <v>#NUM!</v>
      </c>
      <c r="AN19" s="59">
        <f ca="1">AVERAGE(OFFSET($AM$3,0,0,'Données projet'!$E$10+1,1))-AVERAGE(OFFSET($H$3,0,0,'Données projet'!$E$10+1,1))</f>
        <v>96.263123361643096</v>
      </c>
      <c r="AO19" s="59">
        <f t="shared" si="36"/>
        <v>291.35824366856377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61.563574308315026</v>
      </c>
      <c r="AV19" s="21">
        <f>EXP(-LN(2)/25)*AV18+(1-EXP(-LN(2)/25))/(LN(2)/25)*Calculateur!AQ19*Calculateur!AS19*VLOOKUP('Données projet'!$B$10,Paramètres!$A$1:$I$89,3,0)*0.475*44/12</f>
        <v>16.591998322061844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78.155572630376867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53.183811752610112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>
        <f>BD19*VLOOKUP('Données projet'!$B$11,Paramètres!$A$1:$I$89,3,0)*VLOOKUP('Données projet'!$B$11,Paramètres!$A$1:$I$89,5,0)</f>
        <v>0</v>
      </c>
      <c r="BF19" s="13" t="e">
        <f t="shared" si="37"/>
        <v>#NUM!</v>
      </c>
      <c r="BG19" s="20" t="e">
        <f t="shared" si="7"/>
        <v>#NUM!</v>
      </c>
      <c r="BH19" s="59" t="e">
        <f t="shared" si="8"/>
        <v>#NUM!</v>
      </c>
      <c r="BI19" s="59">
        <f ca="1">AVERAGE(OFFSET($BH$3,0,0,'Données projet'!$E$11+1,1))-AVERAGE(OFFSET($H$3,0,0,'Données projet'!$E$11+1,1))</f>
        <v>103.69736557010637</v>
      </c>
      <c r="BJ19" s="59">
        <f t="shared" si="38"/>
        <v>312.86697521864392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66.584716893744968</v>
      </c>
      <c r="BQ19" s="21">
        <f>EXP(-LN(2)/25)*BQ18+(1-EXP(-LN(2)/25))/(LN(2)/25)*Calculateur!BL19*Calculateur!BN19*VLOOKUP('Données projet'!$B$11,Paramètres!$A$1:$I$89,3,0)*0.475*44/12</f>
        <v>17.94524641215909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84.529963305904062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53.183811752610112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>
        <f>VLOOKUP(A19,'Données projet'!$A$113:$I$133,2,0)</f>
        <v>153</v>
      </c>
      <c r="BW19" s="12">
        <f>VLOOKUP(A19,'Données projet'!$A$113:$I$133,9,0)</f>
        <v>22</v>
      </c>
      <c r="BX19" s="12">
        <f t="array" ref="BX19">INDEX(BW:BW,MIN(IF(ISNUMBER(BW19:BW215),ROW(BW19:BW215),"")))</f>
        <v>22</v>
      </c>
      <c r="BY19" s="12">
        <f>IF('Données projet'!$A$114&gt;35,BY18+BX19-CG18,IF(A19&lt;'Données projet'!$A$114,$BV$205^A19,IF(A19='Données projet'!$A$114,'Données projet'!$B$114,BY18+BX19-CG18)))</f>
        <v>153</v>
      </c>
      <c r="BZ19" s="13">
        <f>BY19*VLOOKUP('Données projet'!$B$12,Paramètres!$A$1:$I$89,3,0)*VLOOKUP('Données projet'!$B$12,Paramètres!$A$1:$I$89,5,0)</f>
        <v>91.494000000000014</v>
      </c>
      <c r="CA19" s="13">
        <f t="shared" si="39"/>
        <v>24.925195840896542</v>
      </c>
      <c r="CB19" s="20">
        <f t="shared" si="10"/>
        <v>202.76343275622813</v>
      </c>
      <c r="CC19" s="59">
        <f t="shared" si="11"/>
        <v>417.32629807135407</v>
      </c>
      <c r="CD19" s="59">
        <f ca="1">AVERAGE(OFFSET($CC$3,0,0,'Données projet'!$E$12+1,1))-AVERAGE(OFFSET($H$3,0,0,'Données projet'!$E$12+1,1))</f>
        <v>189.55118397415424</v>
      </c>
      <c r="CE19" s="59">
        <f t="shared" si="40"/>
        <v>456.28719984856014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5.7551367683270263</v>
      </c>
      <c r="CN19" s="22">
        <f t="shared" si="12"/>
        <v>5.7551367683270263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53.183811752610112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53.183811752610112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53.183811752610112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53.183811752610112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53.183811752610112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53.183811752610112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4.45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16.316666666666666</v>
      </c>
      <c r="H20" s="66">
        <f t="shared" si="1"/>
        <v>191.4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53.475535023337599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7.0512820512820582</v>
      </c>
      <c r="N20" s="13">
        <f>IF('Données projet'!$A$36&gt;35,N19+M20-V19,IF(A20&lt;'Données projet'!$A$36,$K$205^A20,IF(A20='Données projet'!$A$36,'Données projet'!$B$36,N19+M20-V19)))</f>
        <v>293.58974358974353</v>
      </c>
      <c r="O20" s="13">
        <f>N20*VLOOKUP('Données projet'!$B$9,Paramètres!$A$1:$I$89,3,0)*VLOOKUP('Données projet'!$B$9,Paramètres!$A$1:$I$89,5,0)</f>
        <v>129.15599999999998</v>
      </c>
      <c r="P20" s="13">
        <f t="shared" si="33"/>
        <v>33.801261844025234</v>
      </c>
      <c r="Q20" s="20">
        <f t="shared" si="2"/>
        <v>283.81723104501049</v>
      </c>
      <c r="R20" s="59">
        <f t="shared" si="0"/>
        <v>500.67197057502614</v>
      </c>
      <c r="S20" s="59">
        <f ca="1">AVERAGE(OFFSET($R$3,0,0,'Données projet'!$E$9+1,1))-AVERAGE(OFFSET($H$3,0,0,'Données projet'!$E$9+1,1))</f>
        <v>129.89493875503857</v>
      </c>
      <c r="T20" s="59">
        <f t="shared" si="34"/>
        <v>318.19554842399577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53.475535023337599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>
        <f>AI20*VLOOKUP('Données projet'!$B$10,Paramètres!$A$1:$I$89,3,0)*VLOOKUP('Données projet'!$B$10,Paramètres!$A$1:$I$89,5,0)</f>
        <v>0</v>
      </c>
      <c r="AK20" s="13" t="e">
        <f t="shared" si="35"/>
        <v>#NUM!</v>
      </c>
      <c r="AL20" s="20" t="e">
        <f t="shared" si="4"/>
        <v>#NUM!</v>
      </c>
      <c r="AM20" s="59" t="e">
        <f t="shared" si="5"/>
        <v>#NUM!</v>
      </c>
      <c r="AN20" s="59">
        <f ca="1">AVERAGE(OFFSET($AM$3,0,0,'Données projet'!$E$10+1,1))-AVERAGE(OFFSET($H$3,0,0,'Données projet'!$E$10+1,1))</f>
        <v>96.263123361643096</v>
      </c>
      <c r="AO20" s="59">
        <f t="shared" si="36"/>
        <v>291.35824366856377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60.356350166201537</v>
      </c>
      <c r="AV20" s="21">
        <f>EXP(-LN(2)/25)*AV19+(1-EXP(-LN(2)/25))/(LN(2)/25)*Calculateur!AQ20*Calculateur!AS20*VLOOKUP('Données projet'!$B$10,Paramètres!$A$1:$I$89,3,0)*0.475*44/12</f>
        <v>16.138289255409791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76.494639421611325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53.475535023337599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>
        <f>BD20*VLOOKUP('Données projet'!$B$11,Paramètres!$A$1:$I$89,3,0)*VLOOKUP('Données projet'!$B$11,Paramètres!$A$1:$I$89,5,0)</f>
        <v>0</v>
      </c>
      <c r="BF20" s="13" t="e">
        <f t="shared" si="37"/>
        <v>#NUM!</v>
      </c>
      <c r="BG20" s="20" t="e">
        <f t="shared" si="7"/>
        <v>#NUM!</v>
      </c>
      <c r="BH20" s="59" t="e">
        <f t="shared" si="8"/>
        <v>#NUM!</v>
      </c>
      <c r="BI20" s="59">
        <f ca="1">AVERAGE(OFFSET($BH$3,0,0,'Données projet'!$E$11+1,1))-AVERAGE(OFFSET($H$3,0,0,'Données projet'!$E$11+1,1))</f>
        <v>103.69736557010637</v>
      </c>
      <c r="BJ20" s="59">
        <f t="shared" si="38"/>
        <v>312.86697521864392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65.279031208125772</v>
      </c>
      <c r="BQ20" s="21">
        <f>EXP(-LN(2)/25)*BQ19+(1-EXP(-LN(2)/25))/(LN(2)/25)*Calculateur!BL20*Calculateur!BN20*VLOOKUP('Données projet'!$B$11,Paramètres!$A$1:$I$89,3,0)*0.475*44/12</f>
        <v>17.454532705319107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82.733563913444883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53.475535023337599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>
        <f>VLOOKUP(A20,'Données projet'!$A$113:$I$133,2,0)</f>
        <v>176</v>
      </c>
      <c r="BW20" s="12">
        <f>VLOOKUP(A20,'Données projet'!$A$113:$I$133,9,0)</f>
        <v>23</v>
      </c>
      <c r="BX20" s="12">
        <f t="array" ref="BX20">INDEX(BW:BW,MIN(IF(ISNUMBER(BW20:BW216),ROW(BW20:BW216),"")))</f>
        <v>23</v>
      </c>
      <c r="BY20" s="12">
        <f>IF('Données projet'!$A$114&gt;35,BY19+BX20-CG19,IF(A20&lt;'Données projet'!$A$114,$BV$205^A20,IF(A20='Données projet'!$A$114,'Données projet'!$B$114,BY19+BX20-CG19)))</f>
        <v>176</v>
      </c>
      <c r="BZ20" s="13">
        <f>BY20*VLOOKUP('Données projet'!$B$12,Paramètres!$A$1:$I$89,3,0)*VLOOKUP('Données projet'!$B$12,Paramètres!$A$1:$I$89,5,0)</f>
        <v>105.24800000000002</v>
      </c>
      <c r="CA20" s="13">
        <f t="shared" si="39"/>
        <v>28.208515027560551</v>
      </c>
      <c r="CB20" s="20">
        <f t="shared" si="10"/>
        <v>232.43676367300131</v>
      </c>
      <c r="CC20" s="59">
        <f t="shared" si="11"/>
        <v>449.29150320301699</v>
      </c>
      <c r="CD20" s="59">
        <f ca="1">AVERAGE(OFFSET($CC$3,0,0,'Données projet'!$E$12+1,1))-AVERAGE(OFFSET($H$3,0,0,'Données projet'!$E$12+1,1))</f>
        <v>189.55118397415424</v>
      </c>
      <c r="CE20" s="59">
        <f t="shared" si="40"/>
        <v>456.28719984856014</v>
      </c>
      <c r="CF20" s="15">
        <f>IF(ISNA(VLOOKUP(A20,'Données projet'!$A$113:$I$133,3,0)),0,VLOOKUP(A20,'Données projet'!$A$113:$I$133,3,0))</f>
        <v>2</v>
      </c>
      <c r="CG20" s="15">
        <f>IF(ISNA(VLOOKUP(A20,'Données projet'!$A$113:$I$133,4,0)),0,VLOOKUP(A20,'Données projet'!$A$113:$I$133,4,0))</f>
        <v>43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0.45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15.289636188000259</v>
      </c>
      <c r="CM20" s="21">
        <f>EXP(-LN(2)/2)*CM19+(1-EXP(-LN(2)/2))/(LN(2)/2)*CG20*CJ20*VLOOKUP('Données projet'!$B$12,Paramètres!$A$1:$I$89,3,0)*0.475*44/12</f>
        <v>4.0694962355400728</v>
      </c>
      <c r="CN20" s="22">
        <f t="shared" si="12"/>
        <v>19.359132423540331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53.475535023337599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53.475535023337599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53.475535023337599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53.475535023337599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53.475535023337599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53.475535023337599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4.45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16.316666666666666</v>
      </c>
      <c r="H21" s="66">
        <f t="shared" si="1"/>
        <v>191.4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53.762197547513487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>
        <f>VLOOKUP(A21,'Données projet'!$A$35:$I$55,2,0)</f>
        <v>300.64102564102564</v>
      </c>
      <c r="L21" s="12">
        <f>VLOOKUP(A21,'Données projet'!$A$35:$I$55,9,0)</f>
        <v>7.0512820512820582</v>
      </c>
      <c r="M21" s="12">
        <f t="array" ref="M21">INDEX(L:L,MIN(IF(ISNUMBER(L21:L217),ROW(L21:L217),"")))</f>
        <v>7.0512820512820582</v>
      </c>
      <c r="N21" s="13">
        <f>IF('Données projet'!$A$36&gt;35,N20+M21-V20,IF(A21&lt;'Données projet'!$A$36,$K$205^A21,IF(A21='Données projet'!$A$36,'Données projet'!$B$36,N20+M21-V20)))</f>
        <v>300.64102564102558</v>
      </c>
      <c r="O21" s="13">
        <f>N21*VLOOKUP('Données projet'!$B$9,Paramètres!$A$1:$I$89,3,0)*VLOOKUP('Données projet'!$B$9,Paramètres!$A$1:$I$89,5,0)</f>
        <v>132.25799999999998</v>
      </c>
      <c r="P21" s="13">
        <f t="shared" si="33"/>
        <v>34.517592774993126</v>
      </c>
      <c r="Q21" s="20">
        <f t="shared" si="2"/>
        <v>290.46749074977964</v>
      </c>
      <c r="R21" s="59">
        <f t="shared" si="0"/>
        <v>509.59554842399575</v>
      </c>
      <c r="S21" s="59">
        <f ca="1">AVERAGE(OFFSET($R$3,0,0,'Données projet'!$E$9+1,1))-AVERAGE(OFFSET($H$3,0,0,'Données projet'!$E$9+1,1))</f>
        <v>129.89493875503857</v>
      </c>
      <c r="T21" s="59">
        <f t="shared" si="34"/>
        <v>318.19554842399577</v>
      </c>
      <c r="U21" s="15" t="str">
        <f>IF(ISNA(VLOOKUP(A21,'Données projet'!$A$35:$I$55,3,0)),0,VLOOKUP(A21,'Données projet'!$A$35:$I$55,3,0))</f>
        <v>CR</v>
      </c>
      <c r="V21" s="15">
        <f>IF(ISNA(VLOOKUP(A21,'Données projet'!$A$35:$I$55,4,0)),0,VLOOKUP(A21,'Données projet'!$A$35:$I$55,4,0))</f>
        <v>300.64102564102564</v>
      </c>
      <c r="W21" s="16">
        <f>IF(ISNA(VLOOKUP(A21,'Données projet'!$A$35:$I$55,5,0)),0%,VLOOKUP(A21,'Données projet'!$A$35:$I$55,5,0)*VLOOKUP('Données projet'!$B$9,Paramètres!$A$1:$I$89,7,0))</f>
        <v>0.46199999999999997</v>
      </c>
      <c r="X21" s="16">
        <f>IF(ISNA(VLOOKUP(A21,'Données projet'!$A$35:$I$55,6,0)),0%,VLOOKUP(A21,'Données projet'!$A$35:$I$55,6,0)*VLOOKUP('Données projet'!$B$9,Paramètres!$A$1:$I$89,7,0))</f>
        <v>0.126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67.547773272796235</v>
      </c>
      <c r="AA21" s="21">
        <f>EXP(-LN(2)/25)*AA20+(1-EXP(-LN(2)/25))/(LN(2)/25)*Calculateur!V21*Calculateur!X21*VLOOKUP('Données projet'!$B$9,Paramètres!$A$1:$I$89,3,0)*0.475*44/12</f>
        <v>18.349585077736862</v>
      </c>
      <c r="AB21" s="21">
        <f>EXP(-LN(2)/2)*AB20+(1-EXP(-LN(2)/2))/(LN(2)/2)*V21*Y21*VLOOKUP('Données projet'!$B$9,Paramètres!$A$1:$I$89,3,0)*0.475*44/12</f>
        <v>0</v>
      </c>
      <c r="AC21" s="22">
        <f t="shared" si="3"/>
        <v>85.897358350533096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53.762197547513487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>
        <f>AI21*VLOOKUP('Données projet'!$B$10,Paramètres!$A$1:$I$89,3,0)*VLOOKUP('Données projet'!$B$10,Paramètres!$A$1:$I$89,5,0)</f>
        <v>0</v>
      </c>
      <c r="AK21" s="13" t="e">
        <f t="shared" si="35"/>
        <v>#NUM!</v>
      </c>
      <c r="AL21" s="20" t="e">
        <f t="shared" si="4"/>
        <v>#NUM!</v>
      </c>
      <c r="AM21" s="59" t="e">
        <f t="shared" si="5"/>
        <v>#NUM!</v>
      </c>
      <c r="AN21" s="59">
        <f ca="1">AVERAGE(OFFSET($AM$3,0,0,'Données projet'!$E$10+1,1))-AVERAGE(OFFSET($H$3,0,0,'Données projet'!$E$10+1,1))</f>
        <v>96.263123361643096</v>
      </c>
      <c r="AO21" s="59">
        <f t="shared" si="36"/>
        <v>291.35824366856377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59.172798953180873</v>
      </c>
      <c r="AV21" s="21">
        <f>EXP(-LN(2)/25)*AV20+(1-EXP(-LN(2)/25))/(LN(2)/25)*Calculateur!AQ21*Calculateur!AS21*VLOOKUP('Données projet'!$B$10,Paramètres!$A$1:$I$89,3,0)*0.475*44/12</f>
        <v>15.696986887044863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74.869785840225731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53.762197547513487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>
        <f>BD21*VLOOKUP('Données projet'!$B$11,Paramètres!$A$1:$I$89,3,0)*VLOOKUP('Données projet'!$B$11,Paramètres!$A$1:$I$89,5,0)</f>
        <v>0</v>
      </c>
      <c r="BF21" s="13" t="e">
        <f t="shared" si="37"/>
        <v>#NUM!</v>
      </c>
      <c r="BG21" s="20" t="e">
        <f t="shared" si="7"/>
        <v>#NUM!</v>
      </c>
      <c r="BH21" s="59" t="e">
        <f t="shared" si="8"/>
        <v>#NUM!</v>
      </c>
      <c r="BI21" s="59">
        <f ca="1">AVERAGE(OFFSET($BH$3,0,0,'Données projet'!$E$11+1,1))-AVERAGE(OFFSET($H$3,0,0,'Données projet'!$E$11+1,1))</f>
        <v>103.69736557010637</v>
      </c>
      <c r="BJ21" s="59">
        <f t="shared" si="38"/>
        <v>312.86697521864392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63.99894922241193</v>
      </c>
      <c r="BQ21" s="21">
        <f>EXP(-LN(2)/25)*BQ20+(1-EXP(-LN(2)/25))/(LN(2)/25)*Calculateur!BL21*Calculateur!BN21*VLOOKUP('Données projet'!$B$11,Paramètres!$A$1:$I$89,3,0)*0.475*44/12</f>
        <v>16.977237590598172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80.976186813010102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53.762197547513487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>
        <f>VLOOKUP(A21,'Données projet'!$A$113:$I$133,2,0)</f>
        <v>151</v>
      </c>
      <c r="BW21" s="12">
        <f>VLOOKUP(A21,'Données projet'!$A$113:$I$133,9,0)</f>
        <v>18</v>
      </c>
      <c r="BX21" s="12">
        <f t="array" ref="BX21">INDEX(BW:BW,MIN(IF(ISNUMBER(BW21:BW217),ROW(BW21:BW217),"")))</f>
        <v>18</v>
      </c>
      <c r="BY21" s="12">
        <f>IF('Données projet'!$A$114&gt;35,BY20+BX21-CG20,IF(A21&lt;'Données projet'!$A$114,$BV$205^A21,IF(A21='Données projet'!$A$114,'Données projet'!$B$114,BY20+BX21-CG20)))</f>
        <v>151</v>
      </c>
      <c r="BZ21" s="13">
        <f>BY21*VLOOKUP('Données projet'!$B$12,Paramètres!$A$1:$I$89,3,0)*VLOOKUP('Données projet'!$B$12,Paramètres!$A$1:$I$89,5,0)</f>
        <v>90.298000000000016</v>
      </c>
      <c r="CA21" s="13">
        <f t="shared" si="39"/>
        <v>24.637081585210524</v>
      </c>
      <c r="CB21" s="20">
        <f t="shared" si="10"/>
        <v>200.17860042757502</v>
      </c>
      <c r="CC21" s="59">
        <f t="shared" si="11"/>
        <v>419.30665810179119</v>
      </c>
      <c r="CD21" s="59">
        <f ca="1">AVERAGE(OFFSET($CC$3,0,0,'Données projet'!$E$12+1,1))-AVERAGE(OFFSET($H$3,0,0,'Données projet'!$E$12+1,1))</f>
        <v>189.55118397415424</v>
      </c>
      <c r="CE21" s="59">
        <f t="shared" si="40"/>
        <v>456.28719984856014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14.871540282392369</v>
      </c>
      <c r="CM21" s="21">
        <f>EXP(-LN(2)/2)*CM20+(1-EXP(-LN(2)/2))/(LN(2)/2)*CG21*CJ21*VLOOKUP('Données projet'!$B$12,Paramètres!$A$1:$I$89,3,0)*0.475*44/12</f>
        <v>2.8775683841635131</v>
      </c>
      <c r="CN21" s="22">
        <f t="shared" si="12"/>
        <v>17.74910866655588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53.762197547513487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53.762197547513487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53.762197547513487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53.762197547513487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53.762197547513487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53.762197547513487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4.45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16.316666666666666</v>
      </c>
      <c r="H22" s="66">
        <f t="shared" si="1"/>
        <v>191.4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54.043887117776322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0</v>
      </c>
      <c r="N22" s="13">
        <f>IF('Données projet'!$A$36&gt;35,N21+M22-V21,IF(A22&lt;'Données projet'!$A$36,$K$205^A22,IF(A22='Données projet'!$A$36,'Données projet'!$B$36,N21+M22-V21)))</f>
        <v>-5.6843418860808015E-14</v>
      </c>
      <c r="O22" s="13">
        <f>N22*VLOOKUP('Données projet'!$B$9,Paramètres!$A$1:$I$89,3,0)*VLOOKUP('Données projet'!$B$9,Paramètres!$A$1:$I$89,5,0)</f>
        <v>-2.5006556825246661E-14</v>
      </c>
      <c r="P22" s="13" t="e">
        <f t="shared" si="33"/>
        <v>#NUM!</v>
      </c>
      <c r="Q22" s="20" t="e">
        <f t="shared" si="2"/>
        <v>#NUM!</v>
      </c>
      <c r="R22" s="59" t="e">
        <f t="shared" si="0"/>
        <v>#NUM!</v>
      </c>
      <c r="S22" s="59">
        <f ca="1">AVERAGE(OFFSET($R$3,0,0,'Données projet'!$E$9+1,1))-AVERAGE(OFFSET($H$3,0,0,'Données projet'!$E$9+1,1))</f>
        <v>129.89493875503857</v>
      </c>
      <c r="T22" s="59">
        <f t="shared" si="34"/>
        <v>318.19554842399577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66.22320263899023</v>
      </c>
      <c r="AA22" s="21">
        <f>EXP(-LN(2)/25)*AA21+(1-EXP(-LN(2)/25))/(LN(2)/25)*Calculateur!V22*Calculateur!X22*VLOOKUP('Données projet'!$B$9,Paramètres!$A$1:$I$89,3,0)*0.475*44/12</f>
        <v>17.847814708823407</v>
      </c>
      <c r="AB22" s="21">
        <f>EXP(-LN(2)/2)*AB21+(1-EXP(-LN(2)/2))/(LN(2)/2)*V22*Y22*VLOOKUP('Données projet'!$B$9,Paramètres!$A$1:$I$89,3,0)*0.475*44/12</f>
        <v>0</v>
      </c>
      <c r="AC22" s="22">
        <f t="shared" si="3"/>
        <v>84.071017347813637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54.043887117776322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>
        <f>AI22*VLOOKUP('Données projet'!$B$10,Paramètres!$A$1:$I$89,3,0)*VLOOKUP('Données projet'!$B$10,Paramètres!$A$1:$I$89,5,0)</f>
        <v>0</v>
      </c>
      <c r="AK22" s="13" t="e">
        <f t="shared" si="35"/>
        <v>#NUM!</v>
      </c>
      <c r="AL22" s="20" t="e">
        <f t="shared" si="4"/>
        <v>#NUM!</v>
      </c>
      <c r="AM22" s="59" t="e">
        <f t="shared" si="5"/>
        <v>#NUM!</v>
      </c>
      <c r="AN22" s="59">
        <f ca="1">AVERAGE(OFFSET($AM$3,0,0,'Données projet'!$E$10+1,1))-AVERAGE(OFFSET($H$3,0,0,'Données projet'!$E$10+1,1))</f>
        <v>96.263123361643096</v>
      </c>
      <c r="AO22" s="59">
        <f t="shared" si="36"/>
        <v>291.35824366856377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58.012456457552581</v>
      </c>
      <c r="AV22" s="21">
        <f>EXP(-LN(2)/25)*AV21+(1-EXP(-LN(2)/25))/(LN(2)/25)*Calculateur!AQ22*Calculateur!AS22*VLOOKUP('Données projet'!$B$10,Paramètres!$A$1:$I$89,3,0)*0.475*44/12</f>
        <v>15.267751955149958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73.280208412702535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54.043887117776322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>
        <f>BD22*VLOOKUP('Données projet'!$B$11,Paramètres!$A$1:$I$89,3,0)*VLOOKUP('Données projet'!$B$11,Paramètres!$A$1:$I$89,5,0)</f>
        <v>0</v>
      </c>
      <c r="BF22" s="13" t="e">
        <f t="shared" si="37"/>
        <v>#NUM!</v>
      </c>
      <c r="BG22" s="20" t="e">
        <f t="shared" si="7"/>
        <v>#NUM!</v>
      </c>
      <c r="BH22" s="59" t="e">
        <f t="shared" si="8"/>
        <v>#NUM!</v>
      </c>
      <c r="BI22" s="59">
        <f ca="1">AVERAGE(OFFSET($BH$3,0,0,'Données projet'!$E$11+1,1))-AVERAGE(OFFSET($H$3,0,0,'Données projet'!$E$11+1,1))</f>
        <v>103.69736557010637</v>
      </c>
      <c r="BJ22" s="59">
        <f t="shared" si="38"/>
        <v>312.86697521864392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62.743968863665025</v>
      </c>
      <c r="BQ22" s="21">
        <f>EXP(-LN(2)/25)*BQ21+(1-EXP(-LN(2)/25))/(LN(2)/25)*Calculateur!BL22*Calculateur!BN22*VLOOKUP('Données projet'!$B$11,Paramètres!$A$1:$I$89,3,0)*0.475*44/12</f>
        <v>16.512994135889141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79.256962999554162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54.043887117776322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>
        <f>VLOOKUP(A22,'Données projet'!$A$113:$I$133,2,0)</f>
        <v>171</v>
      </c>
      <c r="BW22" s="12">
        <f>VLOOKUP(A22,'Données projet'!$A$113:$I$133,9,0)</f>
        <v>20</v>
      </c>
      <c r="BX22" s="12">
        <f t="array" ref="BX22">INDEX(BW:BW,MIN(IF(ISNUMBER(BW22:BW218),ROW(BW22:BW218),"")))</f>
        <v>20</v>
      </c>
      <c r="BY22" s="12">
        <f>IF('Données projet'!$A$114&gt;35,BY21+BX22-CG21,IF(A22&lt;'Données projet'!$A$114,$BV$205^A22,IF(A22='Données projet'!$A$114,'Données projet'!$B$114,BY21+BX22-CG21)))</f>
        <v>171</v>
      </c>
      <c r="BZ22" s="13">
        <f>BY22*VLOOKUP('Données projet'!$B$12,Paramètres!$A$1:$I$89,3,0)*VLOOKUP('Données projet'!$B$12,Paramètres!$A$1:$I$89,5,0)</f>
        <v>102.258</v>
      </c>
      <c r="CA22" s="13">
        <f t="shared" si="39"/>
        <v>27.499233847895859</v>
      </c>
      <c r="CB22" s="20">
        <f t="shared" si="10"/>
        <v>225.99384895175194</v>
      </c>
      <c r="CC22" s="59">
        <f t="shared" si="11"/>
        <v>447.37699060582065</v>
      </c>
      <c r="CD22" s="59">
        <f ca="1">AVERAGE(OFFSET($CC$3,0,0,'Données projet'!$E$12+1,1))-AVERAGE(OFFSET($H$3,0,0,'Données projet'!$E$12+1,1))</f>
        <v>189.55118397415424</v>
      </c>
      <c r="CE22" s="59">
        <f t="shared" si="40"/>
        <v>456.28719984856014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14.464877231310036</v>
      </c>
      <c r="CM22" s="21">
        <f>EXP(-LN(2)/2)*CM21+(1-EXP(-LN(2)/2))/(LN(2)/2)*CG22*CJ22*VLOOKUP('Données projet'!$B$12,Paramètres!$A$1:$I$89,3,0)*0.475*44/12</f>
        <v>2.0347481177700364</v>
      </c>
      <c r="CN22" s="22">
        <f t="shared" si="12"/>
        <v>16.499625349080073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54.043887117776322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54.043887117776322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54.043887117776322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54.043887117776322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54.043887117776322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54.043887117776322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4.45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16.316666666666666</v>
      </c>
      <c r="H23" s="66">
        <f t="shared" si="1"/>
        <v>191.4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54.320690003758628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0</v>
      </c>
      <c r="N23" s="13">
        <f>IF('Données projet'!$A$36&gt;35,N22+M23-V22,IF(A23&lt;'Données projet'!$A$36,$K$205^A23,IF(A23='Données projet'!$A$36,'Données projet'!$B$36,N22+M23-V22)))</f>
        <v>-5.6843418860808015E-14</v>
      </c>
      <c r="O23" s="13">
        <f>N23*VLOOKUP('Données projet'!$B$9,Paramètres!$A$1:$I$89,3,0)*VLOOKUP('Données projet'!$B$9,Paramètres!$A$1:$I$89,5,0)</f>
        <v>-2.5006556825246661E-14</v>
      </c>
      <c r="P23" s="13" t="e">
        <f t="shared" si="33"/>
        <v>#NUM!</v>
      </c>
      <c r="Q23" s="20" t="e">
        <f t="shared" si="2"/>
        <v>#NUM!</v>
      </c>
      <c r="R23" s="59" t="e">
        <f t="shared" si="0"/>
        <v>#NUM!</v>
      </c>
      <c r="S23" s="59">
        <f ca="1">AVERAGE(OFFSET($R$3,0,0,'Données projet'!$E$9+1,1))-AVERAGE(OFFSET($H$3,0,0,'Données projet'!$E$9+1,1))</f>
        <v>129.89493875503857</v>
      </c>
      <c r="T23" s="59">
        <f t="shared" si="34"/>
        <v>318.19554842399577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64.924606027404849</v>
      </c>
      <c r="AA23" s="21">
        <f>EXP(-LN(2)/25)*AA22+(1-EXP(-LN(2)/25))/(LN(2)/25)*Calculateur!V23*Calculateur!X23*VLOOKUP('Données projet'!$B$9,Paramètres!$A$1:$I$89,3,0)*0.475*44/12</f>
        <v>17.359765277034846</v>
      </c>
      <c r="AB23" s="21">
        <f>EXP(-LN(2)/2)*AB22+(1-EXP(-LN(2)/2))/(LN(2)/2)*V23*Y23*VLOOKUP('Données projet'!$B$9,Paramètres!$A$1:$I$89,3,0)*0.475*44/12</f>
        <v>0</v>
      </c>
      <c r="AC23" s="22">
        <f t="shared" si="3"/>
        <v>82.284371304439702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54.320690003758628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>
        <f>AI23*VLOOKUP('Données projet'!$B$10,Paramètres!$A$1:$I$89,3,0)*VLOOKUP('Données projet'!$B$10,Paramètres!$A$1:$I$89,5,0)</f>
        <v>0</v>
      </c>
      <c r="AK23" s="13" t="e">
        <f t="shared" si="35"/>
        <v>#NUM!</v>
      </c>
      <c r="AL23" s="20" t="e">
        <f t="shared" si="4"/>
        <v>#NUM!</v>
      </c>
      <c r="AM23" s="59" t="e">
        <f t="shared" si="5"/>
        <v>#NUM!</v>
      </c>
      <c r="AN23" s="59">
        <f ca="1">AVERAGE(OFFSET($AM$3,0,0,'Données projet'!$E$10+1,1))-AVERAGE(OFFSET($H$3,0,0,'Données projet'!$E$10+1,1))</f>
        <v>96.263123361643096</v>
      </c>
      <c r="AO23" s="59">
        <f t="shared" si="36"/>
        <v>291.35824366856377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56.874867570524522</v>
      </c>
      <c r="AV23" s="21">
        <f>EXP(-LN(2)/25)*AV22+(1-EXP(-LN(2)/25))/(LN(2)/25)*Calculateur!AQ23*Calculateur!AS23*VLOOKUP('Données projet'!$B$10,Paramètres!$A$1:$I$89,3,0)*0.475*44/12</f>
        <v>14.850254475040202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71.725122045564717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54.320690003758628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>
        <f>BD23*VLOOKUP('Données projet'!$B$11,Paramètres!$A$1:$I$89,3,0)*VLOOKUP('Données projet'!$B$11,Paramètres!$A$1:$I$89,5,0)</f>
        <v>0</v>
      </c>
      <c r="BF23" s="13" t="e">
        <f t="shared" si="37"/>
        <v>#NUM!</v>
      </c>
      <c r="BG23" s="20" t="e">
        <f t="shared" si="7"/>
        <v>#NUM!</v>
      </c>
      <c r="BH23" s="59" t="e">
        <f t="shared" si="8"/>
        <v>#NUM!</v>
      </c>
      <c r="BI23" s="59">
        <f ca="1">AVERAGE(OFFSET($BH$3,0,0,'Données projet'!$E$11+1,1))-AVERAGE(OFFSET($H$3,0,0,'Données projet'!$E$11+1,1))</f>
        <v>103.69736557010637</v>
      </c>
      <c r="BJ23" s="59">
        <f t="shared" si="38"/>
        <v>312.86697521864392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61.513597904290705</v>
      </c>
      <c r="BQ23" s="21">
        <f>EXP(-LN(2)/25)*BQ22+(1-EXP(-LN(2)/25))/(LN(2)/25)*Calculateur!BL23*Calculateur!BN23*VLOOKUP('Données projet'!$B$11,Paramètres!$A$1:$I$89,3,0)*0.475*44/12</f>
        <v>16.061445442862631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77.57504334715334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54.320690003758628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192</v>
      </c>
      <c r="BW23" s="12">
        <f>VLOOKUP(A23,'Données projet'!$A$113:$I$133,9,0)</f>
        <v>21</v>
      </c>
      <c r="BX23" s="12">
        <f t="array" ref="BX23">INDEX(BW:BW,MIN(IF(ISNUMBER(BW23:BW219),ROW(BW23:BW219),"")))</f>
        <v>21</v>
      </c>
      <c r="BY23" s="12">
        <f>IF('Données projet'!$A$114&gt;35,BY22+BX23-CG22,IF(A23&lt;'Données projet'!$A$114,$BV$205^A23,IF(A23='Données projet'!$A$114,'Données projet'!$B$114,BY22+BX23-CG22)))</f>
        <v>192</v>
      </c>
      <c r="BZ23" s="13">
        <f>BY23*VLOOKUP('Données projet'!$B$12,Paramètres!$A$1:$I$89,3,0)*VLOOKUP('Données projet'!$B$12,Paramètres!$A$1:$I$89,5,0)</f>
        <v>114.81600000000002</v>
      </c>
      <c r="CA23" s="13">
        <f t="shared" si="39"/>
        <v>30.462826482209831</v>
      </c>
      <c r="CB23" s="20">
        <f t="shared" si="10"/>
        <v>253.02728945651543</v>
      </c>
      <c r="CC23" s="59">
        <f t="shared" si="11"/>
        <v>476.64759724807482</v>
      </c>
      <c r="CD23" s="59">
        <f ca="1">AVERAGE(OFFSET($CC$3,0,0,'Données projet'!$E$12+1,1))-AVERAGE(OFFSET($H$3,0,0,'Données projet'!$E$12+1,1))</f>
        <v>189.55118397415424</v>
      </c>
      <c r="CE23" s="59">
        <f t="shared" si="40"/>
        <v>456.28719984856014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14.06933440274503</v>
      </c>
      <c r="CM23" s="21">
        <f>EXP(-LN(2)/2)*CM22+(1-EXP(-LN(2)/2))/(LN(2)/2)*CG23*CJ23*VLOOKUP('Données projet'!$B$12,Paramètres!$A$1:$I$89,3,0)*0.475*44/12</f>
        <v>1.4387841920817566</v>
      </c>
      <c r="CN23" s="22">
        <f t="shared" si="12"/>
        <v>15.508118594826787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54.320690003758628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54.320690003758628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54.320690003758628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54.320690003758628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54.320690003758628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54.320690003758628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4.45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16.316666666666666</v>
      </c>
      <c r="H24" s="66">
        <f t="shared" si="1"/>
        <v>191.4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54.59269097850769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0</v>
      </c>
      <c r="N24" s="13">
        <f>IF('Données projet'!$A$36&gt;35,N23+M24-V23,IF(A24&lt;'Données projet'!$A$36,$K$205^A24,IF(A24='Données projet'!$A$36,'Données projet'!$B$36,N23+M24-V23)))</f>
        <v>-5.6843418860808015E-14</v>
      </c>
      <c r="O24" s="13">
        <f>N24*VLOOKUP('Données projet'!$B$9,Paramètres!$A$1:$I$89,3,0)*VLOOKUP('Données projet'!$B$9,Paramètres!$A$1:$I$89,5,0)</f>
        <v>-2.5006556825246661E-14</v>
      </c>
      <c r="P24" s="13" t="e">
        <f t="shared" si="33"/>
        <v>#NUM!</v>
      </c>
      <c r="Q24" s="20" t="e">
        <f t="shared" si="2"/>
        <v>#NUM!</v>
      </c>
      <c r="R24" s="59" t="e">
        <f t="shared" si="0"/>
        <v>#NUM!</v>
      </c>
      <c r="S24" s="59">
        <f ca="1">AVERAGE(OFFSET($R$3,0,0,'Données projet'!$E$9+1,1))-AVERAGE(OFFSET($H$3,0,0,'Données projet'!$E$9+1,1))</f>
        <v>129.89493875503857</v>
      </c>
      <c r="T24" s="59">
        <f t="shared" si="34"/>
        <v>318.19554842399577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63.651474103306931</v>
      </c>
      <c r="AA24" s="21">
        <f>EXP(-LN(2)/25)*AA23+(1-EXP(-LN(2)/25))/(LN(2)/25)*Calculateur!V24*Calculateur!X24*VLOOKUP('Données projet'!$B$9,Paramètres!$A$1:$I$89,3,0)*0.475*44/12</f>
        <v>16.885061582623948</v>
      </c>
      <c r="AB24" s="21">
        <f>EXP(-LN(2)/2)*AB23+(1-EXP(-LN(2)/2))/(LN(2)/2)*V24*Y24*VLOOKUP('Données projet'!$B$9,Paramètres!$A$1:$I$89,3,0)*0.475*44/12</f>
        <v>0</v>
      </c>
      <c r="AC24" s="22">
        <f t="shared" si="3"/>
        <v>80.536535685930886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54.59269097850769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>
        <f>AI24*VLOOKUP('Données projet'!$B$10,Paramètres!$A$1:$I$89,3,0)*VLOOKUP('Données projet'!$B$10,Paramètres!$A$1:$I$89,5,0)</f>
        <v>0</v>
      </c>
      <c r="AK24" s="13" t="e">
        <f t="shared" si="35"/>
        <v>#NUM!</v>
      </c>
      <c r="AL24" s="20" t="e">
        <f t="shared" si="4"/>
        <v>#NUM!</v>
      </c>
      <c r="AM24" s="59" t="e">
        <f t="shared" si="5"/>
        <v>#NUM!</v>
      </c>
      <c r="AN24" s="59">
        <f ca="1">AVERAGE(OFFSET($AM$3,0,0,'Données projet'!$E$10+1,1))-AVERAGE(OFFSET($H$3,0,0,'Données projet'!$E$10+1,1))</f>
        <v>96.263123361643096</v>
      </c>
      <c r="AO24" s="59">
        <f t="shared" si="36"/>
        <v>291.35824366856377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55.759586107710376</v>
      </c>
      <c r="AV24" s="21">
        <f>EXP(-LN(2)/25)*AV23+(1-EXP(-LN(2)/25))/(LN(2)/25)*Calculateur!AQ24*Calculateur!AS24*VLOOKUP('Données projet'!$B$10,Paramètres!$A$1:$I$89,3,0)*0.475*44/12</f>
        <v>14.444173485479286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70.203759593189659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54.59269097850769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>
        <f>BD24*VLOOKUP('Données projet'!$B$11,Paramètres!$A$1:$I$89,3,0)*VLOOKUP('Données projet'!$B$11,Paramètres!$A$1:$I$89,5,0)</f>
        <v>0</v>
      </c>
      <c r="BF24" s="13" t="e">
        <f t="shared" si="37"/>
        <v>#NUM!</v>
      </c>
      <c r="BG24" s="20" t="e">
        <f t="shared" si="7"/>
        <v>#NUM!</v>
      </c>
      <c r="BH24" s="59" t="e">
        <f t="shared" si="8"/>
        <v>#NUM!</v>
      </c>
      <c r="BI24" s="59">
        <f ca="1">AVERAGE(OFFSET($BH$3,0,0,'Données projet'!$E$11+1,1))-AVERAGE(OFFSET($H$3,0,0,'Données projet'!$E$11+1,1))</f>
        <v>103.69736557010637</v>
      </c>
      <c r="BJ24" s="59">
        <f t="shared" si="38"/>
        <v>312.86697521864392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60.307353768977535</v>
      </c>
      <c r="BQ24" s="21">
        <f>EXP(-LN(2)/25)*BQ23+(1-EXP(-LN(2)/25))/(LN(2)/25)*Calculateur!BL24*Calculateur!BN24*VLOOKUP('Données projet'!$B$11,Paramètres!$A$1:$I$89,3,0)*0.475*44/12</f>
        <v>15.622244372592846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75.929598141570381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54.59269097850769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>
        <f>VLOOKUP(A24,'Données projet'!$A$113:$I$133,2,0)</f>
        <v>212</v>
      </c>
      <c r="BW24" s="12">
        <f>VLOOKUP(A24,'Données projet'!$A$113:$I$133,9,0)</f>
        <v>20</v>
      </c>
      <c r="BX24" s="12">
        <f t="array" ref="BX24">INDEX(BW:BW,MIN(IF(ISNUMBER(BW24:BW220),ROW(BW24:BW220),"")))</f>
        <v>20</v>
      </c>
      <c r="BY24" s="12">
        <f>IF('Données projet'!$A$114&gt;35,BY23+BX24-CG23,IF(A24&lt;'Données projet'!$A$114,$BV$205^A24,IF(A24='Données projet'!$A$114,'Données projet'!$B$114,BY23+BX24-CG23)))</f>
        <v>212</v>
      </c>
      <c r="BZ24" s="13">
        <f>BY24*VLOOKUP('Données projet'!$B$12,Paramètres!$A$1:$I$89,3,0)*VLOOKUP('Données projet'!$B$12,Paramètres!$A$1:$I$89,5,0)</f>
        <v>126.77600000000002</v>
      </c>
      <c r="CA24" s="13">
        <f t="shared" si="39"/>
        <v>33.250302273150254</v>
      </c>
      <c r="CB24" s="20">
        <f t="shared" si="10"/>
        <v>278.7124764590701</v>
      </c>
      <c r="CC24" s="59">
        <f t="shared" si="11"/>
        <v>504.55234338026492</v>
      </c>
      <c r="CD24" s="59">
        <f ca="1">AVERAGE(OFFSET($CC$3,0,0,'Données projet'!$E$12+1,1))-AVERAGE(OFFSET($H$3,0,0,'Données projet'!$E$12+1,1))</f>
        <v>189.55118397415424</v>
      </c>
      <c r="CE24" s="59">
        <f t="shared" si="40"/>
        <v>456.28719984856014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13.684607713627827</v>
      </c>
      <c r="CM24" s="21">
        <f>EXP(-LN(2)/2)*CM23+(1-EXP(-LN(2)/2))/(LN(2)/2)*CG24*CJ24*VLOOKUP('Données projet'!$B$12,Paramètres!$A$1:$I$89,3,0)*0.475*44/12</f>
        <v>1.0173740588850182</v>
      </c>
      <c r="CN24" s="22">
        <f t="shared" si="12"/>
        <v>14.701981772512845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54.59269097850769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54.59269097850769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54.59269097850769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54.59269097850769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54.59269097850769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54.59269097850769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4.45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16.316666666666666</v>
      </c>
      <c r="H25" s="66">
        <f t="shared" si="1"/>
        <v>191.4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54.85997334444793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0</v>
      </c>
      <c r="N25" s="13">
        <f>IF('Données projet'!$A$36&gt;35,N24+M25-V24,IF(A25&lt;'Données projet'!$A$36,$K$205^A25,IF(A25='Données projet'!$A$36,'Données projet'!$B$36,N24+M25-V24)))</f>
        <v>-5.6843418860808015E-14</v>
      </c>
      <c r="O25" s="13">
        <f>N25*VLOOKUP('Données projet'!$B$9,Paramètres!$A$1:$I$89,3,0)*VLOOKUP('Données projet'!$B$9,Paramètres!$A$1:$I$89,5,0)</f>
        <v>-2.5006556825246661E-14</v>
      </c>
      <c r="P25" s="13" t="e">
        <f t="shared" si="33"/>
        <v>#NUM!</v>
      </c>
      <c r="Q25" s="20" t="e">
        <f t="shared" si="2"/>
        <v>#NUM!</v>
      </c>
      <c r="R25" s="59" t="e">
        <f t="shared" si="0"/>
        <v>#NUM!</v>
      </c>
      <c r="S25" s="59">
        <f ca="1">AVERAGE(OFFSET($R$3,0,0,'Données projet'!$E$9+1,1))-AVERAGE(OFFSET($H$3,0,0,'Données projet'!$E$9+1,1))</f>
        <v>129.89493875503857</v>
      </c>
      <c r="T25" s="59">
        <f t="shared" si="34"/>
        <v>318.19554842399577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62.403307519706779</v>
      </c>
      <c r="AA25" s="21">
        <f>EXP(-LN(2)/25)*AA24+(1-EXP(-LN(2)/25))/(LN(2)/25)*Calculateur!V25*Calculateur!X25*VLOOKUP('Données projet'!$B$9,Paramètres!$A$1:$I$89,3,0)*0.475*44/12</f>
        <v>16.423338685700298</v>
      </c>
      <c r="AB25" s="21">
        <f>EXP(-LN(2)/2)*AB24+(1-EXP(-LN(2)/2))/(LN(2)/2)*V25*Y25*VLOOKUP('Données projet'!$B$9,Paramètres!$A$1:$I$89,3,0)*0.475*44/12</f>
        <v>0</v>
      </c>
      <c r="AC25" s="22">
        <f t="shared" si="3"/>
        <v>78.826646205407073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54.85997334444793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>
        <f>AI25*VLOOKUP('Données projet'!$B$10,Paramètres!$A$1:$I$89,3,0)*VLOOKUP('Données projet'!$B$10,Paramètres!$A$1:$I$89,5,0)</f>
        <v>0</v>
      </c>
      <c r="AK25" s="13" t="e">
        <f t="shared" si="35"/>
        <v>#NUM!</v>
      </c>
      <c r="AL25" s="20" t="e">
        <f t="shared" si="4"/>
        <v>#NUM!</v>
      </c>
      <c r="AM25" s="59" t="e">
        <f t="shared" si="5"/>
        <v>#NUM!</v>
      </c>
      <c r="AN25" s="59">
        <f ca="1">AVERAGE(OFFSET($AM$3,0,0,'Données projet'!$E$10+1,1))-AVERAGE(OFFSET($H$3,0,0,'Données projet'!$E$10+1,1))</f>
        <v>96.263123361643096</v>
      </c>
      <c r="AO25" s="59">
        <f t="shared" si="36"/>
        <v>291.35824366856377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54.666174634127493</v>
      </c>
      <c r="AV25" s="21">
        <f>EXP(-LN(2)/25)*AV24+(1-EXP(-LN(2)/25))/(LN(2)/25)*Calculateur!AQ25*Calculateur!AS25*VLOOKUP('Données projet'!$B$10,Paramètres!$A$1:$I$89,3,0)*0.475*44/12</f>
        <v>14.049196801932784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68.715371436060281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54.85997334444793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>
        <f>BD25*VLOOKUP('Données projet'!$B$11,Paramètres!$A$1:$I$89,3,0)*VLOOKUP('Données projet'!$B$11,Paramètres!$A$1:$I$89,5,0)</f>
        <v>0</v>
      </c>
      <c r="BF25" s="13" t="e">
        <f t="shared" si="37"/>
        <v>#NUM!</v>
      </c>
      <c r="BG25" s="20" t="e">
        <f t="shared" si="7"/>
        <v>#NUM!</v>
      </c>
      <c r="BH25" s="59" t="e">
        <f t="shared" si="8"/>
        <v>#NUM!</v>
      </c>
      <c r="BI25" s="59">
        <f ca="1">AVERAGE(OFFSET($BH$3,0,0,'Données projet'!$E$11+1,1))-AVERAGE(OFFSET($H$3,0,0,'Données projet'!$E$11+1,1))</f>
        <v>103.69736557010637</v>
      </c>
      <c r="BJ25" s="59">
        <f t="shared" si="38"/>
        <v>312.86697521864392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59.124763345421577</v>
      </c>
      <c r="BQ25" s="21">
        <f>EXP(-LN(2)/25)*BQ24+(1-EXP(-LN(2)/25))/(LN(2)/25)*Calculateur!BL25*Calculateur!BN25*VLOOKUP('Données projet'!$B$11,Paramètres!$A$1:$I$89,3,0)*0.475*44/12</f>
        <v>15.195053278686167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74.319816624107744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54.85997334444793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>
        <f>VLOOKUP(A25,'Données projet'!$A$113:$I$133,2,0)</f>
        <v>232</v>
      </c>
      <c r="BW25" s="12">
        <f>VLOOKUP(A25,'Données projet'!$A$113:$I$133,9,0)</f>
        <v>20</v>
      </c>
      <c r="BX25" s="12">
        <f t="array" ref="BX25">INDEX(BW:BW,MIN(IF(ISNUMBER(BW25:BW221),ROW(BW25:BW221),"")))</f>
        <v>20</v>
      </c>
      <c r="BY25" s="12">
        <f>IF('Données projet'!$A$114&gt;35,BY24+BX25-CG24,IF(A25&lt;'Données projet'!$A$114,$BV$205^A25,IF(A25='Données projet'!$A$114,'Données projet'!$B$114,BY24+BX25-CG24)))</f>
        <v>232</v>
      </c>
      <c r="BZ25" s="13">
        <f>BY25*VLOOKUP('Données projet'!$B$12,Paramètres!$A$1:$I$89,3,0)*VLOOKUP('Données projet'!$B$12,Paramètres!$A$1:$I$89,5,0)</f>
        <v>138.73599999999999</v>
      </c>
      <c r="CA25" s="13">
        <f t="shared" si="39"/>
        <v>36.007288175538044</v>
      </c>
      <c r="CB25" s="20">
        <f t="shared" si="10"/>
        <v>304.34456023906205</v>
      </c>
      <c r="CC25" s="59">
        <f t="shared" si="11"/>
        <v>532.38668472426002</v>
      </c>
      <c r="CD25" s="59">
        <f ca="1">AVERAGE(OFFSET($CC$3,0,0,'Données projet'!$E$12+1,1))-AVERAGE(OFFSET($H$3,0,0,'Données projet'!$E$12+1,1))</f>
        <v>189.55118397415424</v>
      </c>
      <c r="CE25" s="59">
        <f t="shared" si="40"/>
        <v>456.28719984856014</v>
      </c>
      <c r="CF25" s="15">
        <f>IF(ISNA(VLOOKUP(A25,'Données projet'!$A$113:$I$133,3,0)),0,VLOOKUP(A25,'Données projet'!$A$113:$I$133,3,0))</f>
        <v>3</v>
      </c>
      <c r="CG25" s="15">
        <f>IF(ISNA(VLOOKUP(A25,'Données projet'!$A$113:$I$133,4,0)),0,VLOOKUP(A25,'Données projet'!$A$113:$I$133,4,0))</f>
        <v>56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0.45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33.222485733917239</v>
      </c>
      <c r="CM25" s="21">
        <f>EXP(-LN(2)/2)*CM24+(1-EXP(-LN(2)/2))/(LN(2)/2)*CG25*CJ25*VLOOKUP('Données projet'!$B$12,Paramètres!$A$1:$I$89,3,0)*0.475*44/12</f>
        <v>0.71939209604087828</v>
      </c>
      <c r="CN25" s="22">
        <f t="shared" si="12"/>
        <v>33.941877829958116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54.85997334444793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54.85997334444793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54.85997334444793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54.85997334444793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54.85997334444793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54.85997334444793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4.45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16.316666666666666</v>
      </c>
      <c r="H26" s="66">
        <f t="shared" si="1"/>
        <v>191.4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55.122618958892957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0</v>
      </c>
      <c r="N26" s="13">
        <f>IF('Données projet'!$A$36&gt;35,N25+M26-V25,IF(A26&lt;'Données projet'!$A$36,$K$205^A26,IF(A26='Données projet'!$A$36,'Données projet'!$B$36,N25+M26-V25)))</f>
        <v>-5.6843418860808015E-14</v>
      </c>
      <c r="O26" s="13">
        <f>N26*VLOOKUP('Données projet'!$B$9,Paramètres!$A$1:$I$89,3,0)*VLOOKUP('Données projet'!$B$9,Paramètres!$A$1:$I$89,5,0)</f>
        <v>-2.5006556825246661E-14</v>
      </c>
      <c r="P26" s="13" t="e">
        <f t="shared" si="33"/>
        <v>#NUM!</v>
      </c>
      <c r="Q26" s="20" t="e">
        <f t="shared" si="2"/>
        <v>#NUM!</v>
      </c>
      <c r="R26" s="59" t="e">
        <f t="shared" si="0"/>
        <v>#NUM!</v>
      </c>
      <c r="S26" s="59">
        <f ca="1">AVERAGE(OFFSET($R$3,0,0,'Données projet'!$E$9+1,1))-AVERAGE(OFFSET($H$3,0,0,'Données projet'!$E$9+1,1))</f>
        <v>129.89493875503857</v>
      </c>
      <c r="T26" s="59">
        <f t="shared" si="34"/>
        <v>318.19554842399577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61.17961672150458</v>
      </c>
      <c r="AA26" s="21">
        <f>EXP(-LN(2)/25)*AA25+(1-EXP(-LN(2)/25))/(LN(2)/25)*Calculateur!V26*Calculateur!X26*VLOOKUP('Données projet'!$B$9,Paramètres!$A$1:$I$89,3,0)*0.475*44/12</f>
        <v>15.974241625673978</v>
      </c>
      <c r="AB26" s="21">
        <f>EXP(-LN(2)/2)*AB25+(1-EXP(-LN(2)/2))/(LN(2)/2)*V26*Y26*VLOOKUP('Données projet'!$B$9,Paramètres!$A$1:$I$89,3,0)*0.475*44/12</f>
        <v>0</v>
      </c>
      <c r="AC26" s="22">
        <f t="shared" si="3"/>
        <v>77.153858347178556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55.122618958892957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>
        <f>AI26*VLOOKUP('Données projet'!$B$10,Paramètres!$A$1:$I$89,3,0)*VLOOKUP('Données projet'!$B$10,Paramètres!$A$1:$I$89,5,0)</f>
        <v>0</v>
      </c>
      <c r="AK26" s="13" t="e">
        <f t="shared" si="35"/>
        <v>#NUM!</v>
      </c>
      <c r="AL26" s="20" t="e">
        <f t="shared" si="4"/>
        <v>#NUM!</v>
      </c>
      <c r="AM26" s="59" t="e">
        <f t="shared" si="5"/>
        <v>#NUM!</v>
      </c>
      <c r="AN26" s="59">
        <f ca="1">AVERAGE(OFFSET($AM$3,0,0,'Données projet'!$E$10+1,1))-AVERAGE(OFFSET($H$3,0,0,'Données projet'!$E$10+1,1))</f>
        <v>96.263123361643096</v>
      </c>
      <c r="AO26" s="59">
        <f t="shared" si="36"/>
        <v>291.35824366856377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53.594204292626422</v>
      </c>
      <c r="AV26" s="21">
        <f>EXP(-LN(2)/25)*AV25+(1-EXP(-LN(2)/25))/(LN(2)/25)*Calculateur!AQ26*Calculateur!AS26*VLOOKUP('Données projet'!$B$10,Paramètres!$A$1:$I$89,3,0)*0.475*44/12</f>
        <v>13.665020776568781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67.259225069195196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55.122618958892957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>
        <f>BD26*VLOOKUP('Données projet'!$B$11,Paramètres!$A$1:$I$89,3,0)*VLOOKUP('Données projet'!$B$11,Paramètres!$A$1:$I$89,5,0)</f>
        <v>0</v>
      </c>
      <c r="BF26" s="13" t="e">
        <f t="shared" si="37"/>
        <v>#NUM!</v>
      </c>
      <c r="BG26" s="20" t="e">
        <f t="shared" si="7"/>
        <v>#NUM!</v>
      </c>
      <c r="BH26" s="59" t="e">
        <f t="shared" si="8"/>
        <v>#NUM!</v>
      </c>
      <c r="BI26" s="59">
        <f ca="1">AVERAGE(OFFSET($BH$3,0,0,'Données projet'!$E$11+1,1))-AVERAGE(OFFSET($H$3,0,0,'Données projet'!$E$11+1,1))</f>
        <v>103.69736557010637</v>
      </c>
      <c r="BJ26" s="59">
        <f t="shared" si="38"/>
        <v>312.86697521864392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57.965362798762619</v>
      </c>
      <c r="BQ26" s="21">
        <f>EXP(-LN(2)/25)*BQ25+(1-EXP(-LN(2)/25))/(LN(2)/25)*Calculateur!BL26*Calculateur!BN26*VLOOKUP('Données projet'!$B$11,Paramètres!$A$1:$I$89,3,0)*0.475*44/12</f>
        <v>14.77954374770737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72.744906546469991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55.122618958892957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>
        <f>VLOOKUP(A26,'Données projet'!$A$113:$I$133,2,0)</f>
        <v>192</v>
      </c>
      <c r="BW26" s="12">
        <f>VLOOKUP(A26,'Données projet'!$A$113:$I$133,9,0)</f>
        <v>16</v>
      </c>
      <c r="BX26" s="12">
        <f t="array" ref="BX26">INDEX(BW:BW,MIN(IF(ISNUMBER(BW26:BW222),ROW(BW26:BW222),"")))</f>
        <v>16</v>
      </c>
      <c r="BY26" s="12">
        <f>IF('Données projet'!$A$114&gt;35,BY25+BX26-CG25,IF(A26&lt;'Données projet'!$A$114,$BV$205^A26,IF(A26='Données projet'!$A$114,'Données projet'!$B$114,BY25+BX26-CG25)))</f>
        <v>192</v>
      </c>
      <c r="BZ26" s="13">
        <f>BY26*VLOOKUP('Données projet'!$B$12,Paramètres!$A$1:$I$89,3,0)*VLOOKUP('Données projet'!$B$12,Paramètres!$A$1:$I$89,5,0)</f>
        <v>114.81600000000002</v>
      </c>
      <c r="CA26" s="13">
        <f t="shared" si="39"/>
        <v>30.462826482209831</v>
      </c>
      <c r="CB26" s="20">
        <f t="shared" si="10"/>
        <v>253.02728945651543</v>
      </c>
      <c r="CC26" s="59">
        <f t="shared" si="11"/>
        <v>483.25467008356736</v>
      </c>
      <c r="CD26" s="59">
        <f ca="1">AVERAGE(OFFSET($CC$3,0,0,'Données projet'!$E$12+1,1))-AVERAGE(OFFSET($H$3,0,0,'Données projet'!$E$12+1,1))</f>
        <v>189.55118397415424</v>
      </c>
      <c r="CE26" s="59">
        <f t="shared" si="40"/>
        <v>456.28719984856014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32.314015114428678</v>
      </c>
      <c r="CM26" s="21">
        <f>EXP(-LN(2)/2)*CM25+(1-EXP(-LN(2)/2))/(LN(2)/2)*CG26*CJ26*VLOOKUP('Données projet'!$B$12,Paramètres!$A$1:$I$89,3,0)*0.475*44/12</f>
        <v>0.5086870294425091</v>
      </c>
      <c r="CN26" s="22">
        <f t="shared" si="12"/>
        <v>32.82270214387119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55.122618958892957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55.122618958892957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55.122618958892957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55.122618958892957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55.122618958892957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55.122618958892957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4.45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16.316666666666666</v>
      </c>
      <c r="H27" s="66">
        <f t="shared" si="1"/>
        <v>191.4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55.380708259114989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0</v>
      </c>
      <c r="N27" s="13">
        <f>IF('Données projet'!$A$36&gt;35,N26+M27-V26,IF(A27&lt;'Données projet'!$A$36,$K$205^A27,IF(A27='Données projet'!$A$36,'Données projet'!$B$36,N26+M27-V26)))</f>
        <v>-5.6843418860808015E-14</v>
      </c>
      <c r="O27" s="13">
        <f>N27*VLOOKUP('Données projet'!$B$9,Paramètres!$A$1:$I$89,3,0)*VLOOKUP('Données projet'!$B$9,Paramètres!$A$1:$I$89,5,0)</f>
        <v>-2.5006556825246661E-14</v>
      </c>
      <c r="P27" s="13" t="e">
        <f t="shared" si="33"/>
        <v>#NUM!</v>
      </c>
      <c r="Q27" s="20" t="e">
        <f t="shared" si="2"/>
        <v>#NUM!</v>
      </c>
      <c r="R27" s="59" t="e">
        <f t="shared" si="0"/>
        <v>#NUM!</v>
      </c>
      <c r="S27" s="59">
        <f ca="1">AVERAGE(OFFSET($R$3,0,0,'Données projet'!$E$9+1,1))-AVERAGE(OFFSET($H$3,0,0,'Données projet'!$E$9+1,1))</f>
        <v>129.89493875503857</v>
      </c>
      <c r="T27" s="59">
        <f t="shared" si="34"/>
        <v>318.19554842399577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59.979921753477441</v>
      </c>
      <c r="AA27" s="21">
        <f>EXP(-LN(2)/25)*AA26+(1-EXP(-LN(2)/25))/(LN(2)/25)*Calculateur!V27*Calculateur!X27*VLOOKUP('Données projet'!$B$9,Paramètres!$A$1:$I$89,3,0)*0.475*44/12</f>
        <v>15.537425148371065</v>
      </c>
      <c r="AB27" s="21">
        <f>EXP(-LN(2)/2)*AB26+(1-EXP(-LN(2)/2))/(LN(2)/2)*V27*Y27*VLOOKUP('Données projet'!$B$9,Paramètres!$A$1:$I$89,3,0)*0.475*44/12</f>
        <v>0</v>
      </c>
      <c r="AC27" s="22">
        <f t="shared" si="3"/>
        <v>75.517346901848512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55.380708259114989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>
        <f>AI27*VLOOKUP('Données projet'!$B$10,Paramètres!$A$1:$I$89,3,0)*VLOOKUP('Données projet'!$B$10,Paramètres!$A$1:$I$89,5,0)</f>
        <v>0</v>
      </c>
      <c r="AK27" s="13" t="e">
        <f t="shared" si="35"/>
        <v>#NUM!</v>
      </c>
      <c r="AL27" s="20" t="e">
        <f t="shared" si="4"/>
        <v>#NUM!</v>
      </c>
      <c r="AM27" s="59" t="e">
        <f t="shared" si="5"/>
        <v>#NUM!</v>
      </c>
      <c r="AN27" s="59">
        <f ca="1">AVERAGE(OFFSET($AM$3,0,0,'Données projet'!$E$10+1,1))-AVERAGE(OFFSET($H$3,0,0,'Données projet'!$E$10+1,1))</f>
        <v>96.263123361643096</v>
      </c>
      <c r="AO27" s="59">
        <f t="shared" si="36"/>
        <v>291.35824366856377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52.543254635684839</v>
      </c>
      <c r="AV27" s="21">
        <f>EXP(-LN(2)/25)*AV26+(1-EXP(-LN(2)/25))/(LN(2)/25)*Calculateur!AQ27*Calculateur!AS27*VLOOKUP('Données projet'!$B$10,Paramètres!$A$1:$I$89,3,0)*0.475*44/12</f>
        <v>13.291350064821296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65.834604700506134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55.380708259114989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>
        <f>BD27*VLOOKUP('Données projet'!$B$11,Paramètres!$A$1:$I$89,3,0)*VLOOKUP('Données projet'!$B$11,Paramètres!$A$1:$I$89,5,0)</f>
        <v>0</v>
      </c>
      <c r="BF27" s="13" t="e">
        <f t="shared" si="37"/>
        <v>#NUM!</v>
      </c>
      <c r="BG27" s="20" t="e">
        <f t="shared" si="7"/>
        <v>#NUM!</v>
      </c>
      <c r="BH27" s="59" t="e">
        <f t="shared" si="8"/>
        <v>#NUM!</v>
      </c>
      <c r="BI27" s="59">
        <f ca="1">AVERAGE(OFFSET($BH$3,0,0,'Données projet'!$E$11+1,1))-AVERAGE(OFFSET($H$3,0,0,'Données projet'!$E$11+1,1))</f>
        <v>103.69736557010637</v>
      </c>
      <c r="BJ27" s="59">
        <f t="shared" si="38"/>
        <v>312.86697521864392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56.828697389659141</v>
      </c>
      <c r="BQ27" s="21">
        <f>EXP(-LN(2)/25)*BQ26+(1-EXP(-LN(2)/25))/(LN(2)/25)*Calculateur!BL27*Calculateur!BN27*VLOOKUP('Données projet'!$B$11,Paramètres!$A$1:$I$89,3,0)*0.475*44/12</f>
        <v>14.375396346703885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71.204093736363021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55.380708259114989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>
        <f>VLOOKUP(A27,'Données projet'!$A$113:$I$133,2,0)</f>
        <v>209</v>
      </c>
      <c r="BW27" s="12">
        <f>VLOOKUP(A27,'Données projet'!$A$113:$I$133,9,0)</f>
        <v>17</v>
      </c>
      <c r="BX27" s="12">
        <f t="array" ref="BX27">INDEX(BW:BW,MIN(IF(ISNUMBER(BW27:BW223),ROW(BW27:BW223),"")))</f>
        <v>17</v>
      </c>
      <c r="BY27" s="12">
        <f>IF('Données projet'!$A$114&gt;35,BY26+BX27-CG26,IF(A27&lt;'Données projet'!$A$114,$BV$205^A27,IF(A27='Données projet'!$A$114,'Données projet'!$B$114,BY26+BX27-CG26)))</f>
        <v>209</v>
      </c>
      <c r="BZ27" s="13">
        <f>BY27*VLOOKUP('Données projet'!$B$12,Paramètres!$A$1:$I$89,3,0)*VLOOKUP('Données projet'!$B$12,Paramètres!$A$1:$I$89,5,0)</f>
        <v>124.982</v>
      </c>
      <c r="CA27" s="13">
        <f t="shared" si="39"/>
        <v>32.834203796212122</v>
      </c>
      <c r="CB27" s="20">
        <f t="shared" si="10"/>
        <v>274.86322161173604</v>
      </c>
      <c r="CC27" s="59">
        <f t="shared" si="11"/>
        <v>507.25915189515763</v>
      </c>
      <c r="CD27" s="59">
        <f ca="1">AVERAGE(OFFSET($CC$3,0,0,'Données projet'!$E$12+1,1))-AVERAGE(OFFSET($H$3,0,0,'Données projet'!$E$12+1,1))</f>
        <v>189.55118397415424</v>
      </c>
      <c r="CE27" s="59">
        <f t="shared" si="40"/>
        <v>456.28719984856014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31.430386671804424</v>
      </c>
      <c r="CM27" s="21">
        <f>EXP(-LN(2)/2)*CM26+(1-EXP(-LN(2)/2))/(LN(2)/2)*CG27*CJ27*VLOOKUP('Données projet'!$B$12,Paramètres!$A$1:$I$89,3,0)*0.475*44/12</f>
        <v>0.35969604802043914</v>
      </c>
      <c r="CN27" s="22">
        <f t="shared" si="12"/>
        <v>31.790082719824863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55.380708259114989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55.380708259114989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55.380708259114989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55.380708259114989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55.380708259114989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55.380708259114989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4.45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16.316666666666666</v>
      </c>
      <c r="H28" s="66">
        <f t="shared" si="1"/>
        <v>191.4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55.634320286979403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</v>
      </c>
      <c r="N28" s="13">
        <f>IF('Données projet'!$A$36&gt;35,N27+M28-V27,IF(A28&lt;'Données projet'!$A$36,$K$205^A28,IF(A28='Données projet'!$A$36,'Données projet'!$B$36,N27+M28-V27)))</f>
        <v>-5.6843418860808015E-14</v>
      </c>
      <c r="O28" s="13">
        <f>N28*VLOOKUP('Données projet'!$B$9,Paramètres!$A$1:$I$89,3,0)*VLOOKUP('Données projet'!$B$9,Paramètres!$A$1:$I$89,5,0)</f>
        <v>-2.5006556825246661E-14</v>
      </c>
      <c r="P28" s="13" t="e">
        <f t="shared" si="33"/>
        <v>#NUM!</v>
      </c>
      <c r="Q28" s="20" t="e">
        <f t="shared" si="2"/>
        <v>#NUM!</v>
      </c>
      <c r="R28" s="59" t="e">
        <f t="shared" si="0"/>
        <v>#NUM!</v>
      </c>
      <c r="S28" s="59">
        <f ca="1">AVERAGE(OFFSET($R$3,0,0,'Données projet'!$E$9+1,1))-AVERAGE(OFFSET($H$3,0,0,'Données projet'!$E$9+1,1))</f>
        <v>129.89493875503857</v>
      </c>
      <c r="T28" s="59">
        <f t="shared" si="34"/>
        <v>318.19554842399577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58.803752072031635</v>
      </c>
      <c r="AA28" s="21">
        <f>EXP(-LN(2)/25)*AA27+(1-EXP(-LN(2)/25))/(LN(2)/25)*Calculateur!V28*Calculateur!X28*VLOOKUP('Données projet'!$B$9,Paramètres!$A$1:$I$89,3,0)*0.475*44/12</f>
        <v>15.112553440611181</v>
      </c>
      <c r="AB28" s="21">
        <f>EXP(-LN(2)/2)*AB27+(1-EXP(-LN(2)/2))/(LN(2)/2)*V28*Y28*VLOOKUP('Données projet'!$B$9,Paramètres!$A$1:$I$89,3,0)*0.475*44/12</f>
        <v>0</v>
      </c>
      <c r="AC28" s="22">
        <f t="shared" si="3"/>
        <v>73.916305512642822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55.634320286979403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>
        <f>AI28*VLOOKUP('Données projet'!$B$10,Paramètres!$A$1:$I$89,3,0)*VLOOKUP('Données projet'!$B$10,Paramètres!$A$1:$I$89,5,0)</f>
        <v>0</v>
      </c>
      <c r="AK28" s="13" t="e">
        <f t="shared" si="35"/>
        <v>#NUM!</v>
      </c>
      <c r="AL28" s="20" t="e">
        <f t="shared" si="4"/>
        <v>#NUM!</v>
      </c>
      <c r="AM28" s="59" t="e">
        <f t="shared" si="5"/>
        <v>#NUM!</v>
      </c>
      <c r="AN28" s="59">
        <f ca="1">AVERAGE(OFFSET($AM$3,0,0,'Données projet'!$E$10+1,1))-AVERAGE(OFFSET($H$3,0,0,'Données projet'!$E$10+1,1))</f>
        <v>96.263123361643096</v>
      </c>
      <c r="AO28" s="59">
        <f t="shared" si="36"/>
        <v>291.35824366856377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51.512913460499888</v>
      </c>
      <c r="AV28" s="21">
        <f>EXP(-LN(2)/25)*AV27+(1-EXP(-LN(2)/25))/(LN(2)/25)*Calculateur!AQ28*Calculateur!AS28*VLOOKUP('Données projet'!$B$10,Paramètres!$A$1:$I$89,3,0)*0.475*44/12</f>
        <v>12.927897398337036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64.440810858836926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55.634320286979403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>
        <f>BD28*VLOOKUP('Données projet'!$B$11,Paramètres!$A$1:$I$89,3,0)*VLOOKUP('Données projet'!$B$11,Paramètres!$A$1:$I$89,5,0)</f>
        <v>0</v>
      </c>
      <c r="BF28" s="13" t="e">
        <f t="shared" si="37"/>
        <v>#NUM!</v>
      </c>
      <c r="BG28" s="20" t="e">
        <f t="shared" si="7"/>
        <v>#NUM!</v>
      </c>
      <c r="BH28" s="59" t="e">
        <f t="shared" si="8"/>
        <v>#NUM!</v>
      </c>
      <c r="BI28" s="59">
        <f ca="1">AVERAGE(OFFSET($BH$3,0,0,'Données projet'!$E$11+1,1))-AVERAGE(OFFSET($H$3,0,0,'Données projet'!$E$11+1,1))</f>
        <v>103.69736557010637</v>
      </c>
      <c r="BJ28" s="59">
        <f t="shared" si="38"/>
        <v>312.86697521864392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55.714321295930738</v>
      </c>
      <c r="BQ28" s="21">
        <f>EXP(-LN(2)/25)*BQ27+(1-EXP(-LN(2)/25))/(LN(2)/25)*Calculateur!BL28*Calculateur!BN28*VLOOKUP('Données projet'!$B$11,Paramètres!$A$1:$I$89,3,0)*0.475*44/12</f>
        <v>13.982300377634029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69.696621673564763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55.634320286979403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226</v>
      </c>
      <c r="BW28" s="12">
        <f>VLOOKUP(A28,'Données projet'!$A$113:$I$133,9,0)</f>
        <v>17</v>
      </c>
      <c r="BX28" s="12">
        <f t="array" ref="BX28">INDEX(BW:BW,MIN(IF(ISNUMBER(BW28:BW224),ROW(BW28:BW224),"")))</f>
        <v>17</v>
      </c>
      <c r="BY28" s="12">
        <f>IF('Données projet'!$A$114&gt;35,BY27+BX28-CG27,IF(A28&lt;'Données projet'!$A$114,$BV$205^A28,IF(A28='Données projet'!$A$114,'Données projet'!$B$114,BY27+BX28-CG27)))</f>
        <v>226</v>
      </c>
      <c r="BZ28" s="13">
        <f>BY28*VLOOKUP('Données projet'!$B$12,Paramètres!$A$1:$I$89,3,0)*VLOOKUP('Données projet'!$B$12,Paramètres!$A$1:$I$89,5,0)</f>
        <v>135.14800000000002</v>
      </c>
      <c r="CA28" s="13">
        <f t="shared" si="39"/>
        <v>35.183208974998173</v>
      </c>
      <c r="CB28" s="20">
        <f t="shared" si="10"/>
        <v>296.66018896478852</v>
      </c>
      <c r="CC28" s="59">
        <f t="shared" si="11"/>
        <v>531.20825223926852</v>
      </c>
      <c r="CD28" s="59">
        <f ca="1">AVERAGE(OFFSET($CC$3,0,0,'Données projet'!$E$12+1,1))-AVERAGE(OFFSET($H$3,0,0,'Données projet'!$E$12+1,1))</f>
        <v>189.55118397415424</v>
      </c>
      <c r="CE28" s="59">
        <f t="shared" si="40"/>
        <v>456.28719984856014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30.570921095411734</v>
      </c>
      <c r="CM28" s="21">
        <f>EXP(-LN(2)/2)*CM27+(1-EXP(-LN(2)/2))/(LN(2)/2)*CG28*CJ28*VLOOKUP('Données projet'!$B$12,Paramètres!$A$1:$I$89,3,0)*0.475*44/12</f>
        <v>0.25434351472125455</v>
      </c>
      <c r="CN28" s="22">
        <f t="shared" si="12"/>
        <v>30.82526461013299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55.634320286979403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55.634320286979403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55.634320286979403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55.634320286979403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55.634320286979403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55.634320286979403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4.45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16.316666666666666</v>
      </c>
      <c r="H29" s="66">
        <f t="shared" si="1"/>
        <v>191.4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55.883532713151929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-5.6843418860808015E-14</v>
      </c>
      <c r="O29" s="13">
        <f>N29*VLOOKUP('Données projet'!$B$9,Paramètres!$A$1:$I$89,3,0)*VLOOKUP('Données projet'!$B$9,Paramètres!$A$1:$I$89,5,0)</f>
        <v>-2.5006556825246661E-14</v>
      </c>
      <c r="P29" s="13" t="e">
        <f t="shared" si="33"/>
        <v>#NUM!</v>
      </c>
      <c r="Q29" s="20" t="e">
        <f t="shared" si="2"/>
        <v>#NUM!</v>
      </c>
      <c r="R29" s="59" t="e">
        <f t="shared" si="0"/>
        <v>#NUM!</v>
      </c>
      <c r="S29" s="59">
        <f ca="1">AVERAGE(OFFSET($R$3,0,0,'Données projet'!$E$9+1,1))-AVERAGE(OFFSET($H$3,0,0,'Données projet'!$E$9+1,1))</f>
        <v>129.89493875503857</v>
      </c>
      <c r="T29" s="59">
        <f t="shared" si="34"/>
        <v>318.19554842399577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57.650646360646313</v>
      </c>
      <c r="AA29" s="21">
        <f>EXP(-LN(2)/25)*AA28+(1-EXP(-LN(2)/25))/(LN(2)/25)*Calculateur!V29*Calculateur!X29*VLOOKUP('Données projet'!$B$9,Paramètres!$A$1:$I$89,3,0)*0.475*44/12</f>
        <v>14.699299872043023</v>
      </c>
      <c r="AB29" s="21">
        <f>EXP(-LN(2)/2)*AB28+(1-EXP(-LN(2)/2))/(LN(2)/2)*V29*Y29*VLOOKUP('Données projet'!$B$9,Paramètres!$A$1:$I$89,3,0)*0.475*44/12</f>
        <v>0</v>
      </c>
      <c r="AC29" s="22">
        <f t="shared" si="3"/>
        <v>72.349946232689334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55.883532713151929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>
        <f>AI29*VLOOKUP('Données projet'!$B$10,Paramètres!$A$1:$I$89,3,0)*VLOOKUP('Données projet'!$B$10,Paramètres!$A$1:$I$89,5,0)</f>
        <v>0</v>
      </c>
      <c r="AK29" s="13" t="e">
        <f t="shared" si="35"/>
        <v>#NUM!</v>
      </c>
      <c r="AL29" s="20" t="e">
        <f t="shared" si="4"/>
        <v>#NUM!</v>
      </c>
      <c r="AM29" s="59" t="e">
        <f t="shared" si="5"/>
        <v>#NUM!</v>
      </c>
      <c r="AN29" s="59">
        <f ca="1">AVERAGE(OFFSET($AM$3,0,0,'Données projet'!$E$10+1,1))-AVERAGE(OFFSET($H$3,0,0,'Données projet'!$E$10+1,1))</f>
        <v>96.263123361643096</v>
      </c>
      <c r="AO29" s="59">
        <f t="shared" si="36"/>
        <v>291.35824366856377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50.502776647314249</v>
      </c>
      <c r="AV29" s="21">
        <f>EXP(-LN(2)/25)*AV28+(1-EXP(-LN(2)/25))/(LN(2)/25)*Calculateur!AQ29*Calculateur!AS29*VLOOKUP('Données projet'!$B$10,Paramètres!$A$1:$I$89,3,0)*0.475*44/12</f>
        <v>12.574383364130933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63.07716001144518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55.883532713151929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>
        <f>BD29*VLOOKUP('Données projet'!$B$11,Paramètres!$A$1:$I$89,3,0)*VLOOKUP('Données projet'!$B$11,Paramètres!$A$1:$I$89,5,0)</f>
        <v>0</v>
      </c>
      <c r="BF29" s="13" t="e">
        <f t="shared" si="37"/>
        <v>#NUM!</v>
      </c>
      <c r="BG29" s="20" t="e">
        <f t="shared" si="7"/>
        <v>#NUM!</v>
      </c>
      <c r="BH29" s="59" t="e">
        <f t="shared" si="8"/>
        <v>#NUM!</v>
      </c>
      <c r="BI29" s="59">
        <f ca="1">AVERAGE(OFFSET($BH$3,0,0,'Données projet'!$E$11+1,1))-AVERAGE(OFFSET($H$3,0,0,'Données projet'!$E$11+1,1))</f>
        <v>103.69736557010637</v>
      </c>
      <c r="BJ29" s="59">
        <f t="shared" si="38"/>
        <v>312.86697521864392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54.621797437698042</v>
      </c>
      <c r="BQ29" s="21">
        <f>EXP(-LN(2)/25)*BQ28+(1-EXP(-LN(2)/25))/(LN(2)/25)*Calculateur!BL29*Calculateur!BN29*VLOOKUP('Données projet'!$B$11,Paramètres!$A$1:$I$89,3,0)*0.475*44/12</f>
        <v>13.599953638510407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68.221751076208449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55.883532713151929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>
        <f>VLOOKUP(A29,'Données projet'!$A$113:$I$133,2,0)</f>
        <v>244</v>
      </c>
      <c r="BW29" s="12">
        <f>VLOOKUP(A29,'Données projet'!$A$113:$I$133,9,0)</f>
        <v>18</v>
      </c>
      <c r="BX29" s="12">
        <f t="array" ref="BX29">INDEX(BW:BW,MIN(IF(ISNUMBER(BW29:BW225),ROW(BW29:BW225),"")))</f>
        <v>18</v>
      </c>
      <c r="BY29" s="12">
        <f>IF('Données projet'!$A$114&gt;35,BY28+BX29-CG28,IF(A29&lt;'Données projet'!$A$114,$BV$205^A29,IF(A29='Données projet'!$A$114,'Données projet'!$B$114,BY28+BX29-CG28)))</f>
        <v>244</v>
      </c>
      <c r="BZ29" s="13">
        <f>BY29*VLOOKUP('Données projet'!$B$12,Paramètres!$A$1:$I$89,3,0)*VLOOKUP('Données projet'!$B$12,Paramètres!$A$1:$I$89,5,0)</f>
        <v>145.91200000000001</v>
      </c>
      <c r="CA29" s="13">
        <f t="shared" si="39"/>
        <v>37.648084239987625</v>
      </c>
      <c r="CB29" s="20">
        <f t="shared" si="10"/>
        <v>319.70048005131179</v>
      </c>
      <c r="CC29" s="59">
        <f t="shared" si="11"/>
        <v>556.38454444397996</v>
      </c>
      <c r="CD29" s="59">
        <f ca="1">AVERAGE(OFFSET($CC$3,0,0,'Données projet'!$E$12+1,1))-AVERAGE(OFFSET($H$3,0,0,'Données projet'!$E$12+1,1))</f>
        <v>189.55118397415424</v>
      </c>
      <c r="CE29" s="59">
        <f t="shared" si="40"/>
        <v>456.28719984856014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29.73495765040283</v>
      </c>
      <c r="CM29" s="21">
        <f>EXP(-LN(2)/2)*CM28+(1-EXP(-LN(2)/2))/(LN(2)/2)*CG29*CJ29*VLOOKUP('Données projet'!$B$12,Paramètres!$A$1:$I$89,3,0)*0.475*44/12</f>
        <v>0.17984802401021957</v>
      </c>
      <c r="CN29" s="22">
        <f t="shared" si="12"/>
        <v>29.914805674413049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55.883532713151929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55.883532713151929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55.883532713151929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55.883532713151929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55.883532713151929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55.883532713151929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4.45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16.316666666666666</v>
      </c>
      <c r="H30" s="66">
        <f t="shared" si="1"/>
        <v>191.4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56.128421860885872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-5.6843418860808015E-14</v>
      </c>
      <c r="O30" s="13">
        <f>N30*VLOOKUP('Données projet'!$B$9,Paramètres!$A$1:$I$89,3,0)*VLOOKUP('Données projet'!$B$9,Paramètres!$A$1:$I$89,5,0)</f>
        <v>-2.5006556825246661E-14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129.89493875503857</v>
      </c>
      <c r="T30" s="59">
        <f t="shared" si="34"/>
        <v>318.19554842399577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56.520152348936222</v>
      </c>
      <c r="AA30" s="21">
        <f>EXP(-LN(2)/25)*AA29+(1-EXP(-LN(2)/25))/(LN(2)/25)*Calculateur!V30*Calculateur!X30*VLOOKUP('Données projet'!$B$9,Paramètres!$A$1:$I$89,3,0)*0.475*44/12</f>
        <v>14.297346744039421</v>
      </c>
      <c r="AB30" s="21">
        <f>EXP(-LN(2)/2)*AB29+(1-EXP(-LN(2)/2))/(LN(2)/2)*V30*Y30*VLOOKUP('Données projet'!$B$9,Paramètres!$A$1:$I$89,3,0)*0.475*44/12</f>
        <v>0</v>
      </c>
      <c r="AC30" s="22">
        <f t="shared" si="3"/>
        <v>70.817499092975638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56.128421860885872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>
        <f>AI30*VLOOKUP('Données projet'!$B$10,Paramètres!$A$1:$I$89,3,0)*VLOOKUP('Données projet'!$B$10,Paramètres!$A$1:$I$89,5,0)</f>
        <v>0</v>
      </c>
      <c r="AK30" s="13" t="e">
        <f t="shared" si="35"/>
        <v>#NUM!</v>
      </c>
      <c r="AL30" s="20" t="e">
        <f t="shared" si="4"/>
        <v>#NUM!</v>
      </c>
      <c r="AM30" s="59" t="e">
        <f t="shared" si="5"/>
        <v>#NUM!</v>
      </c>
      <c r="AN30" s="59">
        <f ca="1">AVERAGE(OFFSET($AM$3,0,0,'Données projet'!$E$10+1,1))-AVERAGE(OFFSET($H$3,0,0,'Données projet'!$E$10+1,1))</f>
        <v>96.263123361643096</v>
      </c>
      <c r="AO30" s="59">
        <f t="shared" si="36"/>
        <v>291.35824366856377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49.512448000912563</v>
      </c>
      <c r="AV30" s="21">
        <f>EXP(-LN(2)/25)*AV29+(1-EXP(-LN(2)/25))/(LN(2)/25)*Calculateur!AQ30*Calculateur!AS30*VLOOKUP('Données projet'!$B$10,Paramètres!$A$1:$I$89,3,0)*0.475*44/12</f>
        <v>12.23053618978069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61.74298419069325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56.128421860885872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>
        <f>BD30*VLOOKUP('Données projet'!$B$11,Paramètres!$A$1:$I$89,3,0)*VLOOKUP('Données projet'!$B$11,Paramètres!$A$1:$I$89,5,0)</f>
        <v>0</v>
      </c>
      <c r="BF30" s="13" t="e">
        <f t="shared" si="37"/>
        <v>#NUM!</v>
      </c>
      <c r="BG30" s="20" t="e">
        <f t="shared" si="7"/>
        <v>#NUM!</v>
      </c>
      <c r="BH30" s="59" t="e">
        <f t="shared" si="8"/>
        <v>#NUM!</v>
      </c>
      <c r="BI30" s="59">
        <f ca="1">AVERAGE(OFFSET($BH$3,0,0,'Données projet'!$E$11+1,1))-AVERAGE(OFFSET($H$3,0,0,'Données projet'!$E$11+1,1))</f>
        <v>103.69736557010637</v>
      </c>
      <c r="BJ30" s="59">
        <f t="shared" si="38"/>
        <v>312.86697521864392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53.550697305951537</v>
      </c>
      <c r="BQ30" s="21">
        <f>EXP(-LN(2)/25)*BQ29+(1-EXP(-LN(2)/25))/(LN(2)/25)*Calculateur!BL30*Calculateur!BN30*VLOOKUP('Données projet'!$B$11,Paramètres!$A$1:$I$89,3,0)*0.475*44/12</f>
        <v>13.22806219107486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66.7787594970264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56.128421860885872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>
        <f>VLOOKUP(A30,'Données projet'!$A$113:$I$133,2,0)</f>
        <v>261</v>
      </c>
      <c r="BW30" s="12">
        <f>VLOOKUP(A30,'Données projet'!$A$113:$I$133,9,0)</f>
        <v>17</v>
      </c>
      <c r="BX30" s="12">
        <f t="array" ref="BX30">INDEX(BW:BW,MIN(IF(ISNUMBER(BW30:BW226),ROW(BW30:BW226),"")))</f>
        <v>17</v>
      </c>
      <c r="BY30" s="12">
        <f>IF('Données projet'!$A$114&gt;35,BY29+BX30-CG29,IF(A30&lt;'Données projet'!$A$114,$BV$205^A30,IF(A30='Données projet'!$A$114,'Données projet'!$B$114,BY29+BX30-CG29)))</f>
        <v>261</v>
      </c>
      <c r="BZ30" s="13">
        <f>BY30*VLOOKUP('Données projet'!$B$12,Paramètres!$A$1:$I$89,3,0)*VLOOKUP('Données projet'!$B$12,Paramètres!$A$1:$I$89,5,0)</f>
        <v>156.078</v>
      </c>
      <c r="CA30" s="13">
        <f t="shared" si="39"/>
        <v>39.956623674978466</v>
      </c>
      <c r="CB30" s="20">
        <f t="shared" si="10"/>
        <v>341.42696956725416</v>
      </c>
      <c r="CC30" s="59">
        <f t="shared" si="11"/>
        <v>580.23118305716912</v>
      </c>
      <c r="CD30" s="59">
        <f ca="1">AVERAGE(OFFSET($CC$3,0,0,'Données projet'!$E$12+1,1))-AVERAGE(OFFSET($H$3,0,0,'Données projet'!$E$12+1,1))</f>
        <v>189.55118397415424</v>
      </c>
      <c r="CE30" s="59">
        <f t="shared" si="40"/>
        <v>456.28719984856014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28.921853669759102</v>
      </c>
      <c r="CM30" s="21">
        <f>EXP(-LN(2)/2)*CM29+(1-EXP(-LN(2)/2))/(LN(2)/2)*CG30*CJ30*VLOOKUP('Données projet'!$B$12,Paramètres!$A$1:$I$89,3,0)*0.475*44/12</f>
        <v>0.12717175736062727</v>
      </c>
      <c r="CN30" s="22">
        <f t="shared" si="12"/>
        <v>29.04902542711973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56.128421860885872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56.128421860885872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56.128421860885872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56.128421860885872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56.128421860885872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56.128421860885872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4.45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16.316666666666666</v>
      </c>
      <c r="H31" s="66">
        <f t="shared" si="1"/>
        <v>191.4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56.369062729396745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-5.6843418860808015E-14</v>
      </c>
      <c r="O31" s="13">
        <f>N31*VLOOKUP('Données projet'!$B$9,Paramètres!$A$1:$I$89,3,0)*VLOOKUP('Données projet'!$B$9,Paramètres!$A$1:$I$89,5,0)</f>
        <v>-2.5006556825246661E-14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129.89493875503857</v>
      </c>
      <c r="T31" s="59">
        <f t="shared" si="34"/>
        <v>318.19554842399577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55.4118266352625</v>
      </c>
      <c r="AA31" s="21">
        <f>EXP(-LN(2)/25)*AA30+(1-EXP(-LN(2)/25))/(LN(2)/25)*Calculateur!V31*Calculateur!X31*VLOOKUP('Données projet'!$B$9,Paramètres!$A$1:$I$89,3,0)*0.475*44/12</f>
        <v>13.906385045458874</v>
      </c>
      <c r="AB31" s="21">
        <f>EXP(-LN(2)/2)*AB30+(1-EXP(-LN(2)/2))/(LN(2)/2)*V31*Y31*VLOOKUP('Données projet'!$B$9,Paramètres!$A$1:$I$89,3,0)*0.475*44/12</f>
        <v>0</v>
      </c>
      <c r="AC31" s="22">
        <f t="shared" si="3"/>
        <v>69.318211680721376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56.369062729396745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>
        <f>AI31*VLOOKUP('Données projet'!$B$10,Paramètres!$A$1:$I$89,3,0)*VLOOKUP('Données projet'!$B$10,Paramètres!$A$1:$I$89,5,0)</f>
        <v>0</v>
      </c>
      <c r="AK31" s="13" t="e">
        <f t="shared" si="35"/>
        <v>#NUM!</v>
      </c>
      <c r="AL31" s="20" t="e">
        <f t="shared" si="4"/>
        <v>#NUM!</v>
      </c>
      <c r="AM31" s="59" t="e">
        <f t="shared" si="5"/>
        <v>#NUM!</v>
      </c>
      <c r="AN31" s="59">
        <f ca="1">AVERAGE(OFFSET($AM$3,0,0,'Données projet'!$E$10+1,1))-AVERAGE(OFFSET($H$3,0,0,'Données projet'!$E$10+1,1))</f>
        <v>96.263123361643096</v>
      </c>
      <c r="AO31" s="59">
        <f t="shared" si="36"/>
        <v>291.35824366856377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48.541539095225986</v>
      </c>
      <c r="AV31" s="21">
        <f>EXP(-LN(2)/25)*AV30+(1-EXP(-LN(2)/25))/(LN(2)/25)*Calculateur!AQ31*Calculateur!AS31*VLOOKUP('Données projet'!$B$10,Paramètres!$A$1:$I$89,3,0)*0.475*44/12</f>
        <v>11.896091534495191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60.437630629721177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56.369062729396745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>
        <f>BD31*VLOOKUP('Données projet'!$B$11,Paramètres!$A$1:$I$89,3,0)*VLOOKUP('Données projet'!$B$11,Paramètres!$A$1:$I$89,5,0)</f>
        <v>0</v>
      </c>
      <c r="BF31" s="13" t="e">
        <f t="shared" si="37"/>
        <v>#NUM!</v>
      </c>
      <c r="BG31" s="20" t="e">
        <f t="shared" si="7"/>
        <v>#NUM!</v>
      </c>
      <c r="BH31" s="59" t="e">
        <f t="shared" si="8"/>
        <v>#NUM!</v>
      </c>
      <c r="BI31" s="59">
        <f ca="1">AVERAGE(OFFSET($BH$3,0,0,'Données projet'!$E$11+1,1))-AVERAGE(OFFSET($H$3,0,0,'Données projet'!$E$11+1,1))</f>
        <v>103.69736557010637</v>
      </c>
      <c r="BJ31" s="59">
        <f t="shared" si="38"/>
        <v>312.86697521864392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52.500600794482011</v>
      </c>
      <c r="BQ31" s="21">
        <f>EXP(-LN(2)/25)*BQ30+(1-EXP(-LN(2)/25))/(LN(2)/25)*Calculateur!BL31*Calculateur!BN31*VLOOKUP('Données projet'!$B$11,Paramètres!$A$1:$I$89,3,0)*0.475*44/12</f>
        <v>12.866340134826361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65.36694092930837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56.369062729396745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>
        <f>VLOOKUP(A31,'Données projet'!$A$113:$I$133,2,0)</f>
        <v>277</v>
      </c>
      <c r="BW31" s="12">
        <f>VLOOKUP(A31,'Données projet'!$A$113:$I$133,9,0)</f>
        <v>16</v>
      </c>
      <c r="BX31" s="12">
        <f t="array" ref="BX31">INDEX(BW:BW,MIN(IF(ISNUMBER(BW31:BW227),ROW(BW31:BW227),"")))</f>
        <v>16</v>
      </c>
      <c r="BY31" s="12">
        <f>IF('Données projet'!$A$114&gt;35,BY30+BX31-CG30,IF(A31&lt;'Données projet'!$A$114,$BV$205^A31,IF(A31='Données projet'!$A$114,'Données projet'!$B$114,BY30+BX31-CG30)))</f>
        <v>277</v>
      </c>
      <c r="BZ31" s="13">
        <f>BY31*VLOOKUP('Données projet'!$B$12,Paramètres!$A$1:$I$89,3,0)*VLOOKUP('Données projet'!$B$12,Paramètres!$A$1:$I$89,5,0)</f>
        <v>165.64600000000002</v>
      </c>
      <c r="CA31" s="13">
        <f t="shared" si="39"/>
        <v>42.113404814327666</v>
      </c>
      <c r="CB31" s="20">
        <f t="shared" si="10"/>
        <v>361.84763005162068</v>
      </c>
      <c r="CC31" s="59">
        <f t="shared" si="11"/>
        <v>602.75641561496423</v>
      </c>
      <c r="CD31" s="59">
        <f ca="1">AVERAGE(OFFSET($CC$3,0,0,'Données projet'!$E$12+1,1))-AVERAGE(OFFSET($H$3,0,0,'Données projet'!$E$12+1,1))</f>
        <v>189.55118397415424</v>
      </c>
      <c r="CE31" s="59">
        <f t="shared" si="40"/>
        <v>456.28719984856014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28.130984060225355</v>
      </c>
      <c r="CM31" s="21">
        <f>EXP(-LN(2)/2)*CM30+(1-EXP(-LN(2)/2))/(LN(2)/2)*CG31*CJ31*VLOOKUP('Données projet'!$B$12,Paramètres!$A$1:$I$89,3,0)*0.475*44/12</f>
        <v>8.9924012005109785E-2</v>
      </c>
      <c r="CN31" s="22">
        <f t="shared" si="12"/>
        <v>28.220908072230465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56.369062729396745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56.369062729396745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56.369062729396745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56.369062729396745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56.369062729396745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56.369062729396745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4.45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16.316666666666666</v>
      </c>
      <c r="H32" s="66">
        <f t="shared" si="1"/>
        <v>191.4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56.605529016831348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-5.6843418860808015E-14</v>
      </c>
      <c r="O32" s="13">
        <f>N32*VLOOKUP('Données projet'!$B$9,Paramètres!$A$1:$I$89,3,0)*VLOOKUP('Données projet'!$B$9,Paramètres!$A$1:$I$89,5,0)</f>
        <v>-2.5006556825246661E-14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129.89493875503857</v>
      </c>
      <c r="T32" s="59">
        <f t="shared" si="34"/>
        <v>318.19554842399577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54.325234512821986</v>
      </c>
      <c r="AA32" s="21">
        <f>EXP(-LN(2)/25)*AA31+(1-EXP(-LN(2)/25))/(LN(2)/25)*Calculateur!V32*Calculateur!X32*VLOOKUP('Données projet'!$B$9,Paramètres!$A$1:$I$89,3,0)*0.475*44/12</f>
        <v>13.526114215085796</v>
      </c>
      <c r="AB32" s="21">
        <f>EXP(-LN(2)/2)*AB31+(1-EXP(-LN(2)/2))/(LN(2)/2)*V32*Y32*VLOOKUP('Données projet'!$B$9,Paramètres!$A$1:$I$89,3,0)*0.475*44/12</f>
        <v>0</v>
      </c>
      <c r="AC32" s="22">
        <f t="shared" si="3"/>
        <v>67.851348727907776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56.605529016831348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>
        <f>AI32*VLOOKUP('Données projet'!$B$10,Paramètres!$A$1:$I$89,3,0)*VLOOKUP('Données projet'!$B$10,Paramètres!$A$1:$I$89,5,0)</f>
        <v>0</v>
      </c>
      <c r="AK32" s="13" t="e">
        <f t="shared" si="35"/>
        <v>#NUM!</v>
      </c>
      <c r="AL32" s="20" t="e">
        <f t="shared" si="4"/>
        <v>#NUM!</v>
      </c>
      <c r="AM32" s="59" t="e">
        <f t="shared" si="5"/>
        <v>#NUM!</v>
      </c>
      <c r="AN32" s="59">
        <f ca="1">AVERAGE(OFFSET($AM$3,0,0,'Données projet'!$E$10+1,1))-AVERAGE(OFFSET($H$3,0,0,'Données projet'!$E$10+1,1))</f>
        <v>96.263123361643096</v>
      </c>
      <c r="AO32" s="59">
        <f t="shared" si="36"/>
        <v>291.35824366856377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47.589669120983963</v>
      </c>
      <c r="AV32" s="21">
        <f>EXP(-LN(2)/25)*AV31+(1-EXP(-LN(2)/25))/(LN(2)/25)*Calculateur!AQ32*Calculateur!AS32*VLOOKUP('Données projet'!$B$10,Paramètres!$A$1:$I$89,3,0)*0.475*44/12</f>
        <v>11.570792285896156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59.160461406880117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56.605529016831348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>
        <f>BD32*VLOOKUP('Données projet'!$B$11,Paramètres!$A$1:$I$89,3,0)*VLOOKUP('Données projet'!$B$11,Paramètres!$A$1:$I$89,5,0)</f>
        <v>0</v>
      </c>
      <c r="BF32" s="13" t="e">
        <f t="shared" si="37"/>
        <v>#NUM!</v>
      </c>
      <c r="BG32" s="20" t="e">
        <f t="shared" si="7"/>
        <v>#NUM!</v>
      </c>
      <c r="BH32" s="59" t="e">
        <f t="shared" si="8"/>
        <v>#NUM!</v>
      </c>
      <c r="BI32" s="59">
        <f ca="1">AVERAGE(OFFSET($BH$3,0,0,'Données projet'!$E$11+1,1))-AVERAGE(OFFSET($H$3,0,0,'Données projet'!$E$11+1,1))</f>
        <v>103.69736557010637</v>
      </c>
      <c r="BJ32" s="59">
        <f t="shared" si="38"/>
        <v>312.86697521864392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51.471096035106775</v>
      </c>
      <c r="BQ32" s="21">
        <f>EXP(-LN(2)/25)*BQ31+(1-EXP(-LN(2)/25))/(LN(2)/25)*Calculateur!BL32*Calculateur!BN32*VLOOKUP('Données projet'!$B$11,Paramètres!$A$1:$I$89,3,0)*0.475*44/12</f>
        <v>12.514509387228113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63.985605422334885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56.605529016831348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>
        <f>VLOOKUP(A32,'Données projet'!$A$113:$I$133,2,0)</f>
        <v>293</v>
      </c>
      <c r="BW32" s="12">
        <f>VLOOKUP(A32,'Données projet'!$A$113:$I$133,9,0)</f>
        <v>16</v>
      </c>
      <c r="BX32" s="12">
        <f t="array" ref="BX32">INDEX(BW:BW,MIN(IF(ISNUMBER(BW32:BW228),ROW(BW32:BW228),"")))</f>
        <v>16</v>
      </c>
      <c r="BY32" s="12">
        <f>IF('Données projet'!$A$114&gt;35,BY31+BX32-CG31,IF(A32&lt;'Données projet'!$A$114,$BV$205^A32,IF(A32='Données projet'!$A$114,'Données projet'!$B$114,BY31+BX32-CG31)))</f>
        <v>293</v>
      </c>
      <c r="BZ32" s="13">
        <f>BY32*VLOOKUP('Données projet'!$B$12,Paramètres!$A$1:$I$89,3,0)*VLOOKUP('Données projet'!$B$12,Paramètres!$A$1:$I$89,5,0)</f>
        <v>175.214</v>
      </c>
      <c r="CA32" s="13">
        <f t="shared" si="39"/>
        <v>44.255725061661991</v>
      </c>
      <c r="CB32" s="20">
        <f t="shared" si="10"/>
        <v>382.24310448239459</v>
      </c>
      <c r="CC32" s="59">
        <f t="shared" si="11"/>
        <v>625.24115532188728</v>
      </c>
      <c r="CD32" s="59">
        <f ca="1">AVERAGE(OFFSET($CC$3,0,0,'Données projet'!$E$12+1,1))-AVERAGE(OFFSET($H$3,0,0,'Données projet'!$E$12+1,1))</f>
        <v>189.55118397415424</v>
      </c>
      <c r="CE32" s="59">
        <f t="shared" si="40"/>
        <v>456.28719984856014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27.361740821754335</v>
      </c>
      <c r="CM32" s="21">
        <f>EXP(-LN(2)/2)*CM31+(1-EXP(-LN(2)/2))/(LN(2)/2)*CG32*CJ32*VLOOKUP('Données projet'!$B$12,Paramètres!$A$1:$I$89,3,0)*0.475*44/12</f>
        <v>6.3585878680313637E-2</v>
      </c>
      <c r="CN32" s="22">
        <f t="shared" si="12"/>
        <v>27.425326700434649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56.605529016831348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56.605529016831348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56.605529016831348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56.605529016831348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56.605529016831348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56.605529016831348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4.45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16.316666666666666</v>
      </c>
      <c r="H33" s="66">
        <f t="shared" si="1"/>
        <v>191.4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56.837893142838368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-5.6843418860808015E-14</v>
      </c>
      <c r="O33" s="13">
        <f>N33*VLOOKUP('Données projet'!$B$9,Paramètres!$A$1:$I$89,3,0)*VLOOKUP('Données projet'!$B$9,Paramètres!$A$1:$I$89,5,0)</f>
        <v>-2.5006556825246661E-14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129.89493875503857</v>
      </c>
      <c r="T33" s="59">
        <f t="shared" si="34"/>
        <v>318.19554842399577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53.259949799146781</v>
      </c>
      <c r="AA33" s="21">
        <f>EXP(-LN(2)/25)*AA32+(1-EXP(-LN(2)/25))/(LN(2)/25)*Calculateur!V33*Calculateur!X33*VLOOKUP('Données projet'!$B$9,Paramètres!$A$1:$I$89,3,0)*0.475*44/12</f>
        <v>13.156241910566843</v>
      </c>
      <c r="AB33" s="21">
        <f>EXP(-LN(2)/2)*AB32+(1-EXP(-LN(2)/2))/(LN(2)/2)*V33*Y33*VLOOKUP('Données projet'!$B$9,Paramètres!$A$1:$I$89,3,0)*0.475*44/12</f>
        <v>0</v>
      </c>
      <c r="AC33" s="22">
        <f t="shared" si="3"/>
        <v>66.41619170971363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56.837893142838368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>
        <f>AI33*VLOOKUP('Données projet'!$B$10,Paramètres!$A$1:$I$89,3,0)*VLOOKUP('Données projet'!$B$10,Paramètres!$A$1:$I$89,5,0)</f>
        <v>0</v>
      </c>
      <c r="AK33" s="13" t="e">
        <f t="shared" si="35"/>
        <v>#NUM!</v>
      </c>
      <c r="AL33" s="20" t="e">
        <f t="shared" si="4"/>
        <v>#NUM!</v>
      </c>
      <c r="AM33" s="59" t="e">
        <f t="shared" si="5"/>
        <v>#NUM!</v>
      </c>
      <c r="AN33" s="59">
        <f ca="1">AVERAGE(OFFSET($AM$3,0,0,'Données projet'!$E$10+1,1))-AVERAGE(OFFSET($H$3,0,0,'Données projet'!$E$10+1,1))</f>
        <v>96.263123361643096</v>
      </c>
      <c r="AO33" s="59">
        <f t="shared" si="36"/>
        <v>291.35824366856377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46.65646473635347</v>
      </c>
      <c r="AV33" s="21">
        <f>EXP(-LN(2)/25)*AV32+(1-EXP(-LN(2)/25))/(LN(2)/25)*Calculateur!AQ33*Calculateur!AS33*VLOOKUP('Données projet'!$B$10,Paramètres!$A$1:$I$89,3,0)*0.475*44/12</f>
        <v>11.254388362356805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57.910853098710277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56.837893142838368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>
        <f>BD33*VLOOKUP('Données projet'!$B$11,Paramètres!$A$1:$I$89,3,0)*VLOOKUP('Données projet'!$B$11,Paramètres!$A$1:$I$89,5,0)</f>
        <v>0</v>
      </c>
      <c r="BF33" s="13" t="e">
        <f t="shared" si="37"/>
        <v>#NUM!</v>
      </c>
      <c r="BG33" s="20" t="e">
        <f t="shared" si="7"/>
        <v>#NUM!</v>
      </c>
      <c r="BH33" s="59" t="e">
        <f t="shared" si="8"/>
        <v>#NUM!</v>
      </c>
      <c r="BI33" s="59">
        <f ca="1">AVERAGE(OFFSET($BH$3,0,0,'Données projet'!$E$11+1,1))-AVERAGE(OFFSET($H$3,0,0,'Données projet'!$E$11+1,1))</f>
        <v>103.69736557010637</v>
      </c>
      <c r="BJ33" s="59">
        <f t="shared" si="38"/>
        <v>312.86697521864392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50.461779236126986</v>
      </c>
      <c r="BQ33" s="21">
        <f>EXP(-LN(2)/25)*BQ32+(1-EXP(-LN(2)/25))/(LN(2)/25)*Calculateur!BL33*Calculateur!BN33*VLOOKUP('Données projet'!$B$11,Paramètres!$A$1:$I$89,3,0)*0.475*44/12</f>
        <v>12.172299469924914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62.634078706051902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56.837893142838368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309</v>
      </c>
      <c r="BW33" s="12">
        <f>VLOOKUP(A33,'Données projet'!$A$113:$I$133,9,0)</f>
        <v>16</v>
      </c>
      <c r="BX33" s="12">
        <f t="array" ref="BX33">INDEX(BW:BW,MIN(IF(ISNUMBER(BW33:BW229),ROW(BW33:BW229),"")))</f>
        <v>16</v>
      </c>
      <c r="BY33" s="12">
        <f>IF('Données projet'!$A$114&gt;35,BY32+BX33-CG32,IF(A33&lt;'Données projet'!$A$114,$BV$205^A33,IF(A33='Données projet'!$A$114,'Données projet'!$B$114,BY32+BX33-CG32)))</f>
        <v>309</v>
      </c>
      <c r="BZ33" s="13">
        <f>BY33*VLOOKUP('Données projet'!$B$12,Paramètres!$A$1:$I$89,3,0)*VLOOKUP('Données projet'!$B$12,Paramètres!$A$1:$I$89,5,0)</f>
        <v>184.78200000000004</v>
      </c>
      <c r="CA33" s="13">
        <f t="shared" si="39"/>
        <v>46.384464109944147</v>
      </c>
      <c r="CB33" s="20">
        <f t="shared" si="10"/>
        <v>402.61492499148608</v>
      </c>
      <c r="CC33" s="59">
        <f t="shared" si="11"/>
        <v>647.68719984856011</v>
      </c>
      <c r="CD33" s="59">
        <f ca="1">AVERAGE(OFFSET($CC$3,0,0,'Données projet'!$E$12+1,1))-AVERAGE(OFFSET($H$3,0,0,'Données projet'!$E$12+1,1))</f>
        <v>189.55118397415424</v>
      </c>
      <c r="CE33" s="59">
        <f t="shared" si="40"/>
        <v>456.28719984856014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309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0.45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136.48556937293114</v>
      </c>
      <c r="CM33" s="21">
        <f>EXP(-LN(2)/2)*CM32+(1-EXP(-LN(2)/2))/(LN(2)/2)*CG33*CJ33*VLOOKUP('Données projet'!$B$12,Paramètres!$A$1:$I$89,3,0)*0.475*44/12</f>
        <v>4.4962006002554893E-2</v>
      </c>
      <c r="CN33" s="22">
        <f t="shared" si="12"/>
        <v>136.53053137893369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56.837893142838368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56.837893142838368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56.837893142838368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56.837893142838368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56.837893142838368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56.837893142838368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4.45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16.316666666666666</v>
      </c>
      <c r="H34" s="66">
        <f t="shared" si="1"/>
        <v>191.4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57.066226270747528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-5.6843418860808015E-14</v>
      </c>
      <c r="O34" s="13">
        <f>N34*VLOOKUP('Données projet'!$B$9,Paramètres!$A$1:$I$89,3,0)*VLOOKUP('Données projet'!$B$9,Paramètres!$A$1:$I$89,5,0)</f>
        <v>-2.5006556825246661E-14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129.89493875503857</v>
      </c>
      <c r="T34" s="59">
        <f t="shared" si="34"/>
        <v>318.19554842399577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52.215554668947227</v>
      </c>
      <c r="AA34" s="21">
        <f>EXP(-LN(2)/25)*AA33+(1-EXP(-LN(2)/25))/(LN(2)/25)*Calculateur!V34*Calculateur!X34*VLOOKUP('Données projet'!$B$9,Paramètres!$A$1:$I$89,3,0)*0.475*44/12</f>
        <v>12.7964837836657</v>
      </c>
      <c r="AB34" s="21">
        <f>EXP(-LN(2)/2)*AB33+(1-EXP(-LN(2)/2))/(LN(2)/2)*V34*Y34*VLOOKUP('Données projet'!$B$9,Paramètres!$A$1:$I$89,3,0)*0.475*44/12</f>
        <v>0</v>
      </c>
      <c r="AC34" s="22">
        <f t="shared" si="3"/>
        <v>65.012038452612927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57.066226270747528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>
        <f>AI34*VLOOKUP('Données projet'!$B$10,Paramètres!$A$1:$I$89,3,0)*VLOOKUP('Données projet'!$B$10,Paramètres!$A$1:$I$89,5,0)</f>
        <v>0</v>
      </c>
      <c r="AK34" s="13" t="e">
        <f t="shared" si="35"/>
        <v>#NUM!</v>
      </c>
      <c r="AL34" s="20" t="e">
        <f t="shared" si="4"/>
        <v>#NUM!</v>
      </c>
      <c r="AM34" s="59" t="e">
        <f t="shared" si="5"/>
        <v>#NUM!</v>
      </c>
      <c r="AN34" s="59">
        <f ca="1">AVERAGE(OFFSET($AM$3,0,0,'Données projet'!$E$10+1,1))-AVERAGE(OFFSET($H$3,0,0,'Données projet'!$E$10+1,1))</f>
        <v>96.263123361643096</v>
      </c>
      <c r="AO34" s="59">
        <f t="shared" si="36"/>
        <v>291.35824366856377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45.741559920507108</v>
      </c>
      <c r="AV34" s="21">
        <f>EXP(-LN(2)/25)*AV33+(1-EXP(-LN(2)/25))/(LN(2)/25)*Calculateur!AQ34*Calculateur!AS34*VLOOKUP('Données projet'!$B$10,Paramètres!$A$1:$I$89,3,0)*0.475*44/12</f>
        <v>10.946636520745596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56.6881964412527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57.066226270747528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>
        <f>BD34*VLOOKUP('Données projet'!$B$11,Paramètres!$A$1:$I$89,3,0)*VLOOKUP('Données projet'!$B$11,Paramètres!$A$1:$I$89,5,0)</f>
        <v>0</v>
      </c>
      <c r="BF34" s="13" t="e">
        <f t="shared" si="37"/>
        <v>#NUM!</v>
      </c>
      <c r="BG34" s="20" t="e">
        <f t="shared" si="7"/>
        <v>#NUM!</v>
      </c>
      <c r="BH34" s="59" t="e">
        <f t="shared" si="8"/>
        <v>#NUM!</v>
      </c>
      <c r="BI34" s="59">
        <f ca="1">AVERAGE(OFFSET($BH$3,0,0,'Données projet'!$E$11+1,1))-AVERAGE(OFFSET($H$3,0,0,'Données projet'!$E$11+1,1))</f>
        <v>103.69736557010637</v>
      </c>
      <c r="BJ34" s="59">
        <f t="shared" si="38"/>
        <v>312.86697521864392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49.472254523952728</v>
      </c>
      <c r="BQ34" s="21">
        <f>EXP(-LN(2)/25)*BQ33+(1-EXP(-LN(2)/25))/(LN(2)/25)*Calculateur!BL34*Calculateur!BN34*VLOOKUP('Données projet'!$B$11,Paramètres!$A$1:$I$89,3,0)*0.475*44/12</f>
        <v>11.839447300806409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61.31170182475914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57.066226270747528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>
        <f>BY34*VLOOKUP('Données projet'!$B$12,Paramètres!$A$1:$I$89,3,0)*VLOOKUP('Données projet'!$B$12,Paramètres!$A$1:$I$89,5,0)</f>
        <v>0</v>
      </c>
      <c r="CA34" s="13" t="e">
        <f t="shared" si="39"/>
        <v>#NUM!</v>
      </c>
      <c r="CB34" s="20" t="e">
        <f t="shared" si="10"/>
        <v>#NUM!</v>
      </c>
      <c r="CC34" s="59" t="e">
        <f t="shared" si="11"/>
        <v>#NUM!</v>
      </c>
      <c r="CD34" s="59">
        <f ca="1">AVERAGE(OFFSET($CC$3,0,0,'Données projet'!$E$12+1,1))-AVERAGE(OFFSET($H$3,0,0,'Données projet'!$E$12+1,1))</f>
        <v>189.55118397415424</v>
      </c>
      <c r="CE34" s="59">
        <f t="shared" si="40"/>
        <v>456.28719984856014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132.75336430096419</v>
      </c>
      <c r="CM34" s="21">
        <f>EXP(-LN(2)/2)*CM33+(1-EXP(-LN(2)/2))/(LN(2)/2)*CG34*CJ34*VLOOKUP('Données projet'!$B$12,Paramètres!$A$1:$I$89,3,0)*0.475*44/12</f>
        <v>3.1792939340156819E-2</v>
      </c>
      <c r="CN34" s="22">
        <f t="shared" si="12"/>
        <v>132.78515724030436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57.066226270747528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57.066226270747528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57.066226270747528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57.066226270747528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57.066226270747528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57.066226270747528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4.45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16.316666666666666</v>
      </c>
      <c r="H35" s="66">
        <f t="shared" si="1"/>
        <v>191.4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57.290598329363874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-5.6843418860808015E-14</v>
      </c>
      <c r="O35" s="13">
        <f>N35*VLOOKUP('Données projet'!$B$9,Paramètres!$A$1:$I$89,3,0)*VLOOKUP('Données projet'!$B$9,Paramètres!$A$1:$I$89,5,0)</f>
        <v>-2.5006556825246661E-14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129.89493875503857</v>
      </c>
      <c r="T35" s="59">
        <f t="shared" si="34"/>
        <v>318.19554842399577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51.19163949023276</v>
      </c>
      <c r="AA35" s="21">
        <f>EXP(-LN(2)/25)*AA34+(1-EXP(-LN(2)/25))/(LN(2)/25)*Calculateur!V35*Calculateur!X35*VLOOKUP('Données projet'!$B$9,Paramètres!$A$1:$I$89,3,0)*0.475*44/12</f>
        <v>12.446563261663526</v>
      </c>
      <c r="AB35" s="21">
        <f>EXP(-LN(2)/2)*AB34+(1-EXP(-LN(2)/2))/(LN(2)/2)*V35*Y35*VLOOKUP('Données projet'!$B$9,Paramètres!$A$1:$I$89,3,0)*0.475*44/12</f>
        <v>0</v>
      </c>
      <c r="AC35" s="22">
        <f t="shared" si="3"/>
        <v>63.638202751896287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57.290598329363874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>
        <f>AI35*VLOOKUP('Données projet'!$B$10,Paramètres!$A$1:$I$89,3,0)*VLOOKUP('Données projet'!$B$10,Paramètres!$A$1:$I$89,5,0)</f>
        <v>0</v>
      </c>
      <c r="AK35" s="13" t="e">
        <f t="shared" si="35"/>
        <v>#NUM!</v>
      </c>
      <c r="AL35" s="20" t="e">
        <f t="shared" si="4"/>
        <v>#NUM!</v>
      </c>
      <c r="AM35" s="59" t="e">
        <f t="shared" si="5"/>
        <v>#NUM!</v>
      </c>
      <c r="AN35" s="59">
        <f ca="1">AVERAGE(OFFSET($AM$3,0,0,'Données projet'!$E$10+1,1))-AVERAGE(OFFSET($H$3,0,0,'Données projet'!$E$10+1,1))</f>
        <v>96.263123361643096</v>
      </c>
      <c r="AO35" s="59">
        <f t="shared" si="36"/>
        <v>291.35824366856377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44.844595830062659</v>
      </c>
      <c r="AV35" s="21">
        <f>EXP(-LN(2)/25)*AV34+(1-EXP(-LN(2)/25))/(LN(2)/25)*Calculateur!AQ35*Calculateur!AS35*VLOOKUP('Données projet'!$B$10,Paramètres!$A$1:$I$89,3,0)*0.475*44/12</f>
        <v>10.647300169427211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55.49189599948987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57.290598329363874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>
        <f>BD35*VLOOKUP('Données projet'!$B$11,Paramètres!$A$1:$I$89,3,0)*VLOOKUP('Données projet'!$B$11,Paramètres!$A$1:$I$89,5,0)</f>
        <v>0</v>
      </c>
      <c r="BF35" s="13" t="e">
        <f t="shared" si="37"/>
        <v>#NUM!</v>
      </c>
      <c r="BG35" s="20" t="e">
        <f t="shared" si="7"/>
        <v>#NUM!</v>
      </c>
      <c r="BH35" s="59" t="e">
        <f t="shared" si="8"/>
        <v>#NUM!</v>
      </c>
      <c r="BI35" s="59">
        <f ca="1">AVERAGE(OFFSET($BH$3,0,0,'Données projet'!$E$11+1,1))-AVERAGE(OFFSET($H$3,0,0,'Données projet'!$E$11+1,1))</f>
        <v>103.69736557010637</v>
      </c>
      <c r="BJ35" s="59">
        <f t="shared" si="38"/>
        <v>312.86697521864392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48.502133787833728</v>
      </c>
      <c r="BQ35" s="21">
        <f>EXP(-LN(2)/25)*BQ34+(1-EXP(-LN(2)/25))/(LN(2)/25)*Calculateur!BL35*Calculateur!BN35*VLOOKUP('Données projet'!$B$11,Paramètres!$A$1:$I$89,3,0)*0.475*44/12</f>
        <v>11.515696991756384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60.017830779590113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57.290598329363874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>
        <f>BY35*VLOOKUP('Données projet'!$B$12,Paramètres!$A$1:$I$89,3,0)*VLOOKUP('Données projet'!$B$12,Paramètres!$A$1:$I$89,5,0)</f>
        <v>0</v>
      </c>
      <c r="CA35" s="13" t="e">
        <f t="shared" si="39"/>
        <v>#NUM!</v>
      </c>
      <c r="CB35" s="20" t="e">
        <f t="shared" si="10"/>
        <v>#NUM!</v>
      </c>
      <c r="CC35" s="59" t="e">
        <f t="shared" si="11"/>
        <v>#NUM!</v>
      </c>
      <c r="CD35" s="59">
        <f ca="1">AVERAGE(OFFSET($CC$3,0,0,'Données projet'!$E$12+1,1))-AVERAGE(OFFSET($H$3,0,0,'Données projet'!$E$12+1,1))</f>
        <v>189.55118397415424</v>
      </c>
      <c r="CE35" s="59">
        <f t="shared" si="40"/>
        <v>456.28719984856014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129.12321657295831</v>
      </c>
      <c r="CM35" s="21">
        <f>EXP(-LN(2)/2)*CM34+(1-EXP(-LN(2)/2))/(LN(2)/2)*CG35*CJ35*VLOOKUP('Données projet'!$B$12,Paramètres!$A$1:$I$89,3,0)*0.475*44/12</f>
        <v>2.2481003001277446E-2</v>
      </c>
      <c r="CN35" s="22">
        <f t="shared" si="12"/>
        <v>129.14569757595959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57.290598329363874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57.290598329363874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57.290598329363874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57.290598329363874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57.290598329363874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57.290598329363874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4.45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16.316666666666666</v>
      </c>
      <c r="H36" s="66">
        <f t="shared" si="1"/>
        <v>191.4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57.511078034383992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-5.6843418860808015E-14</v>
      </c>
      <c r="O36" s="13">
        <f>N36*VLOOKUP('Données projet'!$B$9,Paramètres!$A$1:$I$89,3,0)*VLOOKUP('Données projet'!$B$9,Paramètres!$A$1:$I$89,5,0)</f>
        <v>-2.5006556825246661E-14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129.89493875503857</v>
      </c>
      <c r="T36" s="59">
        <f t="shared" si="34"/>
        <v>318.19554842399577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50.187802663646288</v>
      </c>
      <c r="AA36" s="21">
        <f>EXP(-LN(2)/25)*AA35+(1-EXP(-LN(2)/25))/(LN(2)/25)*Calculateur!V36*Calculateur!X36*VLOOKUP('Données projet'!$B$9,Paramètres!$A$1:$I$89,3,0)*0.475*44/12</f>
        <v>12.106211334737022</v>
      </c>
      <c r="AB36" s="21">
        <f>EXP(-LN(2)/2)*AB35+(1-EXP(-LN(2)/2))/(LN(2)/2)*V36*Y36*VLOOKUP('Données projet'!$B$9,Paramètres!$A$1:$I$89,3,0)*0.475*44/12</f>
        <v>0</v>
      </c>
      <c r="AC36" s="22">
        <f t="shared" si="3"/>
        <v>62.294013998383306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57.511078034383992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>
        <f>AI36*VLOOKUP('Données projet'!$B$10,Paramètres!$A$1:$I$89,3,0)*VLOOKUP('Données projet'!$B$10,Paramètres!$A$1:$I$89,5,0)</f>
        <v>0</v>
      </c>
      <c r="AK36" s="13" t="e">
        <f t="shared" si="35"/>
        <v>#NUM!</v>
      </c>
      <c r="AL36" s="20" t="e">
        <f t="shared" si="4"/>
        <v>#NUM!</v>
      </c>
      <c r="AM36" s="59" t="e">
        <f t="shared" si="5"/>
        <v>#NUM!</v>
      </c>
      <c r="AN36" s="59">
        <f ca="1">AVERAGE(OFFSET($AM$3,0,0,'Données projet'!$E$10+1,1))-AVERAGE(OFFSET($H$3,0,0,'Données projet'!$E$10+1,1))</f>
        <v>96.263123361643096</v>
      </c>
      <c r="AO36" s="59">
        <f t="shared" si="36"/>
        <v>291.35824366856377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43.965220658337749</v>
      </c>
      <c r="AV36" s="21">
        <f>EXP(-LN(2)/25)*AV35+(1-EXP(-LN(2)/25))/(LN(2)/25)*Calculateur!AQ36*Calculateur!AS36*VLOOKUP('Données projet'!$B$10,Paramètres!$A$1:$I$89,3,0)*0.475*44/12</f>
        <v>10.356149186377044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54.321369844714795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57.511078034383992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>
        <f>BD36*VLOOKUP('Données projet'!$B$11,Paramètres!$A$1:$I$89,3,0)*VLOOKUP('Données projet'!$B$11,Paramètres!$A$1:$I$89,5,0)</f>
        <v>0</v>
      </c>
      <c r="BF36" s="13" t="e">
        <f t="shared" si="37"/>
        <v>#NUM!</v>
      </c>
      <c r="BG36" s="20" t="e">
        <f t="shared" si="7"/>
        <v>#NUM!</v>
      </c>
      <c r="BH36" s="59" t="e">
        <f t="shared" si="8"/>
        <v>#NUM!</v>
      </c>
      <c r="BI36" s="59">
        <f ca="1">AVERAGE(OFFSET($BH$3,0,0,'Données projet'!$E$11+1,1))-AVERAGE(OFFSET($H$3,0,0,'Données projet'!$E$11+1,1))</f>
        <v>103.69736557010637</v>
      </c>
      <c r="BJ36" s="59">
        <f t="shared" si="38"/>
        <v>312.86697521864392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47.5510365276348</v>
      </c>
      <c r="BQ36" s="21">
        <f>EXP(-LN(2)/25)*BQ35+(1-EXP(-LN(2)/25))/(LN(2)/25)*Calculateur!BL36*Calculateur!BN36*VLOOKUP('Données projet'!$B$11,Paramètres!$A$1:$I$89,3,0)*0.475*44/12</f>
        <v>11.20079965193262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58.75183617956742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57.511078034383992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>
        <f>BY36*VLOOKUP('Données projet'!$B$12,Paramètres!$A$1:$I$89,3,0)*VLOOKUP('Données projet'!$B$12,Paramètres!$A$1:$I$89,5,0)</f>
        <v>0</v>
      </c>
      <c r="CA36" s="13" t="e">
        <f t="shared" si="39"/>
        <v>#NUM!</v>
      </c>
      <c r="CB36" s="20" t="e">
        <f t="shared" si="10"/>
        <v>#NUM!</v>
      </c>
      <c r="CC36" s="59" t="e">
        <f t="shared" si="11"/>
        <v>#NUM!</v>
      </c>
      <c r="CD36" s="59">
        <f ca="1">AVERAGE(OFFSET($CC$3,0,0,'Données projet'!$E$12+1,1))-AVERAGE(OFFSET($H$3,0,0,'Données projet'!$E$12+1,1))</f>
        <v>189.55118397415424</v>
      </c>
      <c r="CE36" s="59">
        <f t="shared" si="40"/>
        <v>456.28719984856014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125.59233542547592</v>
      </c>
      <c r="CM36" s="21">
        <f>EXP(-LN(2)/2)*CM35+(1-EXP(-LN(2)/2))/(LN(2)/2)*CG36*CJ36*VLOOKUP('Données projet'!$B$12,Paramètres!$A$1:$I$89,3,0)*0.475*44/12</f>
        <v>1.5896469670078409E-2</v>
      </c>
      <c r="CN36" s="22">
        <f t="shared" si="12"/>
        <v>125.60823189514601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57.511078034383992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57.511078034383992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57.511078034383992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57.511078034383992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57.511078034383992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57.511078034383992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4.45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16.316666666666666</v>
      </c>
      <c r="H37" s="66">
        <f t="shared" si="1"/>
        <v>191.4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57.727732909440789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-5.6843418860808015E-14</v>
      </c>
      <c r="O37" s="13">
        <f>N37*VLOOKUP('Données projet'!$B$9,Paramètres!$A$1:$I$89,3,0)*VLOOKUP('Données projet'!$B$9,Paramètres!$A$1:$I$89,5,0)</f>
        <v>-2.5006556825246661E-14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129.89493875503857</v>
      </c>
      <c r="T37" s="59">
        <f t="shared" si="34"/>
        <v>318.19554842399577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49.20365046494917</v>
      </c>
      <c r="AA37" s="21">
        <f>EXP(-LN(2)/25)*AA36+(1-EXP(-LN(2)/25))/(LN(2)/25)*Calculateur!V37*Calculateur!X37*VLOOKUP('Données projet'!$B$9,Paramètres!$A$1:$I$89,3,0)*0.475*44/12</f>
        <v>11.775166349150654</v>
      </c>
      <c r="AB37" s="21">
        <f>EXP(-LN(2)/2)*AB36+(1-EXP(-LN(2)/2))/(LN(2)/2)*V37*Y37*VLOOKUP('Données projet'!$B$9,Paramètres!$A$1:$I$89,3,0)*0.475*44/12</f>
        <v>0</v>
      </c>
      <c r="AC37" s="22">
        <f t="shared" si="3"/>
        <v>60.978816814099822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57.727732909440789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>
        <f>AI37*VLOOKUP('Données projet'!$B$10,Paramètres!$A$1:$I$89,3,0)*VLOOKUP('Données projet'!$B$10,Paramètres!$A$1:$I$89,5,0)</f>
        <v>0</v>
      </c>
      <c r="AK37" s="13" t="e">
        <f t="shared" si="35"/>
        <v>#NUM!</v>
      </c>
      <c r="AL37" s="20" t="e">
        <f t="shared" si="4"/>
        <v>#NUM!</v>
      </c>
      <c r="AM37" s="59" t="e">
        <f t="shared" si="5"/>
        <v>#NUM!</v>
      </c>
      <c r="AN37" s="59">
        <f ca="1">AVERAGE(OFFSET($AM$3,0,0,'Données projet'!$E$10+1,1))-AVERAGE(OFFSET($H$3,0,0,'Données projet'!$E$10+1,1))</f>
        <v>96.263123361643096</v>
      </c>
      <c r="AO37" s="59">
        <f t="shared" si="36"/>
        <v>291.35824366856377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43.103089497364472</v>
      </c>
      <c r="AV37" s="21">
        <f>EXP(-LN(2)/25)*AV36+(1-EXP(-LN(2)/25))/(LN(2)/25)*Calculateur!AQ37*Calculateur!AS37*VLOOKUP('Données projet'!$B$10,Paramètres!$A$1:$I$89,3,0)*0.475*44/12</f>
        <v>10.072959742269347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53.176049239633819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57.727732909440789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>
        <f>BD37*VLOOKUP('Données projet'!$B$11,Paramètres!$A$1:$I$89,3,0)*VLOOKUP('Données projet'!$B$11,Paramètres!$A$1:$I$89,5,0)</f>
        <v>0</v>
      </c>
      <c r="BF37" s="13" t="e">
        <f t="shared" si="37"/>
        <v>#NUM!</v>
      </c>
      <c r="BG37" s="20" t="e">
        <f t="shared" si="7"/>
        <v>#NUM!</v>
      </c>
      <c r="BH37" s="59" t="e">
        <f t="shared" si="8"/>
        <v>#NUM!</v>
      </c>
      <c r="BI37" s="59">
        <f ca="1">AVERAGE(OFFSET($BH$3,0,0,'Données projet'!$E$11+1,1))-AVERAGE(OFFSET($H$3,0,0,'Données projet'!$E$11+1,1))</f>
        <v>103.69736557010637</v>
      </c>
      <c r="BJ37" s="59">
        <f t="shared" si="38"/>
        <v>312.86697521864392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46.618589704596332</v>
      </c>
      <c r="BQ37" s="21">
        <f>EXP(-LN(2)/25)*BQ36+(1-EXP(-LN(2)/25))/(LN(2)/25)*Calculateur!BL37*Calculateur!BN37*VLOOKUP('Données projet'!$B$11,Paramètres!$A$1:$I$89,3,0)*0.475*44/12</f>
        <v>10.894513196426068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57.5131029010224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57.727732909440789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>
        <f>BY37*VLOOKUP('Données projet'!$B$12,Paramètres!$A$1:$I$89,3,0)*VLOOKUP('Données projet'!$B$12,Paramètres!$A$1:$I$89,5,0)</f>
        <v>0</v>
      </c>
      <c r="CA37" s="13" t="e">
        <f t="shared" si="39"/>
        <v>#NUM!</v>
      </c>
      <c r="CB37" s="20" t="e">
        <f t="shared" si="10"/>
        <v>#NUM!</v>
      </c>
      <c r="CC37" s="59" t="e">
        <f t="shared" si="11"/>
        <v>#NUM!</v>
      </c>
      <c r="CD37" s="59">
        <f ca="1">AVERAGE(OFFSET($CC$3,0,0,'Données projet'!$E$12+1,1))-AVERAGE(OFFSET($H$3,0,0,'Données projet'!$E$12+1,1))</f>
        <v>189.55118397415424</v>
      </c>
      <c r="CE37" s="59">
        <f t="shared" si="40"/>
        <v>456.28719984856014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122.15800640865241</v>
      </c>
      <c r="CM37" s="21">
        <f>EXP(-LN(2)/2)*CM36+(1-EXP(-LN(2)/2))/(LN(2)/2)*CG37*CJ37*VLOOKUP('Données projet'!$B$12,Paramètres!$A$1:$I$89,3,0)*0.475*44/12</f>
        <v>1.1240501500638723E-2</v>
      </c>
      <c r="CN37" s="22">
        <f t="shared" si="12"/>
        <v>122.16924691015305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57.727732909440789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57.727732909440789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57.727732909440789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57.727732909440789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57.727732909440789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57.727732909440789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4.45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16.316666666666666</v>
      </c>
      <c r="H38" s="66">
        <f t="shared" si="1"/>
        <v>191.4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57.940629306783087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-5.6843418860808015E-14</v>
      </c>
      <c r="O38" s="13">
        <f>N38*VLOOKUP('Données projet'!$B$9,Paramètres!$A$1:$I$89,3,0)*VLOOKUP('Données projet'!$B$9,Paramètres!$A$1:$I$89,5,0)</f>
        <v>-2.5006556825246661E-14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129.89493875503857</v>
      </c>
      <c r="T38" s="59">
        <f t="shared" si="34"/>
        <v>318.19554842399577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48.238796890594934</v>
      </c>
      <c r="AA38" s="21">
        <f>EXP(-LN(2)/25)*AA37+(1-EXP(-LN(2)/25))/(LN(2)/25)*Calculateur!V38*Calculateur!X38*VLOOKUP('Données projet'!$B$9,Paramètres!$A$1:$I$89,3,0)*0.475*44/12</f>
        <v>11.453173806104044</v>
      </c>
      <c r="AB38" s="21">
        <f>EXP(-LN(2)/2)*AB37+(1-EXP(-LN(2)/2))/(LN(2)/2)*V38*Y38*VLOOKUP('Données projet'!$B$9,Paramètres!$A$1:$I$89,3,0)*0.475*44/12</f>
        <v>0</v>
      </c>
      <c r="AC38" s="22">
        <f t="shared" si="3"/>
        <v>59.691970696698974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57.940629306783087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>
        <f>AI38*VLOOKUP('Données projet'!$B$10,Paramètres!$A$1:$I$89,3,0)*VLOOKUP('Données projet'!$B$10,Paramètres!$A$1:$I$89,5,0)</f>
        <v>0</v>
      </c>
      <c r="AK38" s="13" t="e">
        <f t="shared" si="35"/>
        <v>#NUM!</v>
      </c>
      <c r="AL38" s="20" t="e">
        <f t="shared" si="4"/>
        <v>#NUM!</v>
      </c>
      <c r="AM38" s="59" t="e">
        <f t="shared" si="5"/>
        <v>#NUM!</v>
      </c>
      <c r="AN38" s="59">
        <f ca="1">AVERAGE(OFFSET($AM$3,0,0,'Données projet'!$E$10+1,1))-AVERAGE(OFFSET($H$3,0,0,'Données projet'!$E$10+1,1))</f>
        <v>96.263123361643096</v>
      </c>
      <c r="AO38" s="59">
        <f t="shared" si="36"/>
        <v>291.35824366856377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42.257864202609795</v>
      </c>
      <c r="AV38" s="21">
        <f>EXP(-LN(2)/25)*AV37+(1-EXP(-LN(2)/25))/(LN(2)/25)*Calculateur!AQ38*Calculateur!AS38*VLOOKUP('Données projet'!$B$10,Paramètres!$A$1:$I$89,3,0)*0.475*44/12</f>
        <v>9.797514128403062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52.055378331012861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57.940629306783087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>
        <f>BD38*VLOOKUP('Données projet'!$B$11,Paramètres!$A$1:$I$89,3,0)*VLOOKUP('Données projet'!$B$11,Paramètres!$A$1:$I$89,5,0)</f>
        <v>0</v>
      </c>
      <c r="BF38" s="13" t="e">
        <f t="shared" si="37"/>
        <v>#NUM!</v>
      </c>
      <c r="BG38" s="20" t="e">
        <f t="shared" si="7"/>
        <v>#NUM!</v>
      </c>
      <c r="BH38" s="59" t="e">
        <f t="shared" si="8"/>
        <v>#NUM!</v>
      </c>
      <c r="BI38" s="59">
        <f ca="1">AVERAGE(OFFSET($BH$3,0,0,'Données projet'!$E$11+1,1))-AVERAGE(OFFSET($H$3,0,0,'Données projet'!$E$11+1,1))</f>
        <v>103.69736557010637</v>
      </c>
      <c r="BJ38" s="59">
        <f t="shared" si="38"/>
        <v>312.86697521864392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45.704427595021244</v>
      </c>
      <c r="BQ38" s="21">
        <f>EXP(-LN(2)/25)*BQ37+(1-EXP(-LN(2)/25))/(LN(2)/25)*Calculateur!BL38*Calculateur!BN38*VLOOKUP('Données projet'!$B$11,Paramètres!$A$1:$I$89,3,0)*0.475*44/12</f>
        <v>10.596602160152248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56.301029755173488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57.940629306783087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>
        <f>BY38*VLOOKUP('Données projet'!$B$12,Paramètres!$A$1:$I$89,3,0)*VLOOKUP('Données projet'!$B$12,Paramètres!$A$1:$I$89,5,0)</f>
        <v>0</v>
      </c>
      <c r="CA38" s="13" t="e">
        <f t="shared" si="39"/>
        <v>#NUM!</v>
      </c>
      <c r="CB38" s="20" t="e">
        <f t="shared" si="10"/>
        <v>#NUM!</v>
      </c>
      <c r="CC38" s="59" t="e">
        <f t="shared" si="11"/>
        <v>#NUM!</v>
      </c>
      <c r="CD38" s="59">
        <f ca="1">AVERAGE(OFFSET($CC$3,0,0,'Données projet'!$E$12+1,1))-AVERAGE(OFFSET($H$3,0,0,'Données projet'!$E$12+1,1))</f>
        <v>189.55118397415424</v>
      </c>
      <c r="CE38" s="59">
        <f t="shared" si="40"/>
        <v>456.28719984856014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118.81758929939745</v>
      </c>
      <c r="CM38" s="21">
        <f>EXP(-LN(2)/2)*CM37+(1-EXP(-LN(2)/2))/(LN(2)/2)*CG38*CJ38*VLOOKUP('Données projet'!$B$12,Paramètres!$A$1:$I$89,3,0)*0.475*44/12</f>
        <v>7.9482348350392047E-3</v>
      </c>
      <c r="CN38" s="22">
        <f t="shared" si="12"/>
        <v>118.8255375342325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57.940629306783087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57.940629306783087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57.940629306783087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57.940629306783087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57.940629306783087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57.940629306783087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4.45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16.316666666666666</v>
      </c>
      <c r="H39" s="66">
        <f t="shared" si="1"/>
        <v>191.4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58.149832427596543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-5.6843418860808015E-14</v>
      </c>
      <c r="O39" s="13">
        <f>N39*VLOOKUP('Données projet'!$B$9,Paramètres!$A$1:$I$89,3,0)*VLOOKUP('Données projet'!$B$9,Paramètres!$A$1:$I$89,5,0)</f>
        <v>-2.5006556825246661E-14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129.89493875503857</v>
      </c>
      <c r="T39" s="59">
        <f t="shared" si="34"/>
        <v>318.19554842399577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47.292863506331216</v>
      </c>
      <c r="AA39" s="21">
        <f>EXP(-LN(2)/25)*AA38+(1-EXP(-LN(2)/25))/(LN(2)/25)*Calculateur!V39*Calculateur!X39*VLOOKUP('Données projet'!$B$9,Paramètres!$A$1:$I$89,3,0)*0.475*44/12</f>
        <v>11.139986166079895</v>
      </c>
      <c r="AB39" s="21">
        <f>EXP(-LN(2)/2)*AB38+(1-EXP(-LN(2)/2))/(LN(2)/2)*V39*Y39*VLOOKUP('Données projet'!$B$9,Paramètres!$A$1:$I$89,3,0)*0.475*44/12</f>
        <v>0</v>
      </c>
      <c r="AC39" s="22">
        <f t="shared" si="3"/>
        <v>58.432849672411109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58.149832427596543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>
        <f>AI39*VLOOKUP('Données projet'!$B$10,Paramètres!$A$1:$I$89,3,0)*VLOOKUP('Données projet'!$B$10,Paramètres!$A$1:$I$89,5,0)</f>
        <v>0</v>
      </c>
      <c r="AK39" s="13" t="e">
        <f t="shared" si="35"/>
        <v>#NUM!</v>
      </c>
      <c r="AL39" s="20" t="e">
        <f t="shared" si="4"/>
        <v>#NUM!</v>
      </c>
      <c r="AM39" s="59" t="e">
        <f t="shared" si="5"/>
        <v>#NUM!</v>
      </c>
      <c r="AN39" s="59">
        <f ca="1">AVERAGE(OFFSET($AM$3,0,0,'Données projet'!$E$10+1,1))-AVERAGE(OFFSET($H$3,0,0,'Données projet'!$E$10+1,1))</f>
        <v>96.263123361643096</v>
      </c>
      <c r="AO39" s="59">
        <f t="shared" si="36"/>
        <v>291.35824366856377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41.429213260348739</v>
      </c>
      <c r="AV39" s="21">
        <f>EXP(-LN(2)/25)*AV38+(1-EXP(-LN(2)/25))/(LN(2)/25)*Calculateur!AQ39*Calculateur!AS39*VLOOKUP('Données projet'!$B$10,Paramètres!$A$1:$I$89,3,0)*0.475*44/12</f>
        <v>9.529600589333004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50.958813849681746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58.149832427596543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>
        <f>BD39*VLOOKUP('Données projet'!$B$11,Paramètres!$A$1:$I$89,3,0)*VLOOKUP('Données projet'!$B$11,Paramètres!$A$1:$I$89,5,0)</f>
        <v>0</v>
      </c>
      <c r="BF39" s="13" t="e">
        <f t="shared" si="37"/>
        <v>#NUM!</v>
      </c>
      <c r="BG39" s="20" t="e">
        <f t="shared" si="7"/>
        <v>#NUM!</v>
      </c>
      <c r="BH39" s="59" t="e">
        <f t="shared" si="8"/>
        <v>#NUM!</v>
      </c>
      <c r="BI39" s="59">
        <f ca="1">AVERAGE(OFFSET($BH$3,0,0,'Données projet'!$E$11+1,1))-AVERAGE(OFFSET($H$3,0,0,'Données projet'!$E$11+1,1))</f>
        <v>103.69736557010637</v>
      </c>
      <c r="BJ39" s="59">
        <f t="shared" si="38"/>
        <v>312.86697521864392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44.808191646831091</v>
      </c>
      <c r="BQ39" s="21">
        <f>EXP(-LN(2)/25)*BQ38+(1-EXP(-LN(2)/25))/(LN(2)/25)*Calculateur!BL39*Calculateur!BN39*VLOOKUP('Données projet'!$B$11,Paramètres!$A$1:$I$89,3,0)*0.475*44/12</f>
        <v>10.306837516831795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55.115029163662882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58.149832427596543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>
        <f>BY39*VLOOKUP('Données projet'!$B$12,Paramètres!$A$1:$I$89,3,0)*VLOOKUP('Données projet'!$B$12,Paramètres!$A$1:$I$89,5,0)</f>
        <v>0</v>
      </c>
      <c r="CA39" s="13" t="e">
        <f t="shared" si="39"/>
        <v>#NUM!</v>
      </c>
      <c r="CB39" s="20" t="e">
        <f t="shared" si="10"/>
        <v>#NUM!</v>
      </c>
      <c r="CC39" s="59" t="e">
        <f t="shared" si="11"/>
        <v>#NUM!</v>
      </c>
      <c r="CD39" s="59">
        <f ca="1">AVERAGE(OFFSET($CC$3,0,0,'Données projet'!$E$12+1,1))-AVERAGE(OFFSET($H$3,0,0,'Données projet'!$E$12+1,1))</f>
        <v>189.55118397415424</v>
      </c>
      <c r="CE39" s="59">
        <f t="shared" si="40"/>
        <v>456.28719984856014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115.56851607165997</v>
      </c>
      <c r="CM39" s="21">
        <f>EXP(-LN(2)/2)*CM38+(1-EXP(-LN(2)/2))/(LN(2)/2)*CG39*CJ39*VLOOKUP('Données projet'!$B$12,Paramètres!$A$1:$I$89,3,0)*0.475*44/12</f>
        <v>5.6202507503193616E-3</v>
      </c>
      <c r="CN39" s="22">
        <f t="shared" si="12"/>
        <v>115.5741363224103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58.149832427596543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58.149832427596543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58.149832427596543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58.149832427596543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58.149832427596543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58.149832427596543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4.45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16.316666666666666</v>
      </c>
      <c r="H40" s="66">
        <f t="shared" si="1"/>
        <v>191.4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58.355406341971985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-5.6843418860808015E-14</v>
      </c>
      <c r="O40" s="13">
        <f>N40*VLOOKUP('Données projet'!$B$9,Paramètres!$A$1:$I$89,3,0)*VLOOKUP('Données projet'!$B$9,Paramètres!$A$1:$I$89,5,0)</f>
        <v>-2.5006556825246661E-14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129.89493875503857</v>
      </c>
      <c r="T40" s="59">
        <f t="shared" si="34"/>
        <v>318.19554842399577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46.365479298770516</v>
      </c>
      <c r="AA40" s="21">
        <f>EXP(-LN(2)/25)*AA39+(1-EXP(-LN(2)/25))/(LN(2)/25)*Calculateur!V40*Calculateur!X40*VLOOKUP('Données projet'!$B$9,Paramètres!$A$1:$I$89,3,0)*0.475*44/12</f>
        <v>10.835362658542028</v>
      </c>
      <c r="AB40" s="21">
        <f>EXP(-LN(2)/2)*AB39+(1-EXP(-LN(2)/2))/(LN(2)/2)*V40*Y40*VLOOKUP('Données projet'!$B$9,Paramètres!$A$1:$I$89,3,0)*0.475*44/12</f>
        <v>0</v>
      </c>
      <c r="AC40" s="22">
        <f t="shared" si="3"/>
        <v>57.200841957312548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58.355406341971985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>
        <f>AI40*VLOOKUP('Données projet'!$B$10,Paramètres!$A$1:$I$89,3,0)*VLOOKUP('Données projet'!$B$10,Paramètres!$A$1:$I$89,5,0)</f>
        <v>0</v>
      </c>
      <c r="AK40" s="13" t="e">
        <f t="shared" si="35"/>
        <v>#NUM!</v>
      </c>
      <c r="AL40" s="20" t="e">
        <f t="shared" si="4"/>
        <v>#NUM!</v>
      </c>
      <c r="AM40" s="59" t="e">
        <f t="shared" si="5"/>
        <v>#NUM!</v>
      </c>
      <c r="AN40" s="59">
        <f ca="1">AVERAGE(OFFSET($AM$3,0,0,'Données projet'!$E$10+1,1))-AVERAGE(OFFSET($H$3,0,0,'Données projet'!$E$10+1,1))</f>
        <v>96.263123361643096</v>
      </c>
      <c r="AO40" s="59">
        <f t="shared" si="36"/>
        <v>291.35824366856377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40.616811657638252</v>
      </c>
      <c r="AV40" s="21">
        <f>EXP(-LN(2)/25)*AV39+(1-EXP(-LN(2)/25))/(LN(2)/25)*Calculateur!AQ40*Calculateur!AS40*VLOOKUP('Données projet'!$B$10,Paramètres!$A$1:$I$89,3,0)*0.475*44/12</f>
        <v>9.2690131600777779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49.885824817716028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58.355406341971985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>
        <f>BD40*VLOOKUP('Données projet'!$B$11,Paramètres!$A$1:$I$89,3,0)*VLOOKUP('Données projet'!$B$11,Paramètres!$A$1:$I$89,5,0)</f>
        <v>0</v>
      </c>
      <c r="BF40" s="13" t="e">
        <f t="shared" si="37"/>
        <v>#NUM!</v>
      </c>
      <c r="BG40" s="20" t="e">
        <f t="shared" si="7"/>
        <v>#NUM!</v>
      </c>
      <c r="BH40" s="59" t="e">
        <f t="shared" si="8"/>
        <v>#NUM!</v>
      </c>
      <c r="BI40" s="59">
        <f ca="1">AVERAGE(OFFSET($BH$3,0,0,'Données projet'!$E$11+1,1))-AVERAGE(OFFSET($H$3,0,0,'Données projet'!$E$11+1,1))</f>
        <v>103.69736557010637</v>
      </c>
      <c r="BJ40" s="59">
        <f t="shared" si="38"/>
        <v>312.86697521864392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43.929530338934995</v>
      </c>
      <c r="BQ40" s="21">
        <f>EXP(-LN(2)/25)*BQ39+(1-EXP(-LN(2)/25))/(LN(2)/25)*Calculateur!BL40*Calculateur!BN40*VLOOKUP('Données projet'!$B$11,Paramètres!$A$1:$I$89,3,0)*0.475*44/12</f>
        <v>10.024996502921001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53.954526841855994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58.355406341971985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>
        <f>BY40*VLOOKUP('Données projet'!$B$12,Paramètres!$A$1:$I$89,3,0)*VLOOKUP('Données projet'!$B$12,Paramètres!$A$1:$I$89,5,0)</f>
        <v>0</v>
      </c>
      <c r="CA40" s="13" t="e">
        <f t="shared" si="39"/>
        <v>#NUM!</v>
      </c>
      <c r="CB40" s="20" t="e">
        <f t="shared" si="10"/>
        <v>#NUM!</v>
      </c>
      <c r="CC40" s="59" t="e">
        <f t="shared" si="11"/>
        <v>#NUM!</v>
      </c>
      <c r="CD40" s="59">
        <f ca="1">AVERAGE(OFFSET($CC$3,0,0,'Données projet'!$E$12+1,1))-AVERAGE(OFFSET($H$3,0,0,'Données projet'!$E$12+1,1))</f>
        <v>189.55118397415424</v>
      </c>
      <c r="CE40" s="59">
        <f t="shared" si="40"/>
        <v>456.28719984856014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112.40828892219631</v>
      </c>
      <c r="CM40" s="21">
        <f>EXP(-LN(2)/2)*CM39+(1-EXP(-LN(2)/2))/(LN(2)/2)*CG40*CJ40*VLOOKUP('Données projet'!$B$12,Paramètres!$A$1:$I$89,3,0)*0.475*44/12</f>
        <v>3.9741174175196023E-3</v>
      </c>
      <c r="CN40" s="22">
        <f t="shared" si="12"/>
        <v>112.41226303961382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58.355406341971985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58.355406341971985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58.355406341971985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58.355406341971985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58.355406341971985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58.355406341971985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4.45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16.316666666666666</v>
      </c>
      <c r="H41" s="66">
        <f t="shared" si="1"/>
        <v>191.4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58.557414008527445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-5.6843418860808015E-14</v>
      </c>
      <c r="O41" s="13">
        <f>N41*VLOOKUP('Données projet'!$B$9,Paramètres!$A$1:$I$89,3,0)*VLOOKUP('Données projet'!$B$9,Paramètres!$A$1:$I$89,5,0)</f>
        <v>-2.5006556825246661E-14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129.89493875503857</v>
      </c>
      <c r="T41" s="59">
        <f t="shared" si="34"/>
        <v>318.19554842399577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45.456280529871563</v>
      </c>
      <c r="AA41" s="21">
        <f>EXP(-LN(2)/25)*AA40+(1-EXP(-LN(2)/25))/(LN(2)/25)*Calculateur!V41*Calculateur!X41*VLOOKUP('Données projet'!$B$9,Paramètres!$A$1:$I$89,3,0)*0.475*44/12</f>
        <v>10.539069096837238</v>
      </c>
      <c r="AB41" s="21">
        <f>EXP(-LN(2)/2)*AB40+(1-EXP(-LN(2)/2))/(LN(2)/2)*V41*Y41*VLOOKUP('Données projet'!$B$9,Paramètres!$A$1:$I$89,3,0)*0.475*44/12</f>
        <v>0</v>
      </c>
      <c r="AC41" s="22">
        <f t="shared" si="3"/>
        <v>55.995349626708801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58.557414008527445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>
        <f>AI41*VLOOKUP('Données projet'!$B$10,Paramètres!$A$1:$I$89,3,0)*VLOOKUP('Données projet'!$B$10,Paramètres!$A$1:$I$89,5,0)</f>
        <v>0</v>
      </c>
      <c r="AK41" s="13" t="e">
        <f t="shared" si="35"/>
        <v>#NUM!</v>
      </c>
      <c r="AL41" s="20" t="e">
        <f t="shared" si="4"/>
        <v>#NUM!</v>
      </c>
      <c r="AM41" s="59" t="e">
        <f t="shared" si="5"/>
        <v>#NUM!</v>
      </c>
      <c r="AN41" s="59">
        <f ca="1">AVERAGE(OFFSET($AM$3,0,0,'Données projet'!$E$10+1,1))-AVERAGE(OFFSET($H$3,0,0,'Données projet'!$E$10+1,1))</f>
        <v>96.263123361643096</v>
      </c>
      <c r="AO41" s="59">
        <f t="shared" si="36"/>
        <v>291.35824366856377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39.820340754840863</v>
      </c>
      <c r="AV41" s="21">
        <f>EXP(-LN(2)/25)*AV40+(1-EXP(-LN(2)/25))/(LN(2)/25)*Calculateur!AQ41*Calculateur!AS41*VLOOKUP('Données projet'!$B$10,Paramètres!$A$1:$I$89,3,0)*0.475*44/12</f>
        <v>9.0155515077792341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48.835892262620099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58.557414008527445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>
        <f>BD41*VLOOKUP('Données projet'!$B$11,Paramètres!$A$1:$I$89,3,0)*VLOOKUP('Données projet'!$B$11,Paramètres!$A$1:$I$89,5,0)</f>
        <v>0</v>
      </c>
      <c r="BF41" s="13" t="e">
        <f t="shared" si="37"/>
        <v>#NUM!</v>
      </c>
      <c r="BG41" s="20" t="e">
        <f t="shared" si="7"/>
        <v>#NUM!</v>
      </c>
      <c r="BH41" s="59" t="e">
        <f t="shared" si="8"/>
        <v>#NUM!</v>
      </c>
      <c r="BI41" s="59">
        <f ca="1">AVERAGE(OFFSET($BH$3,0,0,'Données projet'!$E$11+1,1))-AVERAGE(OFFSET($H$3,0,0,'Données projet'!$E$11+1,1))</f>
        <v>103.69736557010637</v>
      </c>
      <c r="BJ41" s="59">
        <f t="shared" si="38"/>
        <v>312.86697521864392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43.068099043356263</v>
      </c>
      <c r="BQ41" s="21">
        <f>EXP(-LN(2)/25)*BQ40+(1-EXP(-LN(2)/25))/(LN(2)/25)*Calculateur!BL41*Calculateur!BN41*VLOOKUP('Données projet'!$B$11,Paramètres!$A$1:$I$89,3,0)*0.475*44/12</f>
        <v>9.7508624463569724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52.818961489713232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58.557414008527445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>
        <f>BY41*VLOOKUP('Données projet'!$B$12,Paramètres!$A$1:$I$89,3,0)*VLOOKUP('Données projet'!$B$12,Paramètres!$A$1:$I$89,5,0)</f>
        <v>0</v>
      </c>
      <c r="CA41" s="13" t="e">
        <f t="shared" si="39"/>
        <v>#NUM!</v>
      </c>
      <c r="CB41" s="20" t="e">
        <f t="shared" si="10"/>
        <v>#NUM!</v>
      </c>
      <c r="CC41" s="59" t="e">
        <f t="shared" si="11"/>
        <v>#NUM!</v>
      </c>
      <c r="CD41" s="59">
        <f ca="1">AVERAGE(OFFSET($CC$3,0,0,'Données projet'!$E$12+1,1))-AVERAGE(OFFSET($H$3,0,0,'Données projet'!$E$12+1,1))</f>
        <v>189.55118397415424</v>
      </c>
      <c r="CE41" s="59">
        <f t="shared" si="40"/>
        <v>456.28719984856014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109.33447835032385</v>
      </c>
      <c r="CM41" s="21">
        <f>EXP(-LN(2)/2)*CM40+(1-EXP(-LN(2)/2))/(LN(2)/2)*CG41*CJ41*VLOOKUP('Données projet'!$B$12,Paramètres!$A$1:$I$89,3,0)*0.475*44/12</f>
        <v>2.8101253751596808E-3</v>
      </c>
      <c r="CN41" s="22">
        <f t="shared" si="12"/>
        <v>109.33728847569901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58.557414008527445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58.557414008527445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58.557414008527445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58.557414008527445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58.557414008527445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58.557414008527445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4.45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16.316666666666666</v>
      </c>
      <c r="H42" s="66">
        <f t="shared" si="1"/>
        <v>191.4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58.755917293689649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-5.6843418860808015E-14</v>
      </c>
      <c r="O42" s="13">
        <f>N42*VLOOKUP('Données projet'!$B$9,Paramètres!$A$1:$I$89,3,0)*VLOOKUP('Données projet'!$B$9,Paramètres!$A$1:$I$89,5,0)</f>
        <v>-2.5006556825246661E-14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129.89493875503857</v>
      </c>
      <c r="T42" s="59">
        <f t="shared" si="34"/>
        <v>318.19554842399577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44.564910594274231</v>
      </c>
      <c r="AA42" s="21">
        <f>EXP(-LN(2)/25)*AA41+(1-EXP(-LN(2)/25))/(LN(2)/25)*Calculateur!V42*Calculateur!X42*VLOOKUP('Données projet'!$B$9,Paramètres!$A$1:$I$89,3,0)*0.475*44/12</f>
        <v>10.250877698158668</v>
      </c>
      <c r="AB42" s="21">
        <f>EXP(-LN(2)/2)*AB41+(1-EXP(-LN(2)/2))/(LN(2)/2)*V42*Y42*VLOOKUP('Données projet'!$B$9,Paramètres!$A$1:$I$89,3,0)*0.475*44/12</f>
        <v>0</v>
      </c>
      <c r="AC42" s="22">
        <f t="shared" si="3"/>
        <v>54.815788292432899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58.755917293689649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>
        <f>AI42*VLOOKUP('Données projet'!$B$10,Paramètres!$A$1:$I$89,3,0)*VLOOKUP('Données projet'!$B$10,Paramètres!$A$1:$I$89,5,0)</f>
        <v>0</v>
      </c>
      <c r="AK42" s="13" t="e">
        <f t="shared" si="35"/>
        <v>#NUM!</v>
      </c>
      <c r="AL42" s="20" t="e">
        <f t="shared" si="4"/>
        <v>#NUM!</v>
      </c>
      <c r="AM42" s="59" t="e">
        <f t="shared" si="5"/>
        <v>#NUM!</v>
      </c>
      <c r="AN42" s="59">
        <f ca="1">AVERAGE(OFFSET($AM$3,0,0,'Données projet'!$E$10+1,1))-AVERAGE(OFFSET($H$3,0,0,'Données projet'!$E$10+1,1))</f>
        <v>96.263123361643096</v>
      </c>
      <c r="AO42" s="59">
        <f t="shared" si="36"/>
        <v>291.35824366856377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39.039488160648055</v>
      </c>
      <c r="AV42" s="21">
        <f>EXP(-LN(2)/25)*AV41+(1-EXP(-LN(2)/25))/(LN(2)/25)*Calculateur!AQ42*Calculateur!AS42*VLOOKUP('Données projet'!$B$10,Paramètres!$A$1:$I$89,3,0)*0.475*44/12</f>
        <v>8.7690207776917628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47.80850893833982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58.755917293689649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>
        <f>BD42*VLOOKUP('Données projet'!$B$11,Paramètres!$A$1:$I$89,3,0)*VLOOKUP('Données projet'!$B$11,Paramètres!$A$1:$I$89,5,0)</f>
        <v>0</v>
      </c>
      <c r="BF42" s="13" t="e">
        <f t="shared" si="37"/>
        <v>#NUM!</v>
      </c>
      <c r="BG42" s="20" t="e">
        <f t="shared" si="7"/>
        <v>#NUM!</v>
      </c>
      <c r="BH42" s="59" t="e">
        <f t="shared" si="8"/>
        <v>#NUM!</v>
      </c>
      <c r="BI42" s="59">
        <f ca="1">AVERAGE(OFFSET($BH$3,0,0,'Données projet'!$E$11+1,1))-AVERAGE(OFFSET($H$3,0,0,'Données projet'!$E$11+1,1))</f>
        <v>103.69736557010637</v>
      </c>
      <c r="BJ42" s="59">
        <f t="shared" si="38"/>
        <v>312.86697521864392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42.223559890062617</v>
      </c>
      <c r="BQ42" s="21">
        <f>EXP(-LN(2)/25)*BQ41+(1-EXP(-LN(2)/25))/(LN(2)/25)*Calculateur!BL42*Calculateur!BN42*VLOOKUP('Données projet'!$B$11,Paramètres!$A$1:$I$89,3,0)*0.475*44/12</f>
        <v>9.4842245999857706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51.70778449004839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58.755917293689649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>
        <f>BY42*VLOOKUP('Données projet'!$B$12,Paramètres!$A$1:$I$89,3,0)*VLOOKUP('Données projet'!$B$12,Paramètres!$A$1:$I$89,5,0)</f>
        <v>0</v>
      </c>
      <c r="CA42" s="13" t="e">
        <f t="shared" si="39"/>
        <v>#NUM!</v>
      </c>
      <c r="CB42" s="20" t="e">
        <f t="shared" si="10"/>
        <v>#NUM!</v>
      </c>
      <c r="CC42" s="59" t="e">
        <f t="shared" si="11"/>
        <v>#NUM!</v>
      </c>
      <c r="CD42" s="59">
        <f ca="1">AVERAGE(OFFSET($CC$3,0,0,'Données projet'!$E$12+1,1))-AVERAGE(OFFSET($H$3,0,0,'Données projet'!$E$12+1,1))</f>
        <v>189.55118397415424</v>
      </c>
      <c r="CE42" s="59">
        <f t="shared" si="40"/>
        <v>456.28719984856014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106.34472129018391</v>
      </c>
      <c r="CM42" s="21">
        <f>EXP(-LN(2)/2)*CM41+(1-EXP(-LN(2)/2))/(LN(2)/2)*CG42*CJ42*VLOOKUP('Données projet'!$B$12,Paramètres!$A$1:$I$89,3,0)*0.475*44/12</f>
        <v>1.9870587087598012E-3</v>
      </c>
      <c r="CN42" s="22">
        <f t="shared" si="12"/>
        <v>106.34670834889268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58.755917293689649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58.755917293689649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58.755917293689649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58.755917293689649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58.755917293689649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58.755917293689649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4.45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16.316666666666666</v>
      </c>
      <c r="H43" s="66">
        <f t="shared" si="1"/>
        <v>191.4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58.950976990641145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-5.6843418860808015E-14</v>
      </c>
      <c r="O43" s="13">
        <f>N43*VLOOKUP('Données projet'!$B$9,Paramètres!$A$1:$I$89,3,0)*VLOOKUP('Données projet'!$B$9,Paramètres!$A$1:$I$89,5,0)</f>
        <v>-2.5006556825246661E-14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129.89493875503857</v>
      </c>
      <c r="T43" s="59">
        <f t="shared" si="34"/>
        <v>318.19554842399577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43.691019879431984</v>
      </c>
      <c r="AA43" s="21">
        <f>EXP(-LN(2)/25)*AA42+(1-EXP(-LN(2)/25))/(LN(2)/25)*Calculateur!V43*Calculateur!X43*VLOOKUP('Données projet'!$B$9,Paramètres!$A$1:$I$89,3,0)*0.475*44/12</f>
        <v>9.9705669084322892</v>
      </c>
      <c r="AB43" s="21">
        <f>EXP(-LN(2)/2)*AB42+(1-EXP(-LN(2)/2))/(LN(2)/2)*V43*Y43*VLOOKUP('Données projet'!$B$9,Paramètres!$A$1:$I$89,3,0)*0.475*44/12</f>
        <v>0</v>
      </c>
      <c r="AC43" s="22">
        <f t="shared" si="3"/>
        <v>53.661586787864273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58.950976990641145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>
        <f>AI43*VLOOKUP('Données projet'!$B$10,Paramètres!$A$1:$I$89,3,0)*VLOOKUP('Données projet'!$B$10,Paramètres!$A$1:$I$89,5,0)</f>
        <v>0</v>
      </c>
      <c r="AK43" s="13" t="e">
        <f t="shared" si="35"/>
        <v>#NUM!</v>
      </c>
      <c r="AL43" s="20" t="e">
        <f t="shared" si="4"/>
        <v>#NUM!</v>
      </c>
      <c r="AM43" s="59" t="e">
        <f t="shared" si="5"/>
        <v>#NUM!</v>
      </c>
      <c r="AN43" s="59">
        <f ca="1">AVERAGE(OFFSET($AM$3,0,0,'Données projet'!$E$10+1,1))-AVERAGE(OFFSET($H$3,0,0,'Données projet'!$E$10+1,1))</f>
        <v>96.263123361643096</v>
      </c>
      <c r="AO43" s="59">
        <f t="shared" si="36"/>
        <v>291.35824366856377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38.273947609554313</v>
      </c>
      <c r="AV43" s="21">
        <f>EXP(-LN(2)/25)*AV42+(1-EXP(-LN(2)/25))/(LN(2)/25)*Calculateur!AQ43*Calculateur!AS43*VLOOKUP('Données projet'!$B$10,Paramètres!$A$1:$I$89,3,0)*0.475*44/12</f>
        <v>8.5292314433830203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46.803179052937331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58.950976990641145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>
        <f>BD43*VLOOKUP('Données projet'!$B$11,Paramètres!$A$1:$I$89,3,0)*VLOOKUP('Données projet'!$B$11,Paramètres!$A$1:$I$89,5,0)</f>
        <v>0</v>
      </c>
      <c r="BF43" s="13" t="e">
        <f t="shared" si="37"/>
        <v>#NUM!</v>
      </c>
      <c r="BG43" s="20" t="e">
        <f t="shared" si="7"/>
        <v>#NUM!</v>
      </c>
      <c r="BH43" s="59" t="e">
        <f t="shared" si="8"/>
        <v>#NUM!</v>
      </c>
      <c r="BI43" s="59">
        <f ca="1">AVERAGE(OFFSET($BH$3,0,0,'Données projet'!$E$11+1,1))-AVERAGE(OFFSET($H$3,0,0,'Données projet'!$E$11+1,1))</f>
        <v>103.69736557010637</v>
      </c>
      <c r="BJ43" s="59">
        <f t="shared" si="38"/>
        <v>312.86697521864392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41.395581634447041</v>
      </c>
      <c r="BQ43" s="21">
        <f>EXP(-LN(2)/25)*BQ42+(1-EXP(-LN(2)/25))/(LN(2)/25)*Calculateur!BL43*Calculateur!BN43*VLOOKUP('Données projet'!$B$11,Paramètres!$A$1:$I$89,3,0)*0.475*44/12</f>
        <v>9.2248779795454645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50.620459613992509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58.950976990641145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>
        <f>BY43*VLOOKUP('Données projet'!$B$12,Paramètres!$A$1:$I$89,3,0)*VLOOKUP('Données projet'!$B$12,Paramètres!$A$1:$I$89,5,0)</f>
        <v>0</v>
      </c>
      <c r="CA43" s="13" t="e">
        <f t="shared" si="39"/>
        <v>#NUM!</v>
      </c>
      <c r="CB43" s="20" t="e">
        <f t="shared" si="10"/>
        <v>#NUM!</v>
      </c>
      <c r="CC43" s="59" t="e">
        <f t="shared" si="11"/>
        <v>#NUM!</v>
      </c>
      <c r="CD43" s="59">
        <f ca="1">AVERAGE(OFFSET($CC$3,0,0,'Données projet'!$E$12+1,1))-AVERAGE(OFFSET($H$3,0,0,'Données projet'!$E$12+1,1))</f>
        <v>189.55118397415424</v>
      </c>
      <c r="CE43" s="59">
        <f t="shared" si="40"/>
        <v>456.28719984856014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103.43671929407799</v>
      </c>
      <c r="CM43" s="21">
        <f>EXP(-LN(2)/2)*CM42+(1-EXP(-LN(2)/2))/(LN(2)/2)*CG43*CJ43*VLOOKUP('Données projet'!$B$12,Paramètres!$A$1:$I$89,3,0)*0.475*44/12</f>
        <v>1.4050626875798404E-3</v>
      </c>
      <c r="CN43" s="22">
        <f t="shared" si="12"/>
        <v>103.43812435676557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58.950976990641145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58.950976990641145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58.950976990641145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58.950976990641145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58.950976990641145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58.950976990641145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4.45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16.316666666666666</v>
      </c>
      <c r="H44" s="66">
        <f t="shared" si="1"/>
        <v>191.4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59.142652837938684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-5.6843418860808015E-14</v>
      </c>
      <c r="O44" s="13">
        <f>N44*VLOOKUP('Données projet'!$B$9,Paramètres!$A$1:$I$89,3,0)*VLOOKUP('Données projet'!$B$9,Paramètres!$A$1:$I$89,5,0)</f>
        <v>-2.5006556825246661E-14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129.89493875503857</v>
      </c>
      <c r="T44" s="59">
        <f t="shared" si="34"/>
        <v>318.19554842399577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42.834265628487088</v>
      </c>
      <c r="AA44" s="21">
        <f>EXP(-LN(2)/25)*AA43+(1-EXP(-LN(2)/25))/(LN(2)/25)*Calculateur!V44*Calculateur!X44*VLOOKUP('Données projet'!$B$9,Paramètres!$A$1:$I$89,3,0)*0.475*44/12</f>
        <v>9.6979212319918826</v>
      </c>
      <c r="AB44" s="21">
        <f>EXP(-LN(2)/2)*AB43+(1-EXP(-LN(2)/2))/(LN(2)/2)*V44*Y44*VLOOKUP('Données projet'!$B$9,Paramètres!$A$1:$I$89,3,0)*0.475*44/12</f>
        <v>0</v>
      </c>
      <c r="AC44" s="22">
        <f t="shared" si="3"/>
        <v>52.532186860478973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59.142652837938684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>
        <f>AI44*VLOOKUP('Données projet'!$B$10,Paramètres!$A$1:$I$89,3,0)*VLOOKUP('Données projet'!$B$10,Paramètres!$A$1:$I$89,5,0)</f>
        <v>0</v>
      </c>
      <c r="AK44" s="13" t="e">
        <f t="shared" si="35"/>
        <v>#NUM!</v>
      </c>
      <c r="AL44" s="20" t="e">
        <f t="shared" si="4"/>
        <v>#NUM!</v>
      </c>
      <c r="AM44" s="59" t="e">
        <f t="shared" si="5"/>
        <v>#NUM!</v>
      </c>
      <c r="AN44" s="59">
        <f ca="1">AVERAGE(OFFSET($AM$3,0,0,'Données projet'!$E$10+1,1))-AVERAGE(OFFSET($H$3,0,0,'Données projet'!$E$10+1,1))</f>
        <v>96.263123361643096</v>
      </c>
      <c r="AO44" s="59">
        <f t="shared" si="36"/>
        <v>291.35824366856377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37.523418841733886</v>
      </c>
      <c r="AV44" s="21">
        <f>EXP(-LN(2)/25)*AV43+(1-EXP(-LN(2)/25))/(LN(2)/25)*Calculateur!AQ44*Calculateur!AS44*VLOOKUP('Données projet'!$B$10,Paramètres!$A$1:$I$89,3,0)*0.475*44/12</f>
        <v>8.2959991610309238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45.819418002764806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59.142652837938684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>
        <f>BD44*VLOOKUP('Données projet'!$B$11,Paramètres!$A$1:$I$89,3,0)*VLOOKUP('Données projet'!$B$11,Paramètres!$A$1:$I$89,5,0)</f>
        <v>0</v>
      </c>
      <c r="BF44" s="13" t="e">
        <f t="shared" si="37"/>
        <v>#NUM!</v>
      </c>
      <c r="BG44" s="20" t="e">
        <f t="shared" si="7"/>
        <v>#NUM!</v>
      </c>
      <c r="BH44" s="59" t="e">
        <f t="shared" si="8"/>
        <v>#NUM!</v>
      </c>
      <c r="BI44" s="59">
        <f ca="1">AVERAGE(OFFSET($BH$3,0,0,'Données projet'!$E$11+1,1))-AVERAGE(OFFSET($H$3,0,0,'Données projet'!$E$11+1,1))</f>
        <v>103.69736557010637</v>
      </c>
      <c r="BJ44" s="59">
        <f t="shared" si="38"/>
        <v>312.86697521864392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40.583839527407221</v>
      </c>
      <c r="BQ44" s="21">
        <f>EXP(-LN(2)/25)*BQ43+(1-EXP(-LN(2)/25))/(LN(2)/25)*Calculateur!BL44*Calculateur!BN44*VLOOKUP('Données projet'!$B$11,Paramètres!$A$1:$I$89,3,0)*0.475*44/12</f>
        <v>8.972623206079545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49.556462733486768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59.142652837938684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>
        <f>BY44*VLOOKUP('Données projet'!$B$12,Paramètres!$A$1:$I$89,3,0)*VLOOKUP('Données projet'!$B$12,Paramètres!$A$1:$I$89,5,0)</f>
        <v>0</v>
      </c>
      <c r="CA44" s="13" t="e">
        <f t="shared" si="39"/>
        <v>#NUM!</v>
      </c>
      <c r="CB44" s="20" t="e">
        <f t="shared" si="10"/>
        <v>#NUM!</v>
      </c>
      <c r="CC44" s="59" t="e">
        <f t="shared" si="11"/>
        <v>#NUM!</v>
      </c>
      <c r="CD44" s="59">
        <f ca="1">AVERAGE(OFFSET($CC$3,0,0,'Données projet'!$E$12+1,1))-AVERAGE(OFFSET($H$3,0,0,'Données projet'!$E$12+1,1))</f>
        <v>189.55118397415424</v>
      </c>
      <c r="CE44" s="59">
        <f t="shared" si="40"/>
        <v>456.28719984856014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100.60823676548077</v>
      </c>
      <c r="CM44" s="21">
        <f>EXP(-LN(2)/2)*CM43+(1-EXP(-LN(2)/2))/(LN(2)/2)*CG44*CJ44*VLOOKUP('Données projet'!$B$12,Paramètres!$A$1:$I$89,3,0)*0.475*44/12</f>
        <v>9.9352935437990058E-4</v>
      </c>
      <c r="CN44" s="22">
        <f t="shared" si="12"/>
        <v>100.60923029483514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59.142652837938684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59.142652837938684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59.142652837938684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59.142652837938684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59.142652837938684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59.142652837938684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4.45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16.316666666666666</v>
      </c>
      <c r="H45" s="66">
        <f t="shared" si="1"/>
        <v>191.4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59.331003537808613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-5.6843418860808015E-14</v>
      </c>
      <c r="O45" s="13">
        <f>N45*VLOOKUP('Données projet'!$B$9,Paramètres!$A$1:$I$89,3,0)*VLOOKUP('Données projet'!$B$9,Paramètres!$A$1:$I$89,5,0)</f>
        <v>-2.5006556825246661E-14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129.89493875503857</v>
      </c>
      <c r="T45" s="59">
        <f t="shared" si="34"/>
        <v>318.19554842399577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41.994311805834727</v>
      </c>
      <c r="AA45" s="21">
        <f>EXP(-LN(2)/25)*AA44+(1-EXP(-LN(2)/25))/(LN(2)/25)*Calculateur!V45*Calculateur!X45*VLOOKUP('Données projet'!$B$9,Paramètres!$A$1:$I$89,3,0)*0.475*44/12</f>
        <v>9.4327310659115522</v>
      </c>
      <c r="AB45" s="21">
        <f>EXP(-LN(2)/2)*AB44+(1-EXP(-LN(2)/2))/(LN(2)/2)*V45*Y45*VLOOKUP('Données projet'!$B$9,Paramètres!$A$1:$I$89,3,0)*0.475*44/12</f>
        <v>0</v>
      </c>
      <c r="AC45" s="22">
        <f t="shared" si="3"/>
        <v>51.427042871746281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59.331003537808613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>
        <f>AI45*VLOOKUP('Données projet'!$B$10,Paramètres!$A$1:$I$89,3,0)*VLOOKUP('Données projet'!$B$10,Paramètres!$A$1:$I$89,5,0)</f>
        <v>0</v>
      </c>
      <c r="AK45" s="13" t="e">
        <f t="shared" si="35"/>
        <v>#NUM!</v>
      </c>
      <c r="AL45" s="20" t="e">
        <f t="shared" si="4"/>
        <v>#NUM!</v>
      </c>
      <c r="AM45" s="59" t="e">
        <f t="shared" si="5"/>
        <v>#NUM!</v>
      </c>
      <c r="AN45" s="59">
        <f ca="1">AVERAGE(OFFSET($AM$3,0,0,'Données projet'!$E$10+1,1))-AVERAGE(OFFSET($H$3,0,0,'Données projet'!$E$10+1,1))</f>
        <v>96.263123361643096</v>
      </c>
      <c r="AO45" s="59">
        <f t="shared" si="36"/>
        <v>291.35824366856377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36.787607485273071</v>
      </c>
      <c r="AV45" s="21">
        <f>EXP(-LN(2)/25)*AV44+(1-EXP(-LN(2)/25))/(LN(2)/25)*Calculateur!AQ45*Calculateur!AS45*VLOOKUP('Données projet'!$B$10,Paramètres!$A$1:$I$89,3,0)*0.475*44/12</f>
        <v>8.0691446277048975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44.856752112977972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59.331003537808613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>
        <f>BD45*VLOOKUP('Données projet'!$B$11,Paramètres!$A$1:$I$89,3,0)*VLOOKUP('Données projet'!$B$11,Paramètres!$A$1:$I$89,5,0)</f>
        <v>0</v>
      </c>
      <c r="BF45" s="13" t="e">
        <f t="shared" si="37"/>
        <v>#NUM!</v>
      </c>
      <c r="BG45" s="20" t="e">
        <f t="shared" si="7"/>
        <v>#NUM!</v>
      </c>
      <c r="BH45" s="59" t="e">
        <f t="shared" si="8"/>
        <v>#NUM!</v>
      </c>
      <c r="BI45" s="59">
        <f ca="1">AVERAGE(OFFSET($BH$3,0,0,'Données projet'!$E$11+1,1))-AVERAGE(OFFSET($H$3,0,0,'Données projet'!$E$11+1,1))</f>
        <v>103.69736557010637</v>
      </c>
      <c r="BJ45" s="59">
        <f t="shared" si="38"/>
        <v>312.86697521864392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39.788015187972654</v>
      </c>
      <c r="BQ45" s="21">
        <f>EXP(-LN(2)/25)*BQ44+(1-EXP(-LN(2)/25))/(LN(2)/25)*Calculateur!BL45*Calculateur!BN45*VLOOKUP('Données projet'!$B$11,Paramètres!$A$1:$I$89,3,0)*0.475*44/12</f>
        <v>8.7272663526595533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48.515281540632209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59.331003537808613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>
        <f>BY45*VLOOKUP('Données projet'!$B$12,Paramètres!$A$1:$I$89,3,0)*VLOOKUP('Données projet'!$B$12,Paramètres!$A$1:$I$89,5,0)</f>
        <v>0</v>
      </c>
      <c r="CA45" s="13" t="e">
        <f t="shared" si="39"/>
        <v>#NUM!</v>
      </c>
      <c r="CB45" s="20" t="e">
        <f t="shared" si="10"/>
        <v>#NUM!</v>
      </c>
      <c r="CC45" s="59" t="e">
        <f t="shared" si="11"/>
        <v>#NUM!</v>
      </c>
      <c r="CD45" s="59">
        <f ca="1">AVERAGE(OFFSET($CC$3,0,0,'Données projet'!$E$12+1,1))-AVERAGE(OFFSET($H$3,0,0,'Données projet'!$E$12+1,1))</f>
        <v>189.55118397415424</v>
      </c>
      <c r="CE45" s="59">
        <f t="shared" si="40"/>
        <v>456.28719984856014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97.857099240371468</v>
      </c>
      <c r="CM45" s="21">
        <f>EXP(-LN(2)/2)*CM44+(1-EXP(-LN(2)/2))/(LN(2)/2)*CG45*CJ45*VLOOKUP('Données projet'!$B$12,Paramètres!$A$1:$I$89,3,0)*0.475*44/12</f>
        <v>7.025313437899202E-4</v>
      </c>
      <c r="CN45" s="22">
        <f t="shared" si="12"/>
        <v>97.857801771715259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59.331003537808613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59.331003537808613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59.331003537808613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59.331003537808613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59.331003537808613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59.331003537808613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4.45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16.316666666666666</v>
      </c>
      <c r="H46" s="66">
        <f t="shared" si="1"/>
        <v>191.4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59.516086774124872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-5.6843418860808015E-14</v>
      </c>
      <c r="O46" s="13">
        <f>N46*VLOOKUP('Données projet'!$B$9,Paramètres!$A$1:$I$89,3,0)*VLOOKUP('Données projet'!$B$9,Paramètres!$A$1:$I$89,5,0)</f>
        <v>-2.5006556825246661E-14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129.89493875503857</v>
      </c>
      <c r="T46" s="59">
        <f t="shared" si="34"/>
        <v>318.19554842399577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41.170828965323338</v>
      </c>
      <c r="AA46" s="21">
        <f>EXP(-LN(2)/25)*AA45+(1-EXP(-LN(2)/25))/(LN(2)/25)*Calculateur!V46*Calculateur!X46*VLOOKUP('Données projet'!$B$9,Paramètres!$A$1:$I$89,3,0)*0.475*44/12</f>
        <v>9.1747925388684326</v>
      </c>
      <c r="AB46" s="21">
        <f>EXP(-LN(2)/2)*AB45+(1-EXP(-LN(2)/2))/(LN(2)/2)*V46*Y46*VLOOKUP('Données projet'!$B$9,Paramètres!$A$1:$I$89,3,0)*0.475*44/12</f>
        <v>0</v>
      </c>
      <c r="AC46" s="22">
        <f t="shared" si="3"/>
        <v>50.345621504191769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59.516086774124872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>
        <f>AI46*VLOOKUP('Données projet'!$B$10,Paramètres!$A$1:$I$89,3,0)*VLOOKUP('Données projet'!$B$10,Paramètres!$A$1:$I$89,5,0)</f>
        <v>0</v>
      </c>
      <c r="AK46" s="13" t="e">
        <f t="shared" si="35"/>
        <v>#NUM!</v>
      </c>
      <c r="AL46" s="20" t="e">
        <f t="shared" si="4"/>
        <v>#NUM!</v>
      </c>
      <c r="AM46" s="59" t="e">
        <f t="shared" si="5"/>
        <v>#NUM!</v>
      </c>
      <c r="AN46" s="59">
        <f ca="1">AVERAGE(OFFSET($AM$3,0,0,'Données projet'!$E$10+1,1))-AVERAGE(OFFSET($H$3,0,0,'Données projet'!$E$10+1,1))</f>
        <v>96.263123361643096</v>
      </c>
      <c r="AO46" s="59">
        <f t="shared" si="36"/>
        <v>291.35824366856377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36.066224940711841</v>
      </c>
      <c r="AV46" s="21">
        <f>EXP(-LN(2)/25)*AV45+(1-EXP(-LN(2)/25))/(LN(2)/25)*Calculateur!AQ46*Calculateur!AS46*VLOOKUP('Données projet'!$B$10,Paramètres!$A$1:$I$89,3,0)*0.475*44/12</f>
        <v>7.8484934435224334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43.914718384234277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59.516086774124872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>
        <f>BD46*VLOOKUP('Données projet'!$B$11,Paramètres!$A$1:$I$89,3,0)*VLOOKUP('Données projet'!$B$11,Paramètres!$A$1:$I$89,5,0)</f>
        <v>0</v>
      </c>
      <c r="BF46" s="13" t="e">
        <f t="shared" si="37"/>
        <v>#NUM!</v>
      </c>
      <c r="BG46" s="20" t="e">
        <f t="shared" si="7"/>
        <v>#NUM!</v>
      </c>
      <c r="BH46" s="59" t="e">
        <f t="shared" si="8"/>
        <v>#NUM!</v>
      </c>
      <c r="BI46" s="59">
        <f ca="1">AVERAGE(OFFSET($BH$3,0,0,'Données projet'!$E$11+1,1))-AVERAGE(OFFSET($H$3,0,0,'Données projet'!$E$11+1,1))</f>
        <v>103.69736557010637</v>
      </c>
      <c r="BJ46" s="59">
        <f t="shared" si="38"/>
        <v>312.86697521864392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39.007796478429483</v>
      </c>
      <c r="BQ46" s="21">
        <f>EXP(-LN(2)/25)*BQ45+(1-EXP(-LN(2)/25))/(LN(2)/25)*Calculateur!BL46*Calculateur!BN46*VLOOKUP('Données projet'!$B$11,Paramètres!$A$1:$I$89,3,0)*0.475*44/12</f>
        <v>8.4886187952990859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47.496415273728573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59.516086774124872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>
        <f>BY46*VLOOKUP('Données projet'!$B$12,Paramètres!$A$1:$I$89,3,0)*VLOOKUP('Données projet'!$B$12,Paramètres!$A$1:$I$89,5,0)</f>
        <v>0</v>
      </c>
      <c r="CA46" s="13" t="e">
        <f t="shared" si="39"/>
        <v>#NUM!</v>
      </c>
      <c r="CB46" s="20" t="e">
        <f t="shared" si="10"/>
        <v>#NUM!</v>
      </c>
      <c r="CC46" s="59" t="e">
        <f t="shared" si="11"/>
        <v>#NUM!</v>
      </c>
      <c r="CD46" s="59">
        <f ca="1">AVERAGE(OFFSET($CC$3,0,0,'Données projet'!$E$12+1,1))-AVERAGE(OFFSET($H$3,0,0,'Données projet'!$E$12+1,1))</f>
        <v>189.55118397415424</v>
      </c>
      <c r="CE46" s="59">
        <f t="shared" si="40"/>
        <v>456.28719984856014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95.181191715562321</v>
      </c>
      <c r="CM46" s="21">
        <f>EXP(-LN(2)/2)*CM45+(1-EXP(-LN(2)/2))/(LN(2)/2)*CG46*CJ46*VLOOKUP('Données projet'!$B$12,Paramètres!$A$1:$I$89,3,0)*0.475*44/12</f>
        <v>4.9676467718995029E-4</v>
      </c>
      <c r="CN46" s="22">
        <f t="shared" si="12"/>
        <v>95.181688480239515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59.516086774124872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59.516086774124872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59.516086774124872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59.516086774124872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59.516086774124872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59.516086774124872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4.45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16.316666666666666</v>
      </c>
      <c r="H47" s="66">
        <f t="shared" si="1"/>
        <v>191.4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59.697959230075178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-5.6843418860808015E-14</v>
      </c>
      <c r="O47" s="13">
        <f>N47*VLOOKUP('Données projet'!$B$9,Paramètres!$A$1:$I$89,3,0)*VLOOKUP('Données projet'!$B$9,Paramètres!$A$1:$I$89,5,0)</f>
        <v>-2.5006556825246661E-14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129.89493875503857</v>
      </c>
      <c r="T47" s="59">
        <f t="shared" si="34"/>
        <v>318.19554842399577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40.363494121039437</v>
      </c>
      <c r="AA47" s="21">
        <f>EXP(-LN(2)/25)*AA46+(1-EXP(-LN(2)/25))/(LN(2)/25)*Calculateur!V47*Calculateur!X47*VLOOKUP('Données projet'!$B$9,Paramètres!$A$1:$I$89,3,0)*0.475*44/12</f>
        <v>8.9239073544117051</v>
      </c>
      <c r="AB47" s="21">
        <f>EXP(-LN(2)/2)*AB46+(1-EXP(-LN(2)/2))/(LN(2)/2)*V47*Y47*VLOOKUP('Données projet'!$B$9,Paramètres!$A$1:$I$89,3,0)*0.475*44/12</f>
        <v>0</v>
      </c>
      <c r="AC47" s="22">
        <f t="shared" si="3"/>
        <v>49.287401475451141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59.697959230075178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>
        <f>AI47*VLOOKUP('Données projet'!$B$10,Paramètres!$A$1:$I$89,3,0)*VLOOKUP('Données projet'!$B$10,Paramètres!$A$1:$I$89,5,0)</f>
        <v>0</v>
      </c>
      <c r="AK47" s="13" t="e">
        <f t="shared" si="35"/>
        <v>#NUM!</v>
      </c>
      <c r="AL47" s="20" t="e">
        <f t="shared" si="4"/>
        <v>#NUM!</v>
      </c>
      <c r="AM47" s="59" t="e">
        <f t="shared" si="5"/>
        <v>#NUM!</v>
      </c>
      <c r="AN47" s="59">
        <f ca="1">AVERAGE(OFFSET($AM$3,0,0,'Données projet'!$E$10+1,1))-AVERAGE(OFFSET($H$3,0,0,'Données projet'!$E$10+1,1))</f>
        <v>96.263123361643096</v>
      </c>
      <c r="AO47" s="59">
        <f t="shared" si="36"/>
        <v>291.35824366856377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35.358988267849554</v>
      </c>
      <c r="AV47" s="21">
        <f>EXP(-LN(2)/25)*AV46+(1-EXP(-LN(2)/25))/(LN(2)/25)*Calculateur!AQ47*Calculateur!AS47*VLOOKUP('Données projet'!$B$10,Paramètres!$A$1:$I$89,3,0)*0.475*44/12</f>
        <v>7.6338759775749798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42.992864245424535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59.697959230075178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>
        <f>BD47*VLOOKUP('Données projet'!$B$11,Paramètres!$A$1:$I$89,3,0)*VLOOKUP('Données projet'!$B$11,Paramètres!$A$1:$I$89,5,0)</f>
        <v>0</v>
      </c>
      <c r="BF47" s="13" t="e">
        <f t="shared" si="37"/>
        <v>#NUM!</v>
      </c>
      <c r="BG47" s="20" t="e">
        <f t="shared" si="7"/>
        <v>#NUM!</v>
      </c>
      <c r="BH47" s="59" t="e">
        <f t="shared" si="8"/>
        <v>#NUM!</v>
      </c>
      <c r="BI47" s="59">
        <f ca="1">AVERAGE(OFFSET($BH$3,0,0,'Données projet'!$E$11+1,1))-AVERAGE(OFFSET($H$3,0,0,'Données projet'!$E$11+1,1))</f>
        <v>103.69736557010637</v>
      </c>
      <c r="BJ47" s="59">
        <f t="shared" si="38"/>
        <v>312.86697521864392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38.242877381894026</v>
      </c>
      <c r="BQ47" s="21">
        <f>EXP(-LN(2)/25)*BQ46+(1-EXP(-LN(2)/25))/(LN(2)/25)*Calculateur!BL47*Calculateur!BN47*VLOOKUP('Données projet'!$B$11,Paramètres!$A$1:$I$89,3,0)*0.475*44/12</f>
        <v>8.2564970679445704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46.499374449838598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59.697959230075178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>
        <f>BY47*VLOOKUP('Données projet'!$B$12,Paramètres!$A$1:$I$89,3,0)*VLOOKUP('Données projet'!$B$12,Paramètres!$A$1:$I$89,5,0)</f>
        <v>0</v>
      </c>
      <c r="CA47" s="13" t="e">
        <f t="shared" si="39"/>
        <v>#NUM!</v>
      </c>
      <c r="CB47" s="20" t="e">
        <f t="shared" si="10"/>
        <v>#NUM!</v>
      </c>
      <c r="CC47" s="59" t="e">
        <f t="shared" si="11"/>
        <v>#NUM!</v>
      </c>
      <c r="CD47" s="59">
        <f ca="1">AVERAGE(OFFSET($CC$3,0,0,'Données projet'!$E$12+1,1))-AVERAGE(OFFSET($H$3,0,0,'Données projet'!$E$12+1,1))</f>
        <v>189.55118397415424</v>
      </c>
      <c r="CE47" s="59">
        <f t="shared" si="40"/>
        <v>456.28719984856014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92.578457022738931</v>
      </c>
      <c r="CM47" s="21">
        <f>EXP(-LN(2)/2)*CM46+(1-EXP(-LN(2)/2))/(LN(2)/2)*CG47*CJ47*VLOOKUP('Données projet'!$B$12,Paramètres!$A$1:$I$89,3,0)*0.475*44/12</f>
        <v>3.512656718949601E-4</v>
      </c>
      <c r="CN47" s="22">
        <f t="shared" si="12"/>
        <v>92.578808288410826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59.697959230075178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59.697959230075178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59.697959230075178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59.697959230075178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59.697959230075178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59.697959230075178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4.45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16.316666666666666</v>
      </c>
      <c r="H48" s="66">
        <f t="shared" si="1"/>
        <v>191.4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59.876676605520643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-5.6843418860808015E-14</v>
      </c>
      <c r="O48" s="13">
        <f>N48*VLOOKUP('Données projet'!$B$9,Paramètres!$A$1:$I$89,3,0)*VLOOKUP('Données projet'!$B$9,Paramètres!$A$1:$I$89,5,0)</f>
        <v>-2.5006556825246661E-14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129.89493875503857</v>
      </c>
      <c r="T48" s="59">
        <f t="shared" si="34"/>
        <v>318.19554842399577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39.571990620626316</v>
      </c>
      <c r="AA48" s="21">
        <f>EXP(-LN(2)/25)*AA47+(1-EXP(-LN(2)/25))/(LN(2)/25)*Calculateur!V48*Calculateur!X48*VLOOKUP('Données projet'!$B$9,Paramètres!$A$1:$I$89,3,0)*0.475*44/12</f>
        <v>8.6798826385174248</v>
      </c>
      <c r="AB48" s="21">
        <f>EXP(-LN(2)/2)*AB47+(1-EXP(-LN(2)/2))/(LN(2)/2)*V48*Y48*VLOOKUP('Données projet'!$B$9,Paramètres!$A$1:$I$89,3,0)*0.475*44/12</f>
        <v>0</v>
      </c>
      <c r="AC48" s="22">
        <f t="shared" si="3"/>
        <v>48.251873259143743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59.876676605520643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>
        <f>AI48*VLOOKUP('Données projet'!$B$10,Paramètres!$A$1:$I$89,3,0)*VLOOKUP('Données projet'!$B$10,Paramètres!$A$1:$I$89,5,0)</f>
        <v>0</v>
      </c>
      <c r="AK48" s="13" t="e">
        <f t="shared" si="35"/>
        <v>#NUM!</v>
      </c>
      <c r="AL48" s="20" t="e">
        <f t="shared" si="4"/>
        <v>#NUM!</v>
      </c>
      <c r="AM48" s="59" t="e">
        <f t="shared" si="5"/>
        <v>#NUM!</v>
      </c>
      <c r="AN48" s="59">
        <f ca="1">AVERAGE(OFFSET($AM$3,0,0,'Données projet'!$E$10+1,1))-AVERAGE(OFFSET($H$3,0,0,'Données projet'!$E$10+1,1))</f>
        <v>96.263123361643096</v>
      </c>
      <c r="AO48" s="59">
        <f t="shared" si="36"/>
        <v>291.35824366856377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34.665620074770317</v>
      </c>
      <c r="AV48" s="21">
        <f>EXP(-LN(2)/25)*AV47+(1-EXP(-LN(2)/25))/(LN(2)/25)*Calculateur!AQ48*Calculateur!AS48*VLOOKUP('Données projet'!$B$10,Paramètres!$A$1:$I$89,3,0)*0.475*44/12</f>
        <v>7.4251272375201021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42.090747312290418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59.876676605520643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>
        <f>BD48*VLOOKUP('Données projet'!$B$11,Paramètres!$A$1:$I$89,3,0)*VLOOKUP('Données projet'!$B$11,Paramètres!$A$1:$I$89,5,0)</f>
        <v>0</v>
      </c>
      <c r="BF48" s="13" t="e">
        <f t="shared" si="37"/>
        <v>#NUM!</v>
      </c>
      <c r="BG48" s="20" t="e">
        <f t="shared" si="7"/>
        <v>#NUM!</v>
      </c>
      <c r="BH48" s="59" t="e">
        <f t="shared" si="8"/>
        <v>#NUM!</v>
      </c>
      <c r="BI48" s="59">
        <f ca="1">AVERAGE(OFFSET($BH$3,0,0,'Données projet'!$E$11+1,1))-AVERAGE(OFFSET($H$3,0,0,'Données projet'!$E$11+1,1))</f>
        <v>103.69736557010637</v>
      </c>
      <c r="BJ48" s="59">
        <f t="shared" si="38"/>
        <v>312.86697521864392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37.492957882287051</v>
      </c>
      <c r="BQ48" s="21">
        <f>EXP(-LN(2)/25)*BQ47+(1-EXP(-LN(2)/25))/(LN(2)/25)*Calculateur!BL48*Calculateur!BN48*VLOOKUP('Données projet'!$B$11,Paramètres!$A$1:$I$89,3,0)*0.475*44/12</f>
        <v>8.0307227214313155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45.523680603718368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59.876676605520643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>
        <f>BY48*VLOOKUP('Données projet'!$B$12,Paramètres!$A$1:$I$89,3,0)*VLOOKUP('Données projet'!$B$12,Paramètres!$A$1:$I$89,5,0)</f>
        <v>0</v>
      </c>
      <c r="CA48" s="13" t="e">
        <f t="shared" si="39"/>
        <v>#NUM!</v>
      </c>
      <c r="CB48" s="20" t="e">
        <f t="shared" si="10"/>
        <v>#NUM!</v>
      </c>
      <c r="CC48" s="59" t="e">
        <f t="shared" si="11"/>
        <v>#NUM!</v>
      </c>
      <c r="CD48" s="59">
        <f ca="1">AVERAGE(OFFSET($CC$3,0,0,'Données projet'!$E$12+1,1))-AVERAGE(OFFSET($H$3,0,0,'Données projet'!$E$12+1,1))</f>
        <v>189.55118397415424</v>
      </c>
      <c r="CE48" s="59">
        <f t="shared" si="40"/>
        <v>456.28719984856014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90.046894246962665</v>
      </c>
      <c r="CM48" s="21">
        <f>EXP(-LN(2)/2)*CM47+(1-EXP(-LN(2)/2))/(LN(2)/2)*CG48*CJ48*VLOOKUP('Données projet'!$B$12,Paramètres!$A$1:$I$89,3,0)*0.475*44/12</f>
        <v>2.4838233859497515E-4</v>
      </c>
      <c r="CN48" s="22">
        <f t="shared" si="12"/>
        <v>90.047142629301263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59.876676605520643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59.876676605520643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59.876676605520643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59.876676605520643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59.876676605520643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59.876676605520643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4.45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16.316666666666666</v>
      </c>
      <c r="H49" s="66">
        <f t="shared" si="1"/>
        <v>191.4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60.052293634054323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-5.6843418860808015E-14</v>
      </c>
      <c r="O49" s="13">
        <f>N49*VLOOKUP('Données projet'!$B$9,Paramètres!$A$1:$I$89,3,0)*VLOOKUP('Données projet'!$B$9,Paramètres!$A$1:$I$89,5,0)</f>
        <v>-2.5006556825246661E-14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129.89493875503857</v>
      </c>
      <c r="T49" s="59">
        <f t="shared" si="34"/>
        <v>318.19554842399577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38.796008021086827</v>
      </c>
      <c r="AA49" s="21">
        <f>EXP(-LN(2)/25)*AA48+(1-EXP(-LN(2)/25))/(LN(2)/25)*Calculateur!V49*Calculateur!X49*VLOOKUP('Données projet'!$B$9,Paramètres!$A$1:$I$89,3,0)*0.475*44/12</f>
        <v>8.4425307913119756</v>
      </c>
      <c r="AB49" s="21">
        <f>EXP(-LN(2)/2)*AB48+(1-EXP(-LN(2)/2))/(LN(2)/2)*V49*Y49*VLOOKUP('Données projet'!$B$9,Paramètres!$A$1:$I$89,3,0)*0.475*44/12</f>
        <v>0</v>
      </c>
      <c r="AC49" s="22">
        <f t="shared" si="3"/>
        <v>47.238538812398801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60.052293634054323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>
        <f>AI49*VLOOKUP('Données projet'!$B$10,Paramètres!$A$1:$I$89,3,0)*VLOOKUP('Données projet'!$B$10,Paramètres!$A$1:$I$89,5,0)</f>
        <v>0</v>
      </c>
      <c r="AK49" s="13" t="e">
        <f t="shared" si="35"/>
        <v>#NUM!</v>
      </c>
      <c r="AL49" s="20" t="e">
        <f t="shared" si="4"/>
        <v>#NUM!</v>
      </c>
      <c r="AM49" s="59" t="e">
        <f t="shared" si="5"/>
        <v>#NUM!</v>
      </c>
      <c r="AN49" s="59">
        <f ca="1">AVERAGE(OFFSET($AM$3,0,0,'Données projet'!$E$10+1,1))-AVERAGE(OFFSET($H$3,0,0,'Données projet'!$E$10+1,1))</f>
        <v>96.263123361643096</v>
      </c>
      <c r="AO49" s="59">
        <f t="shared" si="36"/>
        <v>291.35824366856377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33.985848409044529</v>
      </c>
      <c r="AV49" s="21">
        <f>EXP(-LN(2)/25)*AV48+(1-EXP(-LN(2)/25))/(LN(2)/25)*Calculateur!AQ49*Calculateur!AS49*VLOOKUP('Données projet'!$B$10,Paramètres!$A$1:$I$89,3,0)*0.475*44/12</f>
        <v>7.222086742739644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41.20793515178417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60.052293634054323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>
        <f>BD49*VLOOKUP('Données projet'!$B$11,Paramètres!$A$1:$I$89,3,0)*VLOOKUP('Données projet'!$B$11,Paramètres!$A$1:$I$89,5,0)</f>
        <v>0</v>
      </c>
      <c r="BF49" s="13" t="e">
        <f t="shared" si="37"/>
        <v>#NUM!</v>
      </c>
      <c r="BG49" s="20" t="e">
        <f t="shared" si="7"/>
        <v>#NUM!</v>
      </c>
      <c r="BH49" s="59" t="e">
        <f t="shared" si="8"/>
        <v>#NUM!</v>
      </c>
      <c r="BI49" s="59">
        <f ca="1">AVERAGE(OFFSET($BH$3,0,0,'Données projet'!$E$11+1,1))-AVERAGE(OFFSET($H$3,0,0,'Données projet'!$E$11+1,1))</f>
        <v>103.69736557010637</v>
      </c>
      <c r="BJ49" s="59">
        <f t="shared" si="38"/>
        <v>312.86697521864392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36.75774384666164</v>
      </c>
      <c r="BQ49" s="21">
        <f>EXP(-LN(2)/25)*BQ48+(1-EXP(-LN(2)/25))/(LN(2)/25)*Calculateur!BL49*Calculateur!BN49*VLOOKUP('Données projet'!$B$11,Paramètres!$A$1:$I$89,3,0)*0.475*44/12</f>
        <v>7.8111221862964229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44.568866032958063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60.052293634054323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>
        <f>BY49*VLOOKUP('Données projet'!$B$12,Paramètres!$A$1:$I$89,3,0)*VLOOKUP('Données projet'!$B$12,Paramètres!$A$1:$I$89,5,0)</f>
        <v>0</v>
      </c>
      <c r="CA49" s="13" t="e">
        <f t="shared" si="39"/>
        <v>#NUM!</v>
      </c>
      <c r="CB49" s="20" t="e">
        <f t="shared" si="10"/>
        <v>#NUM!</v>
      </c>
      <c r="CC49" s="59" t="e">
        <f t="shared" si="11"/>
        <v>#NUM!</v>
      </c>
      <c r="CD49" s="59">
        <f ca="1">AVERAGE(OFFSET($CC$3,0,0,'Données projet'!$E$12+1,1))-AVERAGE(OFFSET($H$3,0,0,'Données projet'!$E$12+1,1))</f>
        <v>189.55118397415424</v>
      </c>
      <c r="CE49" s="59">
        <f t="shared" si="40"/>
        <v>456.28719984856014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87.584557188419112</v>
      </c>
      <c r="CM49" s="21">
        <f>EXP(-LN(2)/2)*CM48+(1-EXP(-LN(2)/2))/(LN(2)/2)*CG49*CJ49*VLOOKUP('Données projet'!$B$12,Paramètres!$A$1:$I$89,3,0)*0.475*44/12</f>
        <v>1.7563283594748005E-4</v>
      </c>
      <c r="CN49" s="22">
        <f t="shared" si="12"/>
        <v>87.584732821255059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60.052293634054323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60.052293634054323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60.052293634054323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60.052293634054323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60.052293634054323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60.052293634054323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4.45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16.316666666666666</v>
      </c>
      <c r="H50" s="66">
        <f t="shared" si="1"/>
        <v>191.4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60.224864099763799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-5.6843418860808015E-14</v>
      </c>
      <c r="O50" s="13">
        <f>N50*VLOOKUP('Données projet'!$B$9,Paramètres!$A$1:$I$89,3,0)*VLOOKUP('Données projet'!$B$9,Paramètres!$A$1:$I$89,5,0)</f>
        <v>-2.5006556825246661E-14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129.89493875503857</v>
      </c>
      <c r="T50" s="59">
        <f t="shared" si="34"/>
        <v>318.19554842399577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38.035241967021655</v>
      </c>
      <c r="AA50" s="21">
        <f>EXP(-LN(2)/25)*AA49+(1-EXP(-LN(2)/25))/(LN(2)/25)*Calculateur!V50*Calculateur!X50*VLOOKUP('Données projet'!$B$9,Paramètres!$A$1:$I$89,3,0)*0.475*44/12</f>
        <v>8.2116693428501506</v>
      </c>
      <c r="AB50" s="21">
        <f>EXP(-LN(2)/2)*AB49+(1-EXP(-LN(2)/2))/(LN(2)/2)*V50*Y50*VLOOKUP('Données projet'!$B$9,Paramètres!$A$1:$I$89,3,0)*0.475*44/12</f>
        <v>0</v>
      </c>
      <c r="AC50" s="22">
        <f t="shared" si="3"/>
        <v>46.246911309871805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60.224864099763799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>
        <f>AI50*VLOOKUP('Données projet'!$B$10,Paramètres!$A$1:$I$89,3,0)*VLOOKUP('Données projet'!$B$10,Paramètres!$A$1:$I$89,5,0)</f>
        <v>0</v>
      </c>
      <c r="AK50" s="13" t="e">
        <f t="shared" si="35"/>
        <v>#NUM!</v>
      </c>
      <c r="AL50" s="20" t="e">
        <f t="shared" si="4"/>
        <v>#NUM!</v>
      </c>
      <c r="AM50" s="59" t="e">
        <f t="shared" si="5"/>
        <v>#NUM!</v>
      </c>
      <c r="AN50" s="59">
        <f ca="1">AVERAGE(OFFSET($AM$3,0,0,'Données projet'!$E$10+1,1))-AVERAGE(OFFSET($H$3,0,0,'Données projet'!$E$10+1,1))</f>
        <v>96.263123361643096</v>
      </c>
      <c r="AO50" s="59">
        <f t="shared" si="36"/>
        <v>291.35824366856377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33.319406651063844</v>
      </c>
      <c r="AV50" s="21">
        <f>EXP(-LN(2)/25)*AV49+(1-EXP(-LN(2)/25))/(LN(2)/25)*Calculateur!AQ50*Calculateur!AS50*VLOOKUP('Données projet'!$B$10,Paramètres!$A$1:$I$89,3,0)*0.475*44/12</f>
        <v>7.0245984009663927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40.344005052030234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60.224864099763799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>
        <f>BD50*VLOOKUP('Données projet'!$B$11,Paramètres!$A$1:$I$89,3,0)*VLOOKUP('Données projet'!$B$11,Paramètres!$A$1:$I$89,5,0)</f>
        <v>0</v>
      </c>
      <c r="BF50" s="13" t="e">
        <f t="shared" si="37"/>
        <v>#NUM!</v>
      </c>
      <c r="BG50" s="20" t="e">
        <f t="shared" si="7"/>
        <v>#NUM!</v>
      </c>
      <c r="BH50" s="59" t="e">
        <f t="shared" si="8"/>
        <v>#NUM!</v>
      </c>
      <c r="BI50" s="59">
        <f ca="1">AVERAGE(OFFSET($BH$3,0,0,'Données projet'!$E$11+1,1))-AVERAGE(OFFSET($H$3,0,0,'Données projet'!$E$11+1,1))</f>
        <v>103.69736557010637</v>
      </c>
      <c r="BJ50" s="59">
        <f t="shared" si="38"/>
        <v>312.86697521864392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36.036946909838562</v>
      </c>
      <c r="BQ50" s="21">
        <f>EXP(-LN(2)/25)*BQ49+(1-EXP(-LN(2)/25))/(LN(2)/25)*Calculateur!BL50*Calculateur!BN50*VLOOKUP('Données projet'!$B$11,Paramètres!$A$1:$I$89,3,0)*0.475*44/12</f>
        <v>7.5975266393430836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43.634473549181649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60.224864099763799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>
        <f>BY50*VLOOKUP('Données projet'!$B$12,Paramètres!$A$1:$I$89,3,0)*VLOOKUP('Données projet'!$B$12,Paramètres!$A$1:$I$89,5,0)</f>
        <v>0</v>
      </c>
      <c r="CA50" s="13" t="e">
        <f t="shared" si="39"/>
        <v>#NUM!</v>
      </c>
      <c r="CB50" s="20" t="e">
        <f t="shared" si="10"/>
        <v>#NUM!</v>
      </c>
      <c r="CC50" s="59" t="e">
        <f t="shared" si="11"/>
        <v>#NUM!</v>
      </c>
      <c r="CD50" s="59">
        <f ca="1">AVERAGE(OFFSET($CC$3,0,0,'Données projet'!$E$12+1,1))-AVERAGE(OFFSET($H$3,0,0,'Données projet'!$E$12+1,1))</f>
        <v>189.55118397415424</v>
      </c>
      <c r="CE50" s="59">
        <f t="shared" si="40"/>
        <v>456.28719984856014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85.189552866230102</v>
      </c>
      <c r="CM50" s="21">
        <f>EXP(-LN(2)/2)*CM49+(1-EXP(-LN(2)/2))/(LN(2)/2)*CG50*CJ50*VLOOKUP('Données projet'!$B$12,Paramètres!$A$1:$I$89,3,0)*0.475*44/12</f>
        <v>1.2419116929748757E-4</v>
      </c>
      <c r="CN50" s="22">
        <f t="shared" si="12"/>
        <v>85.189677057399393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60.224864099763799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60.224864099763799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60.224864099763799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60.224864099763799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60.224864099763799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60.224864099763799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4.45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16.316666666666666</v>
      </c>
      <c r="H51" s="66">
        <f t="shared" si="1"/>
        <v>191.4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60.394440853702982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-5.6843418860808015E-14</v>
      </c>
      <c r="O51" s="13">
        <f>N51*VLOOKUP('Données projet'!$B$9,Paramètres!$A$1:$I$89,3,0)*VLOOKUP('Données projet'!$B$9,Paramètres!$A$1:$I$89,5,0)</f>
        <v>-2.5006556825246661E-14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129.89493875503857</v>
      </c>
      <c r="T51" s="59">
        <f t="shared" si="34"/>
        <v>318.19554842399577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37.289394071255231</v>
      </c>
      <c r="AA51" s="21">
        <f>EXP(-LN(2)/25)*AA50+(1-EXP(-LN(2)/25))/(LN(2)/25)*Calculateur!V51*Calculateur!X51*VLOOKUP('Données projet'!$B$9,Paramètres!$A$1:$I$89,3,0)*0.475*44/12</f>
        <v>7.9871208128369906</v>
      </c>
      <c r="AB51" s="21">
        <f>EXP(-LN(2)/2)*AB50+(1-EXP(-LN(2)/2))/(LN(2)/2)*V51*Y51*VLOOKUP('Données projet'!$B$9,Paramètres!$A$1:$I$89,3,0)*0.475*44/12</f>
        <v>0</v>
      </c>
      <c r="AC51" s="22">
        <f t="shared" si="3"/>
        <v>45.276514884092222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60.394440853702982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>
        <f>AI51*VLOOKUP('Données projet'!$B$10,Paramètres!$A$1:$I$89,3,0)*VLOOKUP('Données projet'!$B$10,Paramètres!$A$1:$I$89,5,0)</f>
        <v>0</v>
      </c>
      <c r="AK51" s="13" t="e">
        <f t="shared" si="35"/>
        <v>#NUM!</v>
      </c>
      <c r="AL51" s="20" t="e">
        <f t="shared" si="4"/>
        <v>#NUM!</v>
      </c>
      <c r="AM51" s="59" t="e">
        <f t="shared" si="5"/>
        <v>#NUM!</v>
      </c>
      <c r="AN51" s="59">
        <f ca="1">AVERAGE(OFFSET($AM$3,0,0,'Données projet'!$E$10+1,1))-AVERAGE(OFFSET($H$3,0,0,'Données projet'!$E$10+1,1))</f>
        <v>96.263123361643096</v>
      </c>
      <c r="AO51" s="59">
        <f t="shared" si="36"/>
        <v>291.35824366856377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32.666033409467829</v>
      </c>
      <c r="AV51" s="21">
        <f>EXP(-LN(2)/25)*AV50+(1-EXP(-LN(2)/25))/(LN(2)/25)*Calculateur!AQ51*Calculateur!AS51*VLOOKUP('Données projet'!$B$10,Paramètres!$A$1:$I$89,3,0)*0.475*44/12</f>
        <v>6.8325103882843914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39.49854379775222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60.394440853702982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>
        <f>BD51*VLOOKUP('Données projet'!$B$11,Paramètres!$A$1:$I$89,3,0)*VLOOKUP('Données projet'!$B$11,Paramètres!$A$1:$I$89,5,0)</f>
        <v>0</v>
      </c>
      <c r="BF51" s="13" t="e">
        <f t="shared" si="37"/>
        <v>#NUM!</v>
      </c>
      <c r="BG51" s="20" t="e">
        <f t="shared" si="7"/>
        <v>#NUM!</v>
      </c>
      <c r="BH51" s="59" t="e">
        <f t="shared" si="8"/>
        <v>#NUM!</v>
      </c>
      <c r="BI51" s="59">
        <f ca="1">AVERAGE(OFFSET($BH$3,0,0,'Données projet'!$E$11+1,1))-AVERAGE(OFFSET($H$3,0,0,'Données projet'!$E$11+1,1))</f>
        <v>103.69736557010637</v>
      </c>
      <c r="BJ51" s="59">
        <f t="shared" si="38"/>
        <v>312.86697521864392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35.33028436130386</v>
      </c>
      <c r="BQ51" s="21">
        <f>EXP(-LN(2)/25)*BQ50+(1-EXP(-LN(2)/25))/(LN(2)/25)*Calculateur!BL51*Calculateur!BN51*VLOOKUP('Données projet'!$B$11,Paramètres!$A$1:$I$89,3,0)*0.475*44/12</f>
        <v>7.3897718738536851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42.720056235157543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60.394440853702982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>
        <f>BY51*VLOOKUP('Données projet'!$B$12,Paramètres!$A$1:$I$89,3,0)*VLOOKUP('Données projet'!$B$12,Paramètres!$A$1:$I$89,5,0)</f>
        <v>0</v>
      </c>
      <c r="CA51" s="13" t="e">
        <f t="shared" si="39"/>
        <v>#NUM!</v>
      </c>
      <c r="CB51" s="20" t="e">
        <f t="shared" si="10"/>
        <v>#NUM!</v>
      </c>
      <c r="CC51" s="59" t="e">
        <f t="shared" si="11"/>
        <v>#NUM!</v>
      </c>
      <c r="CD51" s="59">
        <f ca="1">AVERAGE(OFFSET($CC$3,0,0,'Données projet'!$E$12+1,1))-AVERAGE(OFFSET($H$3,0,0,'Données projet'!$E$12+1,1))</f>
        <v>189.55118397415424</v>
      </c>
      <c r="CE51" s="59">
        <f t="shared" si="40"/>
        <v>456.28719984856014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82.860040063179156</v>
      </c>
      <c r="CM51" s="21">
        <f>EXP(-LN(2)/2)*CM50+(1-EXP(-LN(2)/2))/(LN(2)/2)*CG51*CJ51*VLOOKUP('Données projet'!$B$12,Paramètres!$A$1:$I$89,3,0)*0.475*44/12</f>
        <v>8.7816417973740025E-5</v>
      </c>
      <c r="CN51" s="22">
        <f t="shared" si="12"/>
        <v>82.86012787959713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60.394440853702982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60.394440853702982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60.394440853702982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60.394440853702982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60.394440853702982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60.394440853702982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4.45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16.316666666666666</v>
      </c>
      <c r="H52" s="66">
        <f t="shared" si="1"/>
        <v>191.4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60.561075830078138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-5.6843418860808015E-14</v>
      </c>
      <c r="O52" s="13">
        <f>N52*VLOOKUP('Données projet'!$B$9,Paramètres!$A$1:$I$89,3,0)*VLOOKUP('Données projet'!$B$9,Paramètres!$A$1:$I$89,5,0)</f>
        <v>-2.5006556825246661E-14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129.89493875503857</v>
      </c>
      <c r="T52" s="59">
        <f t="shared" si="34"/>
        <v>318.19554842399577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36.558171797802487</v>
      </c>
      <c r="AA52" s="21">
        <f>EXP(-LN(2)/25)*AA51+(1-EXP(-LN(2)/25))/(LN(2)/25)*Calculateur!V52*Calculateur!X52*VLOOKUP('Données projet'!$B$9,Paramètres!$A$1:$I$89,3,0)*0.475*44/12</f>
        <v>7.7687125741855345</v>
      </c>
      <c r="AB52" s="21">
        <f>EXP(-LN(2)/2)*AB51+(1-EXP(-LN(2)/2))/(LN(2)/2)*V52*Y52*VLOOKUP('Données projet'!$B$9,Paramètres!$A$1:$I$89,3,0)*0.475*44/12</f>
        <v>0</v>
      </c>
      <c r="AC52" s="22">
        <f t="shared" si="3"/>
        <v>44.326884371988022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60.561075830078138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>
        <f>AI52*VLOOKUP('Données projet'!$B$10,Paramètres!$A$1:$I$89,3,0)*VLOOKUP('Données projet'!$B$10,Paramètres!$A$1:$I$89,5,0)</f>
        <v>0</v>
      </c>
      <c r="AK52" s="13" t="e">
        <f t="shared" si="35"/>
        <v>#NUM!</v>
      </c>
      <c r="AL52" s="20" t="e">
        <f t="shared" si="4"/>
        <v>#NUM!</v>
      </c>
      <c r="AM52" s="59" t="e">
        <f t="shared" si="5"/>
        <v>#NUM!</v>
      </c>
      <c r="AN52" s="59">
        <f ca="1">AVERAGE(OFFSET($AM$3,0,0,'Données projet'!$E$10+1,1))-AVERAGE(OFFSET($H$3,0,0,'Données projet'!$E$10+1,1))</f>
        <v>96.263123361643096</v>
      </c>
      <c r="AO52" s="59">
        <f t="shared" si="36"/>
        <v>291.35824366856377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32.025472418621185</v>
      </c>
      <c r="AV52" s="21">
        <f>EXP(-LN(2)/25)*AV51+(1-EXP(-LN(2)/25))/(LN(2)/25)*Calculateur!AQ52*Calculateur!AS52*VLOOKUP('Données projet'!$B$10,Paramètres!$A$1:$I$89,3,0)*0.475*44/12</f>
        <v>6.6456750324106491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38.671147451031835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60.561075830078138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>
        <f>BD52*VLOOKUP('Données projet'!$B$11,Paramètres!$A$1:$I$89,3,0)*VLOOKUP('Données projet'!$B$11,Paramètres!$A$1:$I$89,5,0)</f>
        <v>0</v>
      </c>
      <c r="BF52" s="13" t="e">
        <f t="shared" si="37"/>
        <v>#NUM!</v>
      </c>
      <c r="BG52" s="20" t="e">
        <f t="shared" si="7"/>
        <v>#NUM!</v>
      </c>
      <c r="BH52" s="59" t="e">
        <f t="shared" si="8"/>
        <v>#NUM!</v>
      </c>
      <c r="BI52" s="59">
        <f ca="1">AVERAGE(OFFSET($BH$3,0,0,'Données projet'!$E$11+1,1))-AVERAGE(OFFSET($H$3,0,0,'Données projet'!$E$11+1,1))</f>
        <v>103.69736557010637</v>
      </c>
      <c r="BJ52" s="59">
        <f t="shared" si="38"/>
        <v>312.86697521864392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34.637479034324329</v>
      </c>
      <c r="BQ52" s="21">
        <f>EXP(-LN(2)/25)*BQ51+(1-EXP(-LN(2)/25))/(LN(2)/25)*Calculateur!BL52*Calculateur!BN52*VLOOKUP('Données projet'!$B$11,Paramètres!$A$1:$I$89,3,0)*0.475*44/12</f>
        <v>7.1876981733519427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41.825177207676269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60.561075830078138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>
        <f>BY52*VLOOKUP('Données projet'!$B$12,Paramètres!$A$1:$I$89,3,0)*VLOOKUP('Données projet'!$B$12,Paramètres!$A$1:$I$89,5,0)</f>
        <v>0</v>
      </c>
      <c r="CA52" s="13" t="e">
        <f t="shared" si="39"/>
        <v>#NUM!</v>
      </c>
      <c r="CB52" s="20" t="e">
        <f t="shared" si="10"/>
        <v>#NUM!</v>
      </c>
      <c r="CC52" s="59" t="e">
        <f t="shared" si="11"/>
        <v>#NUM!</v>
      </c>
      <c r="CD52" s="59">
        <f ca="1">AVERAGE(OFFSET($CC$3,0,0,'Données projet'!$E$12+1,1))-AVERAGE(OFFSET($H$3,0,0,'Données projet'!$E$12+1,1))</f>
        <v>189.55118397415424</v>
      </c>
      <c r="CE52" s="59">
        <f t="shared" si="40"/>
        <v>456.28719984856014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80.594227910231396</v>
      </c>
      <c r="CM52" s="21">
        <f>EXP(-LN(2)/2)*CM51+(1-EXP(-LN(2)/2))/(LN(2)/2)*CG52*CJ52*VLOOKUP('Données projet'!$B$12,Paramètres!$A$1:$I$89,3,0)*0.475*44/12</f>
        <v>6.2095584648743786E-5</v>
      </c>
      <c r="CN52" s="22">
        <f t="shared" si="12"/>
        <v>80.594290005816049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60.561075830078138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60.561075830078138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60.561075830078138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60.561075830078138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60.561075830078138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60.561075830078138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4.45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16.316666666666666</v>
      </c>
      <c r="H53" s="66">
        <f t="shared" si="1"/>
        <v>191.4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60.724820062153199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-5.6843418860808015E-14</v>
      </c>
      <c r="O53" s="13">
        <f>N53*VLOOKUP('Données projet'!$B$9,Paramètres!$A$1:$I$89,3,0)*VLOOKUP('Données projet'!$B$9,Paramètres!$A$1:$I$89,5,0)</f>
        <v>-2.5006556825246661E-14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129.89493875503857</v>
      </c>
      <c r="T53" s="59">
        <f t="shared" si="34"/>
        <v>318.19554842399577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35.841288347130607</v>
      </c>
      <c r="AA53" s="21">
        <f>EXP(-LN(2)/25)*AA52+(1-EXP(-LN(2)/25))/(LN(2)/25)*Calculateur!V53*Calculateur!X53*VLOOKUP('Données projet'!$B$9,Paramètres!$A$1:$I$89,3,0)*0.475*44/12</f>
        <v>7.5562767203055925</v>
      </c>
      <c r="AB53" s="21">
        <f>EXP(-LN(2)/2)*AB52+(1-EXP(-LN(2)/2))/(LN(2)/2)*V53*Y53*VLOOKUP('Données projet'!$B$9,Paramètres!$A$1:$I$89,3,0)*0.475*44/12</f>
        <v>0</v>
      </c>
      <c r="AC53" s="22">
        <f t="shared" si="3"/>
        <v>43.397565067436197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60.724820062153199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>
        <f>AI53*VLOOKUP('Données projet'!$B$10,Paramètres!$A$1:$I$89,3,0)*VLOOKUP('Données projet'!$B$10,Paramètres!$A$1:$I$89,5,0)</f>
        <v>0</v>
      </c>
      <c r="AK53" s="13" t="e">
        <f t="shared" si="35"/>
        <v>#NUM!</v>
      </c>
      <c r="AL53" s="20" t="e">
        <f t="shared" si="4"/>
        <v>#NUM!</v>
      </c>
      <c r="AM53" s="59" t="e">
        <f t="shared" si="5"/>
        <v>#NUM!</v>
      </c>
      <c r="AN53" s="59">
        <f ca="1">AVERAGE(OFFSET($AM$3,0,0,'Données projet'!$E$10+1,1))-AVERAGE(OFFSET($H$3,0,0,'Données projet'!$E$10+1,1))</f>
        <v>96.263123361643096</v>
      </c>
      <c r="AO53" s="59">
        <f t="shared" si="36"/>
        <v>291.35824366856377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31.397472438101413</v>
      </c>
      <c r="AV53" s="21">
        <f>EXP(-LN(2)/25)*AV52+(1-EXP(-LN(2)/25))/(LN(2)/25)*Calculateur!AQ53*Calculateur!AS53*VLOOKUP('Données projet'!$B$10,Paramètres!$A$1:$I$89,3,0)*0.475*44/12</f>
        <v>6.4639486991685189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37.861421137269929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60.724820062153199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>
        <f>BD53*VLOOKUP('Données projet'!$B$11,Paramètres!$A$1:$I$89,3,0)*VLOOKUP('Données projet'!$B$11,Paramètres!$A$1:$I$89,5,0)</f>
        <v>0</v>
      </c>
      <c r="BF53" s="13" t="e">
        <f t="shared" si="37"/>
        <v>#NUM!</v>
      </c>
      <c r="BG53" s="20" t="e">
        <f t="shared" si="7"/>
        <v>#NUM!</v>
      </c>
      <c r="BH53" s="59" t="e">
        <f t="shared" si="8"/>
        <v>#NUM!</v>
      </c>
      <c r="BI53" s="59">
        <f ca="1">AVERAGE(OFFSET($BH$3,0,0,'Données projet'!$E$11+1,1))-AVERAGE(OFFSET($H$3,0,0,'Données projet'!$E$11+1,1))</f>
        <v>103.69736557010637</v>
      </c>
      <c r="BJ53" s="59">
        <f t="shared" si="38"/>
        <v>312.86697521864392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33.958259197237346</v>
      </c>
      <c r="BQ53" s="21">
        <f>EXP(-LN(2)/25)*BQ52+(1-EXP(-LN(2)/25))/(LN(2)/25)*Calculateur!BL53*Calculateur!BN53*VLOOKUP('Données projet'!$B$11,Paramètres!$A$1:$I$89,3,0)*0.475*44/12</f>
        <v>6.9911501888170147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40.949409386054363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60.724820062153199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>
        <f>BY53*VLOOKUP('Données projet'!$B$12,Paramètres!$A$1:$I$89,3,0)*VLOOKUP('Données projet'!$B$12,Paramètres!$A$1:$I$89,5,0)</f>
        <v>0</v>
      </c>
      <c r="CA53" s="13" t="e">
        <f t="shared" si="39"/>
        <v>#NUM!</v>
      </c>
      <c r="CB53" s="20" t="e">
        <f t="shared" si="10"/>
        <v>#NUM!</v>
      </c>
      <c r="CC53" s="59" t="e">
        <f t="shared" si="11"/>
        <v>#NUM!</v>
      </c>
      <c r="CD53" s="59">
        <f ca="1">AVERAGE(OFFSET($CC$3,0,0,'Données projet'!$E$12+1,1))-AVERAGE(OFFSET($H$3,0,0,'Données projet'!$E$12+1,1))</f>
        <v>189.55118397415424</v>
      </c>
      <c r="CE53" s="59">
        <f t="shared" si="40"/>
        <v>456.28719984856014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78.39037450975988</v>
      </c>
      <c r="CM53" s="21">
        <f>EXP(-LN(2)/2)*CM52+(1-EXP(-LN(2)/2))/(LN(2)/2)*CG53*CJ53*VLOOKUP('Données projet'!$B$12,Paramètres!$A$1:$I$89,3,0)*0.475*44/12</f>
        <v>4.3908208986870012E-5</v>
      </c>
      <c r="CN53" s="22">
        <f t="shared" si="12"/>
        <v>78.39041841796886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60.724820062153199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60.724820062153199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60.724820062153199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60.724820062153199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60.724820062153199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60.724820062153199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4.45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16.316666666666666</v>
      </c>
      <c r="H54" s="66">
        <f t="shared" si="1"/>
        <v>191.4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60.885723697879001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-5.6843418860808015E-14</v>
      </c>
      <c r="O54" s="13">
        <f>N54*VLOOKUP('Données projet'!$B$9,Paramètres!$A$1:$I$89,3,0)*VLOOKUP('Données projet'!$B$9,Paramètres!$A$1:$I$89,5,0)</f>
        <v>-2.5006556825246661E-14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129.89493875503857</v>
      </c>
      <c r="T54" s="59">
        <f t="shared" si="34"/>
        <v>318.19554842399577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35.13846254367067</v>
      </c>
      <c r="AA54" s="21">
        <f>EXP(-LN(2)/25)*AA53+(1-EXP(-LN(2)/25))/(LN(2)/25)*Calculateur!V54*Calculateur!X54*VLOOKUP('Données projet'!$B$9,Paramètres!$A$1:$I$89,3,0)*0.475*44/12</f>
        <v>7.3496499360215131</v>
      </c>
      <c r="AB54" s="21">
        <f>EXP(-LN(2)/2)*AB53+(1-EXP(-LN(2)/2))/(LN(2)/2)*V54*Y54*VLOOKUP('Données projet'!$B$9,Paramètres!$A$1:$I$89,3,0)*0.475*44/12</f>
        <v>0</v>
      </c>
      <c r="AC54" s="22">
        <f t="shared" si="3"/>
        <v>42.488112479692184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60.885723697879001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>
        <f>AI54*VLOOKUP('Données projet'!$B$10,Paramètres!$A$1:$I$89,3,0)*VLOOKUP('Données projet'!$B$10,Paramètres!$A$1:$I$89,5,0)</f>
        <v>0</v>
      </c>
      <c r="AK54" s="13" t="e">
        <f t="shared" si="35"/>
        <v>#NUM!</v>
      </c>
      <c r="AL54" s="20" t="e">
        <f t="shared" si="4"/>
        <v>#NUM!</v>
      </c>
      <c r="AM54" s="59" t="e">
        <f t="shared" si="5"/>
        <v>#NUM!</v>
      </c>
      <c r="AN54" s="59">
        <f ca="1">AVERAGE(OFFSET($AM$3,0,0,'Données projet'!$E$10+1,1))-AVERAGE(OFFSET($H$3,0,0,'Données projet'!$E$10+1,1))</f>
        <v>96.263123361643096</v>
      </c>
      <c r="AO54" s="59">
        <f t="shared" si="36"/>
        <v>291.35824366856377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30.78178715415747</v>
      </c>
      <c r="AV54" s="21">
        <f>EXP(-LN(2)/25)*AV53+(1-EXP(-LN(2)/25))/(LN(2)/25)*Calculateur!AQ54*Calculateur!AS54*VLOOKUP('Données projet'!$B$10,Paramètres!$A$1:$I$89,3,0)*0.475*44/12</f>
        <v>6.2871916820654672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37.068978836222939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60.885723697879001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>
        <f>BD54*VLOOKUP('Données projet'!$B$11,Paramètres!$A$1:$I$89,3,0)*VLOOKUP('Données projet'!$B$11,Paramètres!$A$1:$I$89,5,0)</f>
        <v>0</v>
      </c>
      <c r="BF54" s="13" t="e">
        <f t="shared" si="37"/>
        <v>#NUM!</v>
      </c>
      <c r="BG54" s="20" t="e">
        <f t="shared" si="7"/>
        <v>#NUM!</v>
      </c>
      <c r="BH54" s="59" t="e">
        <f t="shared" si="8"/>
        <v>#NUM!</v>
      </c>
      <c r="BI54" s="59">
        <f ca="1">AVERAGE(OFFSET($BH$3,0,0,'Données projet'!$E$11+1,1))-AVERAGE(OFFSET($H$3,0,0,'Données projet'!$E$11+1,1))</f>
        <v>103.69736557010637</v>
      </c>
      <c r="BJ54" s="59">
        <f t="shared" si="38"/>
        <v>312.86697521864392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33.292358446872441</v>
      </c>
      <c r="BQ54" s="21">
        <f>EXP(-LN(2)/25)*BQ53+(1-EXP(-LN(2)/25))/(LN(2)/25)*Calculateur!BL54*Calculateur!BN54*VLOOKUP('Données projet'!$B$11,Paramètres!$A$1:$I$89,3,0)*0.475*44/12</f>
        <v>6.7999768192552033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40.092335266127648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60.885723697879001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>
        <f>BY54*VLOOKUP('Données projet'!$B$12,Paramètres!$A$1:$I$89,3,0)*VLOOKUP('Données projet'!$B$12,Paramètres!$A$1:$I$89,5,0)</f>
        <v>0</v>
      </c>
      <c r="CA54" s="13" t="e">
        <f t="shared" si="39"/>
        <v>#NUM!</v>
      </c>
      <c r="CB54" s="20" t="e">
        <f t="shared" si="10"/>
        <v>#NUM!</v>
      </c>
      <c r="CC54" s="59" t="e">
        <f t="shared" si="11"/>
        <v>#NUM!</v>
      </c>
      <c r="CD54" s="59">
        <f ca="1">AVERAGE(OFFSET($CC$3,0,0,'Données projet'!$E$12+1,1))-AVERAGE(OFFSET($H$3,0,0,'Données projet'!$E$12+1,1))</f>
        <v>189.55118397415424</v>
      </c>
      <c r="CE54" s="59">
        <f t="shared" si="40"/>
        <v>456.28719984856014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76.246785596419869</v>
      </c>
      <c r="CM54" s="21">
        <f>EXP(-LN(2)/2)*CM53+(1-EXP(-LN(2)/2))/(LN(2)/2)*CG54*CJ54*VLOOKUP('Données projet'!$B$12,Paramètres!$A$1:$I$89,3,0)*0.475*44/12</f>
        <v>3.1047792324371893E-5</v>
      </c>
      <c r="CN54" s="22">
        <f t="shared" si="12"/>
        <v>76.246816644212188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60.885723697879001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60.885723697879001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60.885723697879001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60.885723697879001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60.885723697879001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60.885723697879001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4.45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16.316666666666666</v>
      </c>
      <c r="H55" s="66">
        <f t="shared" si="1"/>
        <v>191.4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61.043836015251607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-5.6843418860808015E-14</v>
      </c>
      <c r="O55" s="13">
        <f>N55*VLOOKUP('Données projet'!$B$9,Paramètres!$A$1:$I$89,3,0)*VLOOKUP('Données projet'!$B$9,Paramètres!$A$1:$I$89,5,0)</f>
        <v>-2.5006556825246661E-14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129.89493875503857</v>
      </c>
      <c r="T55" s="59">
        <f t="shared" si="34"/>
        <v>318.19554842399577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34.449418725535175</v>
      </c>
      <c r="AA55" s="21">
        <f>EXP(-LN(2)/25)*AA54+(1-EXP(-LN(2)/25))/(LN(2)/25)*Calculateur!V55*Calculateur!X55*VLOOKUP('Données projet'!$B$9,Paramètres!$A$1:$I$89,3,0)*0.475*44/12</f>
        <v>7.1486733720197124</v>
      </c>
      <c r="AB55" s="21">
        <f>EXP(-LN(2)/2)*AB54+(1-EXP(-LN(2)/2))/(LN(2)/2)*V55*Y55*VLOOKUP('Données projet'!$B$9,Paramètres!$A$1:$I$89,3,0)*0.475*44/12</f>
        <v>0</v>
      </c>
      <c r="AC55" s="22">
        <f t="shared" si="3"/>
        <v>41.59809209755489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61.043836015251607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>
        <f>AI55*VLOOKUP('Données projet'!$B$10,Paramètres!$A$1:$I$89,3,0)*VLOOKUP('Données projet'!$B$10,Paramètres!$A$1:$I$89,5,0)</f>
        <v>0</v>
      </c>
      <c r="AK55" s="13" t="e">
        <f t="shared" si="35"/>
        <v>#NUM!</v>
      </c>
      <c r="AL55" s="20" t="e">
        <f t="shared" si="4"/>
        <v>#NUM!</v>
      </c>
      <c r="AM55" s="59" t="e">
        <f t="shared" si="5"/>
        <v>#NUM!</v>
      </c>
      <c r="AN55" s="59">
        <f ca="1">AVERAGE(OFFSET($AM$3,0,0,'Données projet'!$E$10+1,1))-AVERAGE(OFFSET($H$3,0,0,'Données projet'!$E$10+1,1))</f>
        <v>96.263123361643096</v>
      </c>
      <c r="AO55" s="59">
        <f t="shared" si="36"/>
        <v>291.35824366856377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30.178175083100726</v>
      </c>
      <c r="AV55" s="21">
        <f>EXP(-LN(2)/25)*AV54+(1-EXP(-LN(2)/25))/(LN(2)/25)*Calculateur!AQ55*Calculateur!AS55*VLOOKUP('Données projet'!$B$10,Paramètres!$A$1:$I$89,3,0)*0.475*44/12</f>
        <v>6.1152680948903457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36.293443177991072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61.043836015251607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>
        <f>BD55*VLOOKUP('Données projet'!$B$11,Paramètres!$A$1:$I$89,3,0)*VLOOKUP('Données projet'!$B$11,Paramètres!$A$1:$I$89,5,0)</f>
        <v>0</v>
      </c>
      <c r="BF55" s="13" t="e">
        <f t="shared" si="37"/>
        <v>#NUM!</v>
      </c>
      <c r="BG55" s="20" t="e">
        <f t="shared" si="7"/>
        <v>#NUM!</v>
      </c>
      <c r="BH55" s="59" t="e">
        <f t="shared" si="8"/>
        <v>#NUM!</v>
      </c>
      <c r="BI55" s="59">
        <f ca="1">AVERAGE(OFFSET($BH$3,0,0,'Données projet'!$E$11+1,1))-AVERAGE(OFFSET($H$3,0,0,'Données projet'!$E$11+1,1))</f>
        <v>103.69736557010637</v>
      </c>
      <c r="BJ55" s="59">
        <f t="shared" si="38"/>
        <v>312.86697521864392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32.639515604062844</v>
      </c>
      <c r="BQ55" s="21">
        <f>EXP(-LN(2)/25)*BQ54+(1-EXP(-LN(2)/25))/(LN(2)/25)*Calculateur!BL55*Calculateur!BN55*VLOOKUP('Données projet'!$B$11,Paramètres!$A$1:$I$89,3,0)*0.475*44/12</f>
        <v>6.6140310955374302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39.253546699600271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61.043836015251607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>
        <f>BY55*VLOOKUP('Données projet'!$B$12,Paramètres!$A$1:$I$89,3,0)*VLOOKUP('Données projet'!$B$12,Paramètres!$A$1:$I$89,5,0)</f>
        <v>0</v>
      </c>
      <c r="CA55" s="13" t="e">
        <f t="shared" si="39"/>
        <v>#NUM!</v>
      </c>
      <c r="CB55" s="20" t="e">
        <f t="shared" si="10"/>
        <v>#NUM!</v>
      </c>
      <c r="CC55" s="59" t="e">
        <f t="shared" si="11"/>
        <v>#NUM!</v>
      </c>
      <c r="CD55" s="59">
        <f ca="1">AVERAGE(OFFSET($CC$3,0,0,'Données projet'!$E$12+1,1))-AVERAGE(OFFSET($H$3,0,0,'Données projet'!$E$12+1,1))</f>
        <v>189.55118397415424</v>
      </c>
      <c r="CE55" s="59">
        <f t="shared" si="40"/>
        <v>456.28719984856014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74.161813234641571</v>
      </c>
      <c r="CM55" s="21">
        <f>EXP(-LN(2)/2)*CM54+(1-EXP(-LN(2)/2))/(LN(2)/2)*CG55*CJ55*VLOOKUP('Données projet'!$B$12,Paramètres!$A$1:$I$89,3,0)*0.475*44/12</f>
        <v>2.1954104493435006E-5</v>
      </c>
      <c r="CN55" s="22">
        <f t="shared" si="12"/>
        <v>74.161835188746068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61.043836015251607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61.043836015251607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61.043836015251607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61.043836015251607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61.043836015251607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61.043836015251607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4.45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16.316666666666666</v>
      </c>
      <c r="H56" s="66">
        <f t="shared" si="1"/>
        <v>191.4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61.199205437403982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-5.6843418860808015E-14</v>
      </c>
      <c r="O56" s="13">
        <f>N56*VLOOKUP('Données projet'!$B$9,Paramètres!$A$1:$I$89,3,0)*VLOOKUP('Données projet'!$B$9,Paramètres!$A$1:$I$89,5,0)</f>
        <v>-2.5006556825246661E-14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129.89493875503857</v>
      </c>
      <c r="T56" s="59">
        <f t="shared" si="34"/>
        <v>318.19554842399577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33.773886636398082</v>
      </c>
      <c r="AA56" s="21">
        <f>EXP(-LN(2)/25)*AA55+(1-EXP(-LN(2)/25))/(LN(2)/25)*Calculateur!V56*Calculateur!X56*VLOOKUP('Données projet'!$B$9,Paramètres!$A$1:$I$89,3,0)*0.475*44/12</f>
        <v>6.9531925227294389</v>
      </c>
      <c r="AB56" s="21">
        <f>EXP(-LN(2)/2)*AB55+(1-EXP(-LN(2)/2))/(LN(2)/2)*V56*Y56*VLOOKUP('Données projet'!$B$9,Paramètres!$A$1:$I$89,3,0)*0.475*44/12</f>
        <v>0</v>
      </c>
      <c r="AC56" s="22">
        <f t="shared" si="3"/>
        <v>40.72707915912752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61.199205437403982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>
        <f>AI56*VLOOKUP('Données projet'!$B$10,Paramètres!$A$1:$I$89,3,0)*VLOOKUP('Données projet'!$B$10,Paramètres!$A$1:$I$89,5,0)</f>
        <v>0</v>
      </c>
      <c r="AK56" s="13" t="e">
        <f t="shared" si="35"/>
        <v>#NUM!</v>
      </c>
      <c r="AL56" s="20" t="e">
        <f t="shared" si="4"/>
        <v>#NUM!</v>
      </c>
      <c r="AM56" s="59" t="e">
        <f t="shared" si="5"/>
        <v>#NUM!</v>
      </c>
      <c r="AN56" s="59">
        <f ca="1">AVERAGE(OFFSET($AM$3,0,0,'Données projet'!$E$10+1,1))-AVERAGE(OFFSET($H$3,0,0,'Données projet'!$E$10+1,1))</f>
        <v>96.263123361643096</v>
      </c>
      <c r="AO56" s="59">
        <f t="shared" si="36"/>
        <v>291.35824366856377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29.586399476590394</v>
      </c>
      <c r="AV56" s="21">
        <f>EXP(-LN(2)/25)*AV55+(1-EXP(-LN(2)/25))/(LN(2)/25)*Calculateur!AQ56*Calculateur!AS56*VLOOKUP('Données projet'!$B$10,Paramètres!$A$1:$I$89,3,0)*0.475*44/12</f>
        <v>5.9480457672475966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35.534445243837993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61.199205437403982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>
        <f>BD56*VLOOKUP('Données projet'!$B$11,Paramètres!$A$1:$I$89,3,0)*VLOOKUP('Données projet'!$B$11,Paramètres!$A$1:$I$89,5,0)</f>
        <v>0</v>
      </c>
      <c r="BF56" s="13" t="e">
        <f t="shared" si="37"/>
        <v>#NUM!</v>
      </c>
      <c r="BG56" s="20" t="e">
        <f t="shared" si="7"/>
        <v>#NUM!</v>
      </c>
      <c r="BH56" s="59" t="e">
        <f t="shared" si="8"/>
        <v>#NUM!</v>
      </c>
      <c r="BI56" s="59">
        <f ca="1">AVERAGE(OFFSET($BH$3,0,0,'Données projet'!$E$11+1,1))-AVERAGE(OFFSET($H$3,0,0,'Données projet'!$E$11+1,1))</f>
        <v>103.69736557010637</v>
      </c>
      <c r="BJ56" s="59">
        <f t="shared" si="38"/>
        <v>312.86697521864392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31.999474611205923</v>
      </c>
      <c r="BQ56" s="21">
        <f>EXP(-LN(2)/25)*BQ55+(1-EXP(-LN(2)/25))/(LN(2)/25)*Calculateur!BL56*Calculateur!BN56*VLOOKUP('Données projet'!$B$11,Paramètres!$A$1:$I$89,3,0)*0.475*44/12</f>
        <v>6.4331700674131804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38.432644678619106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61.199205437403982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>
        <f>BY56*VLOOKUP('Données projet'!$B$12,Paramètres!$A$1:$I$89,3,0)*VLOOKUP('Données projet'!$B$12,Paramètres!$A$1:$I$89,5,0)</f>
        <v>0</v>
      </c>
      <c r="CA56" s="13" t="e">
        <f t="shared" si="39"/>
        <v>#NUM!</v>
      </c>
      <c r="CB56" s="20" t="e">
        <f t="shared" si="10"/>
        <v>#NUM!</v>
      </c>
      <c r="CC56" s="59" t="e">
        <f t="shared" si="11"/>
        <v>#NUM!</v>
      </c>
      <c r="CD56" s="59">
        <f ca="1">AVERAGE(OFFSET($CC$3,0,0,'Données projet'!$E$12+1,1))-AVERAGE(OFFSET($H$3,0,0,'Données projet'!$E$12+1,1))</f>
        <v>189.55118397415424</v>
      </c>
      <c r="CE56" s="59">
        <f t="shared" si="40"/>
        <v>456.28719984856014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72.133854551740043</v>
      </c>
      <c r="CM56" s="21">
        <f>EXP(-LN(2)/2)*CM55+(1-EXP(-LN(2)/2))/(LN(2)/2)*CG56*CJ56*VLOOKUP('Données projet'!$B$12,Paramètres!$A$1:$I$89,3,0)*0.475*44/12</f>
        <v>1.5523896162185947E-5</v>
      </c>
      <c r="CN56" s="22">
        <f t="shared" si="12"/>
        <v>72.13387007563621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61.199205437403982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61.199205437403982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61.199205437403982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61.199205437403982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61.199205437403982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61.199205437403982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4.45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16.316666666666666</v>
      </c>
      <c r="H57" s="66">
        <f t="shared" si="1"/>
        <v>191.4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61.351879547435999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-5.6843418860808015E-14</v>
      </c>
      <c r="O57" s="13">
        <f>N57*VLOOKUP('Données projet'!$B$9,Paramètres!$A$1:$I$89,3,0)*VLOOKUP('Données projet'!$B$9,Paramètres!$A$1:$I$89,5,0)</f>
        <v>-2.5006556825246661E-14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129.89493875503857</v>
      </c>
      <c r="T57" s="59">
        <f t="shared" si="34"/>
        <v>318.19554842399577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33.11160131949508</v>
      </c>
      <c r="AA57" s="21">
        <f>EXP(-LN(2)/25)*AA56+(1-EXP(-LN(2)/25))/(LN(2)/25)*Calculateur!V57*Calculateur!X57*VLOOKUP('Données projet'!$B$9,Paramètres!$A$1:$I$89,3,0)*0.475*44/12</f>
        <v>6.7630571075428989</v>
      </c>
      <c r="AB57" s="21">
        <f>EXP(-LN(2)/2)*AB56+(1-EXP(-LN(2)/2))/(LN(2)/2)*V57*Y57*VLOOKUP('Données projet'!$B$9,Paramètres!$A$1:$I$89,3,0)*0.475*44/12</f>
        <v>0</v>
      </c>
      <c r="AC57" s="22">
        <f t="shared" si="3"/>
        <v>39.874658427037978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61.351879547435999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>
        <f>AI57*VLOOKUP('Données projet'!$B$10,Paramètres!$A$1:$I$89,3,0)*VLOOKUP('Données projet'!$B$10,Paramètres!$A$1:$I$89,5,0)</f>
        <v>0</v>
      </c>
      <c r="AK57" s="13" t="e">
        <f t="shared" si="35"/>
        <v>#NUM!</v>
      </c>
      <c r="AL57" s="20" t="e">
        <f t="shared" si="4"/>
        <v>#NUM!</v>
      </c>
      <c r="AM57" s="59" t="e">
        <f t="shared" si="5"/>
        <v>#NUM!</v>
      </c>
      <c r="AN57" s="59">
        <f ca="1">AVERAGE(OFFSET($AM$3,0,0,'Données projet'!$E$10+1,1))-AVERAGE(OFFSET($H$3,0,0,'Données projet'!$E$10+1,1))</f>
        <v>96.263123361643096</v>
      </c>
      <c r="AO57" s="59">
        <f t="shared" si="36"/>
        <v>291.35824366856377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29.006228228776251</v>
      </c>
      <c r="AV57" s="21">
        <f>EXP(-LN(2)/25)*AV56+(1-EXP(-LN(2)/25))/(LN(2)/25)*Calculateur!AQ57*Calculateur!AS57*VLOOKUP('Données projet'!$B$10,Paramètres!$A$1:$I$89,3,0)*0.475*44/12</f>
        <v>5.7853961429480787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34.791624371724332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61.351879547435999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>
        <f>BD57*VLOOKUP('Données projet'!$B$11,Paramètres!$A$1:$I$89,3,0)*VLOOKUP('Données projet'!$B$11,Paramètres!$A$1:$I$89,5,0)</f>
        <v>0</v>
      </c>
      <c r="BF57" s="13" t="e">
        <f t="shared" si="37"/>
        <v>#NUM!</v>
      </c>
      <c r="BG57" s="20" t="e">
        <f t="shared" si="7"/>
        <v>#NUM!</v>
      </c>
      <c r="BH57" s="59" t="e">
        <f t="shared" si="8"/>
        <v>#NUM!</v>
      </c>
      <c r="BI57" s="59">
        <f ca="1">AVERAGE(OFFSET($BH$3,0,0,'Données projet'!$E$11+1,1))-AVERAGE(OFFSET($H$3,0,0,'Données projet'!$E$11+1,1))</f>
        <v>103.69736557010637</v>
      </c>
      <c r="BJ57" s="59">
        <f t="shared" si="38"/>
        <v>312.86697521864392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31.37198443183247</v>
      </c>
      <c r="BQ57" s="21">
        <f>EXP(-LN(2)/25)*BQ56+(1-EXP(-LN(2)/25))/(LN(2)/25)*Calculateur!BL57*Calculateur!BN57*VLOOKUP('Données projet'!$B$11,Paramètres!$A$1:$I$89,3,0)*0.475*44/12</f>
        <v>6.2572546936140565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37.629239125446524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61.351879547435999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>
        <f>BY57*VLOOKUP('Données projet'!$B$12,Paramètres!$A$1:$I$89,3,0)*VLOOKUP('Données projet'!$B$12,Paramètres!$A$1:$I$89,5,0)</f>
        <v>0</v>
      </c>
      <c r="CA57" s="13" t="e">
        <f t="shared" si="39"/>
        <v>#NUM!</v>
      </c>
      <c r="CB57" s="20" t="e">
        <f t="shared" si="10"/>
        <v>#NUM!</v>
      </c>
      <c r="CC57" s="59" t="e">
        <f t="shared" si="11"/>
        <v>#NUM!</v>
      </c>
      <c r="CD57" s="59">
        <f ca="1">AVERAGE(OFFSET($CC$3,0,0,'Données projet'!$E$12+1,1))-AVERAGE(OFFSET($H$3,0,0,'Données projet'!$E$12+1,1))</f>
        <v>189.55118397415424</v>
      </c>
      <c r="CE57" s="59">
        <f t="shared" si="40"/>
        <v>456.28719984856014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70.161350505668167</v>
      </c>
      <c r="CM57" s="21">
        <f>EXP(-LN(2)/2)*CM56+(1-EXP(-LN(2)/2))/(LN(2)/2)*CG57*CJ57*VLOOKUP('Données projet'!$B$12,Paramètres!$A$1:$I$89,3,0)*0.475*44/12</f>
        <v>1.0977052246717503E-5</v>
      </c>
      <c r="CN57" s="22">
        <f t="shared" si="12"/>
        <v>70.161361482720409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61.351879547435999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61.351879547435999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61.351879547435999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61.351879547435999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61.351879547435999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61.351879547435999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4.45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16.316666666666666</v>
      </c>
      <c r="H58" s="66">
        <f t="shared" si="1"/>
        <v>191.4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61.501905102987145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-5.6843418860808015E-14</v>
      </c>
      <c r="O58" s="13">
        <f>N58*VLOOKUP('Données projet'!$B$9,Paramètres!$A$1:$I$89,3,0)*VLOOKUP('Données projet'!$B$9,Paramètres!$A$1:$I$89,5,0)</f>
        <v>-2.5006556825246661E-14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129.89493875503857</v>
      </c>
      <c r="T58" s="59">
        <f t="shared" si="34"/>
        <v>318.19554842399577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32.462303013702389</v>
      </c>
      <c r="AA58" s="21">
        <f>EXP(-LN(2)/25)*AA57+(1-EXP(-LN(2)/25))/(LN(2)/25)*Calculateur!V58*Calculateur!X58*VLOOKUP('Données projet'!$B$9,Paramètres!$A$1:$I$89,3,0)*0.475*44/12</f>
        <v>6.5781209552834223</v>
      </c>
      <c r="AB58" s="21">
        <f>EXP(-LN(2)/2)*AB57+(1-EXP(-LN(2)/2))/(LN(2)/2)*V58*Y58*VLOOKUP('Données projet'!$B$9,Paramètres!$A$1:$I$89,3,0)*0.475*44/12</f>
        <v>0</v>
      </c>
      <c r="AC58" s="22">
        <f t="shared" si="3"/>
        <v>39.040423968985813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61.501905102987145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>
        <f>AI58*VLOOKUP('Données projet'!$B$10,Paramètres!$A$1:$I$89,3,0)*VLOOKUP('Données projet'!$B$10,Paramètres!$A$1:$I$89,5,0)</f>
        <v>0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96.263123361643096</v>
      </c>
      <c r="AO58" s="59">
        <f t="shared" si="36"/>
        <v>291.35824366856377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28.437433785262222</v>
      </c>
      <c r="AV58" s="21">
        <f>EXP(-LN(2)/25)*AV57+(1-EXP(-LN(2)/25))/(LN(2)/25)*Calculateur!AQ58*Calculateur!AS58*VLOOKUP('Données projet'!$B$10,Paramètres!$A$1:$I$89,3,0)*0.475*44/12</f>
        <v>5.6271941811784032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34.064627966440625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61.501905102987145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>
        <f>BD58*VLOOKUP('Données projet'!$B$11,Paramètres!$A$1:$I$89,3,0)*VLOOKUP('Données projet'!$B$11,Paramètres!$A$1:$I$89,5,0)</f>
        <v>0</v>
      </c>
      <c r="BF58" s="13" t="e">
        <f t="shared" si="3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103.69736557010637</v>
      </c>
      <c r="BJ58" s="59">
        <f t="shared" si="38"/>
        <v>312.86697521864392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30.756798952145314</v>
      </c>
      <c r="BQ58" s="21">
        <f>EXP(-LN(2)/25)*BQ57+(1-EXP(-LN(2)/25))/(LN(2)/25)*Calculateur!BL58*Calculateur!BN58*VLOOKUP('Données projet'!$B$11,Paramètres!$A$1:$I$89,3,0)*0.475*44/12</f>
        <v>6.0861497349624569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36.842948687107771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61.501905102987145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>
        <f>BY58*VLOOKUP('Données projet'!$B$12,Paramètres!$A$1:$I$89,3,0)*VLOOKUP('Données projet'!$B$12,Paramètres!$A$1:$I$89,5,0)</f>
        <v>0</v>
      </c>
      <c r="CA58" s="13" t="e">
        <f t="shared" si="39"/>
        <v>#NUM!</v>
      </c>
      <c r="CB58" s="20" t="e">
        <f t="shared" si="10"/>
        <v>#NUM!</v>
      </c>
      <c r="CC58" s="59" t="e">
        <f t="shared" si="11"/>
        <v>#NUM!</v>
      </c>
      <c r="CD58" s="59">
        <f ca="1">AVERAGE(OFFSET($CC$3,0,0,'Données projet'!$E$12+1,1))-AVERAGE(OFFSET($H$3,0,0,'Données projet'!$E$12+1,1))</f>
        <v>189.55118397415424</v>
      </c>
      <c r="CE58" s="59">
        <f t="shared" si="40"/>
        <v>456.28719984856014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68.242784686465598</v>
      </c>
      <c r="CM58" s="21">
        <f>EXP(-LN(2)/2)*CM57+(1-EXP(-LN(2)/2))/(LN(2)/2)*CG58*CJ58*VLOOKUP('Données projet'!$B$12,Paramètres!$A$1:$I$89,3,0)*0.475*44/12</f>
        <v>7.7619480810929733E-6</v>
      </c>
      <c r="CN58" s="22">
        <f t="shared" si="12"/>
        <v>68.242792448413681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61.501905102987145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61.501905102987145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61.501905102987145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61.501905102987145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61.501905102987145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61.501905102987145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4.45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16.316666666666666</v>
      </c>
      <c r="H59" s="66">
        <f t="shared" si="1"/>
        <v>191.4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61.649328050556363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-5.6843418860808015E-14</v>
      </c>
      <c r="O59" s="13">
        <f>N59*VLOOKUP('Données projet'!$B$9,Paramètres!$A$1:$I$89,3,0)*VLOOKUP('Données projet'!$B$9,Paramètres!$A$1:$I$89,5,0)</f>
        <v>-2.5006556825246661E-14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129.89493875503857</v>
      </c>
      <c r="T59" s="59">
        <f t="shared" si="34"/>
        <v>318.19554842399577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31.82573705165343</v>
      </c>
      <c r="AA59" s="21">
        <f>EXP(-LN(2)/25)*AA58+(1-EXP(-LN(2)/25))/(LN(2)/25)*Calculateur!V59*Calculateur!X59*VLOOKUP('Données projet'!$B$9,Paramètres!$A$1:$I$89,3,0)*0.475*44/12</f>
        <v>6.3982418918328507</v>
      </c>
      <c r="AB59" s="21">
        <f>EXP(-LN(2)/2)*AB58+(1-EXP(-LN(2)/2))/(LN(2)/2)*V59*Y59*VLOOKUP('Données projet'!$B$9,Paramètres!$A$1:$I$89,3,0)*0.475*44/12</f>
        <v>0</v>
      </c>
      <c r="AC59" s="22">
        <f t="shared" si="3"/>
        <v>38.22397894348628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61.649328050556363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>
        <f>AI59*VLOOKUP('Données projet'!$B$10,Paramètres!$A$1:$I$89,3,0)*VLOOKUP('Données projet'!$B$10,Paramètres!$A$1:$I$89,5,0)</f>
        <v>0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96.263123361643096</v>
      </c>
      <c r="AO59" s="59">
        <f t="shared" si="36"/>
        <v>291.35824366856377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27.879793053855149</v>
      </c>
      <c r="AV59" s="21">
        <f>EXP(-LN(2)/25)*AV58+(1-EXP(-LN(2)/25))/(LN(2)/25)*Calculateur!AQ59*Calculateur!AS59*VLOOKUP('Données projet'!$B$10,Paramètres!$A$1:$I$89,3,0)*0.475*44/12</f>
        <v>5.4733182603727988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33.353111314227945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61.649328050556363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>
        <f>BD59*VLOOKUP('Données projet'!$B$11,Paramètres!$A$1:$I$89,3,0)*VLOOKUP('Données projet'!$B$11,Paramètres!$A$1:$I$89,5,0)</f>
        <v>0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103.69736557010637</v>
      </c>
      <c r="BJ59" s="59">
        <f t="shared" si="38"/>
        <v>312.86697521864392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30.153676884488728</v>
      </c>
      <c r="BQ59" s="21">
        <f>EXP(-LN(2)/25)*BQ58+(1-EXP(-LN(2)/25))/(LN(2)/25)*Calculateur!BL59*Calculateur!BN59*VLOOKUP('Données projet'!$B$11,Paramètres!$A$1:$I$89,3,0)*0.475*44/12</f>
        <v>5.9197236504032045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36.073400534891931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61.649328050556363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>
        <f>BY59*VLOOKUP('Données projet'!$B$12,Paramètres!$A$1:$I$89,3,0)*VLOOKUP('Données projet'!$B$12,Paramètres!$A$1:$I$89,5,0)</f>
        <v>0</v>
      </c>
      <c r="CA59" s="13" t="e">
        <f t="shared" si="39"/>
        <v>#NUM!</v>
      </c>
      <c r="CB59" s="20" t="e">
        <f t="shared" si="10"/>
        <v>#NUM!</v>
      </c>
      <c r="CC59" s="59" t="e">
        <f t="shared" si="11"/>
        <v>#NUM!</v>
      </c>
      <c r="CD59" s="59">
        <f ca="1">AVERAGE(OFFSET($CC$3,0,0,'Données projet'!$E$12+1,1))-AVERAGE(OFFSET($H$3,0,0,'Données projet'!$E$12+1,1))</f>
        <v>189.55118397415424</v>
      </c>
      <c r="CE59" s="59">
        <f t="shared" si="40"/>
        <v>456.28719984856014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66.376682150482125</v>
      </c>
      <c r="CM59" s="21">
        <f>EXP(-LN(2)/2)*CM58+(1-EXP(-LN(2)/2))/(LN(2)/2)*CG59*CJ59*VLOOKUP('Données projet'!$B$12,Paramètres!$A$1:$I$89,3,0)*0.475*44/12</f>
        <v>5.4885261233587515E-6</v>
      </c>
      <c r="CN59" s="22">
        <f t="shared" si="12"/>
        <v>66.376687639008253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61.649328050556363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61.649328050556363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61.649328050556363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61.649328050556363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61.649328050556363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61.649328050556363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4.45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16.316666666666666</v>
      </c>
      <c r="H60" s="66">
        <f t="shared" si="1"/>
        <v>191.4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61.794193539573591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-5.6843418860808015E-14</v>
      </c>
      <c r="O60" s="13">
        <f>N60*VLOOKUP('Données projet'!$B$9,Paramètres!$A$1:$I$89,3,0)*VLOOKUP('Données projet'!$B$9,Paramètres!$A$1:$I$89,5,0)</f>
        <v>-2.5006556825246661E-14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129.89493875503857</v>
      </c>
      <c r="T60" s="59">
        <f t="shared" si="34"/>
        <v>318.19554842399577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31.201653759853354</v>
      </c>
      <c r="AA60" s="21">
        <f>EXP(-LN(2)/25)*AA59+(1-EXP(-LN(2)/25))/(LN(2)/25)*Calculateur!V60*Calculateur!X60*VLOOKUP('Données projet'!$B$9,Paramètres!$A$1:$I$89,3,0)*0.475*44/12</f>
        <v>6.2232816308317638</v>
      </c>
      <c r="AB60" s="21">
        <f>EXP(-LN(2)/2)*AB59+(1-EXP(-LN(2)/2))/(LN(2)/2)*V60*Y60*VLOOKUP('Données projet'!$B$9,Paramètres!$A$1:$I$89,3,0)*0.475*44/12</f>
        <v>0</v>
      </c>
      <c r="AC60" s="22">
        <f t="shared" si="3"/>
        <v>37.424935390685121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61.794193539573591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>
        <f>AI60*VLOOKUP('Données projet'!$B$10,Paramètres!$A$1:$I$89,3,0)*VLOOKUP('Données projet'!$B$10,Paramètres!$A$1:$I$89,5,0)</f>
        <v>0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96.263123361643096</v>
      </c>
      <c r="AO60" s="59">
        <f t="shared" si="36"/>
        <v>291.35824366856377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27.333087317063708</v>
      </c>
      <c r="AV60" s="21">
        <f>EXP(-LN(2)/25)*AV59+(1-EXP(-LN(2)/25))/(LN(2)/25)*Calculateur!AQ60*Calculateur!AS60*VLOOKUP('Données projet'!$B$10,Paramètres!$A$1:$I$89,3,0)*0.475*44/12</f>
        <v>5.3236500847136066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32.656737401777313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61.794193539573591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>
        <f>BD60*VLOOKUP('Données projet'!$B$11,Paramètres!$A$1:$I$89,3,0)*VLOOKUP('Données projet'!$B$11,Paramètres!$A$1:$I$89,5,0)</f>
        <v>0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103.69736557010637</v>
      </c>
      <c r="BJ60" s="59">
        <f t="shared" si="38"/>
        <v>312.86697521864392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29.562381672710753</v>
      </c>
      <c r="BQ60" s="21">
        <f>EXP(-LN(2)/25)*BQ59+(1-EXP(-LN(2)/25))/(LN(2)/25)*Calculateur!BL60*Calculateur!BN60*VLOOKUP('Données projet'!$B$11,Paramètres!$A$1:$I$89,3,0)*0.475*44/12</f>
        <v>5.7578484958781919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35.320230168588942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61.794193539573591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>
        <f>BY60*VLOOKUP('Données projet'!$B$12,Paramètres!$A$1:$I$89,3,0)*VLOOKUP('Données projet'!$B$12,Paramètres!$A$1:$I$89,5,0)</f>
        <v>0</v>
      </c>
      <c r="CA60" s="13" t="e">
        <f t="shared" si="39"/>
        <v>#NUM!</v>
      </c>
      <c r="CB60" s="20" t="e">
        <f t="shared" si="10"/>
        <v>#NUM!</v>
      </c>
      <c r="CC60" s="59" t="e">
        <f t="shared" si="11"/>
        <v>#NUM!</v>
      </c>
      <c r="CD60" s="59">
        <f ca="1">AVERAGE(OFFSET($CC$3,0,0,'Données projet'!$E$12+1,1))-AVERAGE(OFFSET($H$3,0,0,'Données projet'!$E$12+1,1))</f>
        <v>189.55118397415424</v>
      </c>
      <c r="CE60" s="59">
        <f t="shared" si="40"/>
        <v>456.28719984856014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64.561608286479185</v>
      </c>
      <c r="CM60" s="21">
        <f>EXP(-LN(2)/2)*CM59+(1-EXP(-LN(2)/2))/(LN(2)/2)*CG60*CJ60*VLOOKUP('Données projet'!$B$12,Paramètres!$A$1:$I$89,3,0)*0.475*44/12</f>
        <v>3.8809740405464866E-6</v>
      </c>
      <c r="CN60" s="22">
        <f t="shared" si="12"/>
        <v>64.56161216745322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61.794193539573591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61.794193539573591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61.794193539573591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61.794193539573591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61.794193539573591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61.794193539573591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4.45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16.316666666666666</v>
      </c>
      <c r="H61" s="66">
        <f t="shared" si="1"/>
        <v>191.4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61.936545936227091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-5.6843418860808015E-14</v>
      </c>
      <c r="O61" s="13">
        <f>N61*VLOOKUP('Données projet'!$B$9,Paramètres!$A$1:$I$89,3,0)*VLOOKUP('Données projet'!$B$9,Paramètres!$A$1:$I$89,5,0)</f>
        <v>-2.5006556825246661E-14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129.89493875503857</v>
      </c>
      <c r="T61" s="59">
        <f t="shared" si="34"/>
        <v>318.19554842399577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30.589808360752254</v>
      </c>
      <c r="AA61" s="21">
        <f>EXP(-LN(2)/25)*AA60+(1-EXP(-LN(2)/25))/(LN(2)/25)*Calculateur!V61*Calculateur!X61*VLOOKUP('Données projet'!$B$9,Paramètres!$A$1:$I$89,3,0)*0.475*44/12</f>
        <v>6.053105667368512</v>
      </c>
      <c r="AB61" s="21">
        <f>EXP(-LN(2)/2)*AB60+(1-EXP(-LN(2)/2))/(LN(2)/2)*V61*Y61*VLOOKUP('Données projet'!$B$9,Paramètres!$A$1:$I$89,3,0)*0.475*44/12</f>
        <v>0</v>
      </c>
      <c r="AC61" s="22">
        <f t="shared" si="3"/>
        <v>36.642914028120764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61.936545936227091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>
        <f>AI61*VLOOKUP('Données projet'!$B$10,Paramètres!$A$1:$I$89,3,0)*VLOOKUP('Données projet'!$B$10,Paramètres!$A$1:$I$89,5,0)</f>
        <v>0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96.263123361643096</v>
      </c>
      <c r="AO61" s="59">
        <f t="shared" si="36"/>
        <v>291.35824366856377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26.797102146313176</v>
      </c>
      <c r="AV61" s="21">
        <f>EXP(-LN(2)/25)*AV60+(1-EXP(-LN(2)/25))/(LN(2)/25)*Calculateur!AQ61*Calculateur!AS61*VLOOKUP('Données projet'!$B$10,Paramètres!$A$1:$I$89,3,0)*0.475*44/12</f>
        <v>5.1780745931885228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31.975176739501698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61.936545936227091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>
        <f>BD61*VLOOKUP('Données projet'!$B$11,Paramètres!$A$1:$I$89,3,0)*VLOOKUP('Données projet'!$B$11,Paramètres!$A$1:$I$89,5,0)</f>
        <v>0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103.69736557010637</v>
      </c>
      <c r="BJ61" s="59">
        <f t="shared" si="38"/>
        <v>312.86697521864392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28.982681399381274</v>
      </c>
      <c r="BQ61" s="21">
        <f>EXP(-LN(2)/25)*BQ60+(1-EXP(-LN(2)/25))/(LN(2)/25)*Calculateur!BL61*Calculateur!BN61*VLOOKUP('Données projet'!$B$11,Paramètres!$A$1:$I$89,3,0)*0.475*44/12</f>
        <v>5.6003998259663099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34.583081225347584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61.936545936227091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>
        <f>BY61*VLOOKUP('Données projet'!$B$12,Paramètres!$A$1:$I$89,3,0)*VLOOKUP('Données projet'!$B$12,Paramètres!$A$1:$I$89,5,0)</f>
        <v>0</v>
      </c>
      <c r="CA61" s="13" t="e">
        <f t="shared" si="39"/>
        <v>#NUM!</v>
      </c>
      <c r="CB61" s="20" t="e">
        <f t="shared" si="10"/>
        <v>#NUM!</v>
      </c>
      <c r="CC61" s="59" t="e">
        <f t="shared" si="11"/>
        <v>#NUM!</v>
      </c>
      <c r="CD61" s="59">
        <f ca="1">AVERAGE(OFFSET($CC$3,0,0,'Données projet'!$E$12+1,1))-AVERAGE(OFFSET($H$3,0,0,'Données projet'!$E$12+1,1))</f>
        <v>189.55118397415424</v>
      </c>
      <c r="CE61" s="59">
        <f t="shared" si="40"/>
        <v>456.28719984856014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62.79616771273799</v>
      </c>
      <c r="CM61" s="21">
        <f>EXP(-LN(2)/2)*CM60+(1-EXP(-LN(2)/2))/(LN(2)/2)*CG61*CJ61*VLOOKUP('Données projet'!$B$12,Paramètres!$A$1:$I$89,3,0)*0.475*44/12</f>
        <v>2.7442630616793758E-6</v>
      </c>
      <c r="CN61" s="22">
        <f t="shared" si="12"/>
        <v>62.796170457001054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61.936545936227091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61.936545936227091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61.936545936227091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61.936545936227091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61.936545936227091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61.936545936227091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4.45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16.316666666666666</v>
      </c>
      <c r="H62" s="66">
        <f t="shared" si="1"/>
        <v>191.4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62.076428837050933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-5.6843418860808015E-14</v>
      </c>
      <c r="O62" s="13">
        <f>N62*VLOOKUP('Données projet'!$B$9,Paramètres!$A$1:$I$89,3,0)*VLOOKUP('Données projet'!$B$9,Paramètres!$A$1:$I$89,5,0)</f>
        <v>-2.5006556825246661E-14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129.89493875503857</v>
      </c>
      <c r="T62" s="59">
        <f t="shared" si="34"/>
        <v>318.19554842399577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29.989960876738685</v>
      </c>
      <c r="AA62" s="21">
        <f>EXP(-LN(2)/25)*AA61+(1-EXP(-LN(2)/25))/(LN(2)/25)*Calculateur!V62*Calculateur!X62*VLOOKUP('Données projet'!$B$9,Paramètres!$A$1:$I$89,3,0)*0.475*44/12</f>
        <v>5.8875831745753278</v>
      </c>
      <c r="AB62" s="21">
        <f>EXP(-LN(2)/2)*AB61+(1-EXP(-LN(2)/2))/(LN(2)/2)*V62*Y62*VLOOKUP('Données projet'!$B$9,Paramètres!$A$1:$I$89,3,0)*0.475*44/12</f>
        <v>0</v>
      </c>
      <c r="AC62" s="22">
        <f t="shared" si="3"/>
        <v>35.877544051314011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62.076428837050933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>
        <f>AI62*VLOOKUP('Données projet'!$B$10,Paramètres!$A$1:$I$89,3,0)*VLOOKUP('Données projet'!$B$10,Paramètres!$A$1:$I$89,5,0)</f>
        <v>0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96.263123361643096</v>
      </c>
      <c r="AO62" s="59">
        <f t="shared" si="36"/>
        <v>291.35824366856377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26.271627317842388</v>
      </c>
      <c r="AV62" s="21">
        <f>EXP(-LN(2)/25)*AV61+(1-EXP(-LN(2)/25))/(LN(2)/25)*Calculateur!AQ62*Calculateur!AS62*VLOOKUP('Données projet'!$B$10,Paramètres!$A$1:$I$89,3,0)*0.475*44/12</f>
        <v>5.0364798711346745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31.308107188977061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62.076428837050933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>
        <f>BD62*VLOOKUP('Données projet'!$B$11,Paramètres!$A$1:$I$89,3,0)*VLOOKUP('Données projet'!$B$11,Paramètres!$A$1:$I$89,5,0)</f>
        <v>0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103.69736557010637</v>
      </c>
      <c r="BJ62" s="59">
        <f t="shared" si="38"/>
        <v>312.86697521864392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28.414348694829535</v>
      </c>
      <c r="BQ62" s="21">
        <f>EXP(-LN(2)/25)*BQ61+(1-EXP(-LN(2)/25))/(LN(2)/25)*Calculateur!BL62*Calculateur!BN62*VLOOKUP('Données projet'!$B$11,Paramètres!$A$1:$I$89,3,0)*0.475*44/12</f>
        <v>5.4472565982130341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33.861605293042572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62.076428837050933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>
        <f>BY62*VLOOKUP('Données projet'!$B$12,Paramètres!$A$1:$I$89,3,0)*VLOOKUP('Données projet'!$B$12,Paramètres!$A$1:$I$89,5,0)</f>
        <v>0</v>
      </c>
      <c r="CA62" s="13" t="e">
        <f t="shared" si="39"/>
        <v>#NUM!</v>
      </c>
      <c r="CB62" s="20" t="e">
        <f t="shared" si="10"/>
        <v>#NUM!</v>
      </c>
      <c r="CC62" s="59" t="e">
        <f t="shared" si="11"/>
        <v>#NUM!</v>
      </c>
      <c r="CD62" s="59">
        <f ca="1">AVERAGE(OFFSET($CC$3,0,0,'Données projet'!$E$12+1,1))-AVERAGE(OFFSET($H$3,0,0,'Données projet'!$E$12+1,1))</f>
        <v>189.55118397415424</v>
      </c>
      <c r="CE62" s="59">
        <f t="shared" si="40"/>
        <v>456.28719984856014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61.079003204326234</v>
      </c>
      <c r="CM62" s="21">
        <f>EXP(-LN(2)/2)*CM61+(1-EXP(-LN(2)/2))/(LN(2)/2)*CG62*CJ62*VLOOKUP('Données projet'!$B$12,Paramètres!$A$1:$I$89,3,0)*0.475*44/12</f>
        <v>1.9404870202732433E-6</v>
      </c>
      <c r="CN62" s="22">
        <f t="shared" si="12"/>
        <v>61.079005144813252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62.076428837050933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62.076428837050933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62.076428837050933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62.076428837050933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62.076428837050933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62.076428837050933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4.45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16.316666666666666</v>
      </c>
      <c r="H63" s="66">
        <f t="shared" si="1"/>
        <v>191.4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62.213885082276803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-5.6843418860808015E-14</v>
      </c>
      <c r="O63" s="13">
        <f>N63*VLOOKUP('Données projet'!$B$9,Paramètres!$A$1:$I$89,3,0)*VLOOKUP('Données projet'!$B$9,Paramètres!$A$1:$I$89,5,0)</f>
        <v>-2.5006556825246661E-14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129.89493875503857</v>
      </c>
      <c r="T63" s="59">
        <f t="shared" si="34"/>
        <v>318.19554842399577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29.401876036015782</v>
      </c>
      <c r="AA63" s="21">
        <f>EXP(-LN(2)/25)*AA62+(1-EXP(-LN(2)/25))/(LN(2)/25)*Calculateur!V63*Calculateur!X63*VLOOKUP('Données projet'!$B$9,Paramètres!$A$1:$I$89,3,0)*0.475*44/12</f>
        <v>5.7265869030520227</v>
      </c>
      <c r="AB63" s="21">
        <f>EXP(-LN(2)/2)*AB62+(1-EXP(-LN(2)/2))/(LN(2)/2)*V63*Y63*VLOOKUP('Données projet'!$B$9,Paramètres!$A$1:$I$89,3,0)*0.475*44/12</f>
        <v>0</v>
      </c>
      <c r="AC63" s="22">
        <f t="shared" si="3"/>
        <v>35.128462939067802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62.213885082276803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>
        <f>AI63*VLOOKUP('Données projet'!$B$10,Paramètres!$A$1:$I$89,3,0)*VLOOKUP('Données projet'!$B$10,Paramètres!$A$1:$I$89,5,0)</f>
        <v>0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96.263123361643096</v>
      </c>
      <c r="AO63" s="59">
        <f t="shared" si="36"/>
        <v>291.35824366856377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25.756456730249912</v>
      </c>
      <c r="AV63" s="21">
        <f>EXP(-LN(2)/25)*AV62+(1-EXP(-LN(2)/25))/(LN(2)/25)*Calculateur!AQ63*Calculateur!AS63*VLOOKUP('Données projet'!$B$10,Paramètres!$A$1:$I$89,3,0)*0.475*44/12</f>
        <v>4.8987570642015319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30.655213794451445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62.213885082276803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>
        <f>BD63*VLOOKUP('Données projet'!$B$11,Paramètres!$A$1:$I$89,3,0)*VLOOKUP('Données projet'!$B$11,Paramètres!$A$1:$I$89,5,0)</f>
        <v>0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103.69736557010637</v>
      </c>
      <c r="BJ63" s="59">
        <f t="shared" si="38"/>
        <v>312.86697521864392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27.857160647965333</v>
      </c>
      <c r="BQ63" s="21">
        <f>EXP(-LN(2)/25)*BQ62+(1-EXP(-LN(2)/25))/(LN(2)/25)*Calculateur!BL63*Calculateur!BN63*VLOOKUP('Données projet'!$B$11,Paramètres!$A$1:$I$89,3,0)*0.475*44/12</f>
        <v>5.2983010800761239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33.155461728041459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62.213885082276803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>
        <f>BY63*VLOOKUP('Données projet'!$B$12,Paramètres!$A$1:$I$89,3,0)*VLOOKUP('Données projet'!$B$12,Paramètres!$A$1:$I$89,5,0)</f>
        <v>0</v>
      </c>
      <c r="CA63" s="13" t="e">
        <f t="shared" si="39"/>
        <v>#NUM!</v>
      </c>
      <c r="CB63" s="20" t="e">
        <f t="shared" si="10"/>
        <v>#NUM!</v>
      </c>
      <c r="CC63" s="59" t="e">
        <f t="shared" si="11"/>
        <v>#NUM!</v>
      </c>
      <c r="CD63" s="59">
        <f ca="1">AVERAGE(OFFSET($CC$3,0,0,'Données projet'!$E$12+1,1))-AVERAGE(OFFSET($H$3,0,0,'Données projet'!$E$12+1,1))</f>
        <v>189.55118397415424</v>
      </c>
      <c r="CE63" s="59">
        <f t="shared" si="40"/>
        <v>456.28719984856014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59.408794649698756</v>
      </c>
      <c r="CM63" s="21">
        <f>EXP(-LN(2)/2)*CM62+(1-EXP(-LN(2)/2))/(LN(2)/2)*CG63*CJ63*VLOOKUP('Données projet'!$B$12,Paramètres!$A$1:$I$89,3,0)*0.475*44/12</f>
        <v>1.3721315308396879E-6</v>
      </c>
      <c r="CN63" s="22">
        <f t="shared" si="12"/>
        <v>59.408796021830284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62.213885082276803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62.213885082276803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62.213885082276803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62.213885082276803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62.213885082276803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62.213885082276803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4.45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16.316666666666666</v>
      </c>
      <c r="H64" s="66">
        <f t="shared" si="1"/>
        <v>191.4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62.348956768954125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-5.6843418860808015E-14</v>
      </c>
      <c r="O64" s="13">
        <f>N64*VLOOKUP('Données projet'!$B$9,Paramètres!$A$1:$I$89,3,0)*VLOOKUP('Données projet'!$B$9,Paramètres!$A$1:$I$89,5,0)</f>
        <v>-2.5006556825246661E-14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129.89493875503857</v>
      </c>
      <c r="T64" s="59">
        <f t="shared" si="34"/>
        <v>318.19554842399577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28.825323180323121</v>
      </c>
      <c r="AA64" s="21">
        <f>EXP(-LN(2)/25)*AA63+(1-EXP(-LN(2)/25))/(LN(2)/25)*Calculateur!V64*Calculateur!X64*VLOOKUP('Données projet'!$B$9,Paramètres!$A$1:$I$89,3,0)*0.475*44/12</f>
        <v>5.5699930830399484</v>
      </c>
      <c r="AB64" s="21">
        <f>EXP(-LN(2)/2)*AB63+(1-EXP(-LN(2)/2))/(LN(2)/2)*V64*Y64*VLOOKUP('Données projet'!$B$9,Paramètres!$A$1:$I$89,3,0)*0.475*44/12</f>
        <v>0</v>
      </c>
      <c r="AC64" s="22">
        <f t="shared" si="3"/>
        <v>34.395316263363071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62.348956768954125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>
        <f>AI64*VLOOKUP('Données projet'!$B$10,Paramètres!$A$1:$I$89,3,0)*VLOOKUP('Données projet'!$B$10,Paramètres!$A$1:$I$89,5,0)</f>
        <v>0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96.263123361643096</v>
      </c>
      <c r="AO64" s="59">
        <f t="shared" si="36"/>
        <v>291.35824366856377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25.251388323657093</v>
      </c>
      <c r="AV64" s="21">
        <f>EXP(-LN(2)/25)*AV63+(1-EXP(-LN(2)/25))/(LN(2)/25)*Calculateur!AQ64*Calculateur!AS64*VLOOKUP('Données projet'!$B$10,Paramètres!$A$1:$I$89,3,0)*0.475*44/12</f>
        <v>4.7648002946665029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30.016188618323596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62.348956768954125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>
        <f>BD64*VLOOKUP('Données projet'!$B$11,Paramètres!$A$1:$I$89,3,0)*VLOOKUP('Données projet'!$B$11,Paramètres!$A$1:$I$89,5,0)</f>
        <v>0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103.69736557010637</v>
      </c>
      <c r="BJ64" s="59">
        <f t="shared" si="38"/>
        <v>312.86697521864392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27.310898718848989</v>
      </c>
      <c r="BQ64" s="21">
        <f>EXP(-LN(2)/25)*BQ63+(1-EXP(-LN(2)/25))/(LN(2)/25)*Calculateur!BL64*Calculateur!BN64*VLOOKUP('Données projet'!$B$11,Paramètres!$A$1:$I$89,3,0)*0.475*44/12</f>
        <v>5.1534187584158975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32.464317477264885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62.348956768954125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>
        <f>BY64*VLOOKUP('Données projet'!$B$12,Paramètres!$A$1:$I$89,3,0)*VLOOKUP('Données projet'!$B$12,Paramètres!$A$1:$I$89,5,0)</f>
        <v>0</v>
      </c>
      <c r="CA64" s="13" t="e">
        <f t="shared" si="39"/>
        <v>#NUM!</v>
      </c>
      <c r="CB64" s="20" t="e">
        <f t="shared" si="10"/>
        <v>#NUM!</v>
      </c>
      <c r="CC64" s="59" t="e">
        <f t="shared" si="11"/>
        <v>#NUM!</v>
      </c>
      <c r="CD64" s="59">
        <f ca="1">AVERAGE(OFFSET($CC$3,0,0,'Données projet'!$E$12+1,1))-AVERAGE(OFFSET($H$3,0,0,'Données projet'!$E$12+1,1))</f>
        <v>189.55118397415424</v>
      </c>
      <c r="CE64" s="59">
        <f t="shared" si="40"/>
        <v>456.28719984856014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57.784258035830014</v>
      </c>
      <c r="CM64" s="21">
        <f>EXP(-LN(2)/2)*CM63+(1-EXP(-LN(2)/2))/(LN(2)/2)*CG64*CJ64*VLOOKUP('Données projet'!$B$12,Paramètres!$A$1:$I$89,3,0)*0.475*44/12</f>
        <v>9.7024351013662166E-7</v>
      </c>
      <c r="CN64" s="22">
        <f t="shared" si="12"/>
        <v>57.784259006073526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62.348956768954125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62.348956768954125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62.348956768954125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62.348956768954125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62.348956768954125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62.348956768954125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4.45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16.316666666666666</v>
      </c>
      <c r="H65" s="66">
        <f t="shared" si="1"/>
        <v>191.4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62.481685263842643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-5.6843418860808015E-14</v>
      </c>
      <c r="O65" s="13">
        <f>N65*VLOOKUP('Données projet'!$B$9,Paramètres!$A$1:$I$89,3,0)*VLOOKUP('Données projet'!$B$9,Paramètres!$A$1:$I$89,5,0)</f>
        <v>-2.5006556825246661E-14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129.89493875503857</v>
      </c>
      <c r="T65" s="59">
        <f t="shared" si="34"/>
        <v>318.19554842399577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28.260076174468075</v>
      </c>
      <c r="AA65" s="21">
        <f>EXP(-LN(2)/25)*AA64+(1-EXP(-LN(2)/25))/(LN(2)/25)*Calculateur!V65*Calculateur!X65*VLOOKUP('Données projet'!$B$9,Paramètres!$A$1:$I$89,3,0)*0.475*44/12</f>
        <v>5.4176813292710149</v>
      </c>
      <c r="AB65" s="21">
        <f>EXP(-LN(2)/2)*AB64+(1-EXP(-LN(2)/2))/(LN(2)/2)*V65*Y65*VLOOKUP('Données projet'!$B$9,Paramètres!$A$1:$I$89,3,0)*0.475*44/12</f>
        <v>0</v>
      </c>
      <c r="AC65" s="22">
        <f t="shared" si="3"/>
        <v>33.677757503739087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62.481685263842643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>
        <f>AI65*VLOOKUP('Données projet'!$B$10,Paramètres!$A$1:$I$89,3,0)*VLOOKUP('Données projet'!$B$10,Paramètres!$A$1:$I$89,5,0)</f>
        <v>0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96.263123361643096</v>
      </c>
      <c r="AO65" s="59">
        <f t="shared" si="36"/>
        <v>291.35824366856377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24.75622400045625</v>
      </c>
      <c r="AV65" s="21">
        <f>EXP(-LN(2)/25)*AV64+(1-EXP(-LN(2)/25))/(LN(2)/25)*Calculateur!AQ65*Calculateur!AS65*VLOOKUP('Données projet'!$B$10,Paramètres!$A$1:$I$89,3,0)*0.475*44/12</f>
        <v>4.6345065800388898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29.390730580495138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62.481685263842643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>
        <f>BD65*VLOOKUP('Données projet'!$B$11,Paramètres!$A$1:$I$89,3,0)*VLOOKUP('Données projet'!$B$11,Paramètres!$A$1:$I$89,5,0)</f>
        <v>0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103.69736557010637</v>
      </c>
      <c r="BJ65" s="59">
        <f t="shared" si="38"/>
        <v>312.86697521864392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26.775348652975737</v>
      </c>
      <c r="BQ65" s="21">
        <f>EXP(-LN(2)/25)*BQ64+(1-EXP(-LN(2)/25))/(LN(2)/25)*Calculateur!BL65*Calculateur!BN65*VLOOKUP('Données projet'!$B$11,Paramètres!$A$1:$I$89,3,0)*0.475*44/12</f>
        <v>5.0124982514605003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31.787846904436236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62.481685263842643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>
        <f>BY65*VLOOKUP('Données projet'!$B$12,Paramètres!$A$1:$I$89,3,0)*VLOOKUP('Données projet'!$B$12,Paramètres!$A$1:$I$89,5,0)</f>
        <v>0</v>
      </c>
      <c r="CA65" s="13" t="e">
        <f t="shared" si="39"/>
        <v>#NUM!</v>
      </c>
      <c r="CB65" s="20" t="e">
        <f t="shared" si="10"/>
        <v>#NUM!</v>
      </c>
      <c r="CC65" s="59" t="e">
        <f t="shared" si="11"/>
        <v>#NUM!</v>
      </c>
      <c r="CD65" s="59">
        <f ca="1">AVERAGE(OFFSET($CC$3,0,0,'Données projet'!$E$12+1,1))-AVERAGE(OFFSET($H$3,0,0,'Données projet'!$E$12+1,1))</f>
        <v>189.55118397415424</v>
      </c>
      <c r="CE65" s="59">
        <f t="shared" si="40"/>
        <v>456.28719984856014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56.204144461098181</v>
      </c>
      <c r="CM65" s="21">
        <f>EXP(-LN(2)/2)*CM64+(1-EXP(-LN(2)/2))/(LN(2)/2)*CG65*CJ65*VLOOKUP('Données projet'!$B$12,Paramètres!$A$1:$I$89,3,0)*0.475*44/12</f>
        <v>6.8606576541984394E-7</v>
      </c>
      <c r="CN65" s="22">
        <f t="shared" si="12"/>
        <v>56.204145147163949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62.481685263842643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62.481685263842643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62.481685263842643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62.481685263842643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62.481685263842643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62.481685263842643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4.45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16.316666666666666</v>
      </c>
      <c r="H66" s="66">
        <f t="shared" si="1"/>
        <v>191.4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62.612111216081303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-5.6843418860808015E-14</v>
      </c>
      <c r="O66" s="13">
        <f>N66*VLOOKUP('Données projet'!$B$9,Paramètres!$A$1:$I$89,3,0)*VLOOKUP('Données projet'!$B$9,Paramètres!$A$1:$I$89,5,0)</f>
        <v>-2.5006556825246661E-14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129.89493875503857</v>
      </c>
      <c r="T66" s="59">
        <f t="shared" si="34"/>
        <v>318.19554842399577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27.705913317631214</v>
      </c>
      <c r="AA66" s="21">
        <f>EXP(-LN(2)/25)*AA65+(1-EXP(-LN(2)/25))/(LN(2)/25)*Calculateur!V66*Calculateur!X66*VLOOKUP('Données projet'!$B$9,Paramètres!$A$1:$I$89,3,0)*0.475*44/12</f>
        <v>5.26953454841862</v>
      </c>
      <c r="AB66" s="21">
        <f>EXP(-LN(2)/2)*AB65+(1-EXP(-LN(2)/2))/(LN(2)/2)*V66*Y66*VLOOKUP('Données projet'!$B$9,Paramètres!$A$1:$I$89,3,0)*0.475*44/12</f>
        <v>0</v>
      </c>
      <c r="AC66" s="22">
        <f t="shared" si="3"/>
        <v>32.975447866049834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62.612111216081303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96.263123361643096</v>
      </c>
      <c r="AO66" s="59">
        <f t="shared" si="36"/>
        <v>291.35824366856377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24.270769547612961</v>
      </c>
      <c r="AV66" s="21">
        <f>EXP(-LN(2)/25)*AV65+(1-EXP(-LN(2)/25))/(LN(2)/25)*Calculateur!AQ66*Calculateur!AS66*VLOOKUP('Données projet'!$B$10,Paramètres!$A$1:$I$89,3,0)*0.475*44/12</f>
        <v>4.5077757538896179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28.778545301502579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62.612111216081303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>
        <f>BD66*VLOOKUP('Données projet'!$B$11,Paramètres!$A$1:$I$89,3,0)*VLOOKUP('Données projet'!$B$11,Paramètres!$A$1:$I$89,5,0)</f>
        <v>0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103.69736557010637</v>
      </c>
      <c r="BJ66" s="59">
        <f t="shared" si="38"/>
        <v>312.86697521864392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26.250300397240974</v>
      </c>
      <c r="BQ66" s="21">
        <f>EXP(-LN(2)/25)*BQ65+(1-EXP(-LN(2)/25))/(LN(2)/25)*Calculateur!BL66*Calculateur!BN66*VLOOKUP('Données projet'!$B$11,Paramètres!$A$1:$I$89,3,0)*0.475*44/12</f>
        <v>4.8754312231784862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31.125731620419458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62.612111216081303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>
        <f>BY66*VLOOKUP('Données projet'!$B$12,Paramètres!$A$1:$I$89,3,0)*VLOOKUP('Données projet'!$B$12,Paramètres!$A$1:$I$89,5,0)</f>
        <v>0</v>
      </c>
      <c r="CA66" s="13" t="e">
        <f t="shared" si="39"/>
        <v>#NUM!</v>
      </c>
      <c r="CB66" s="20" t="e">
        <f t="shared" si="10"/>
        <v>#NUM!</v>
      </c>
      <c r="CC66" s="59" t="e">
        <f t="shared" si="11"/>
        <v>#NUM!</v>
      </c>
      <c r="CD66" s="59">
        <f ca="1">AVERAGE(OFFSET($CC$3,0,0,'Données projet'!$E$12+1,1))-AVERAGE(OFFSET($H$3,0,0,'Données projet'!$E$12+1,1))</f>
        <v>189.55118397415424</v>
      </c>
      <c r="CE66" s="59">
        <f t="shared" si="40"/>
        <v>456.28719984856014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54.667239175161953</v>
      </c>
      <c r="CM66" s="21">
        <f>EXP(-LN(2)/2)*CM65+(1-EXP(-LN(2)/2))/(LN(2)/2)*CG66*CJ66*VLOOKUP('Données projet'!$B$12,Paramètres!$A$1:$I$89,3,0)*0.475*44/12</f>
        <v>4.8512175506831083E-7</v>
      </c>
      <c r="CN66" s="22">
        <f t="shared" si="12"/>
        <v>54.667239660283705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62.612111216081303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62.612111216081303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62.612111216081303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62.612111216081303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62.612111216081303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62.612111216081303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4.45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16.316666666666666</v>
      </c>
      <c r="H67" s="66">
        <f t="shared" si="1"/>
        <v>191.4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62.740274569637378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-5.6843418860808015E-14</v>
      </c>
      <c r="O67" s="13">
        <f>N67*VLOOKUP('Données projet'!$B$9,Paramètres!$A$1:$I$89,3,0)*VLOOKUP('Données projet'!$B$9,Paramètres!$A$1:$I$89,5,0)</f>
        <v>-2.5006556825246661E-14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129.89493875503857</v>
      </c>
      <c r="T67" s="59">
        <f t="shared" si="34"/>
        <v>318.19554842399577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27.162617256410957</v>
      </c>
      <c r="AA67" s="21">
        <f>EXP(-LN(2)/25)*AA66+(1-EXP(-LN(2)/25))/(LN(2)/25)*Calculateur!V67*Calculateur!X67*VLOOKUP('Données projet'!$B$9,Paramètres!$A$1:$I$89,3,0)*0.475*44/12</f>
        <v>5.1254388490793348</v>
      </c>
      <c r="AB67" s="21">
        <f>EXP(-LN(2)/2)*AB66+(1-EXP(-LN(2)/2))/(LN(2)/2)*V67*Y67*VLOOKUP('Données projet'!$B$9,Paramètres!$A$1:$I$89,3,0)*0.475*44/12</f>
        <v>0</v>
      </c>
      <c r="AC67" s="22">
        <f t="shared" si="3"/>
        <v>32.288056105490291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62.740274569637378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96.263123361643096</v>
      </c>
      <c r="AO67" s="59">
        <f t="shared" si="36"/>
        <v>291.35824366856377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23.79483456049195</v>
      </c>
      <c r="AV67" s="21">
        <f>EXP(-LN(2)/25)*AV66+(1-EXP(-LN(2)/25))/(LN(2)/25)*Calculateur!AQ67*Calculateur!AS67*VLOOKUP('Données projet'!$B$10,Paramètres!$A$1:$I$89,3,0)*0.475*44/12</f>
        <v>4.3845103888458823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28.179344949337832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62.740274569637378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>
        <f>BD67*VLOOKUP('Données projet'!$B$11,Paramètres!$A$1:$I$89,3,0)*VLOOKUP('Données projet'!$B$11,Paramètres!$A$1:$I$89,5,0)</f>
        <v>0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103.69736557010637</v>
      </c>
      <c r="BJ67" s="59">
        <f t="shared" si="38"/>
        <v>312.86697521864392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25.735548017553356</v>
      </c>
      <c r="BQ67" s="21">
        <f>EXP(-LN(2)/25)*BQ66+(1-EXP(-LN(2)/25))/(LN(2)/25)*Calculateur!BL67*Calculateur!BN67*VLOOKUP('Données projet'!$B$11,Paramètres!$A$1:$I$89,3,0)*0.475*44/12</f>
        <v>4.7421122999928853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30.477660317546242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62.740274569637378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>
        <f>BY67*VLOOKUP('Données projet'!$B$12,Paramètres!$A$1:$I$89,3,0)*VLOOKUP('Données projet'!$B$12,Paramètres!$A$1:$I$89,5,0)</f>
        <v>0</v>
      </c>
      <c r="CA67" s="13" t="e">
        <f t="shared" si="39"/>
        <v>#NUM!</v>
      </c>
      <c r="CB67" s="20" t="e">
        <f t="shared" si="10"/>
        <v>#NUM!</v>
      </c>
      <c r="CC67" s="59" t="e">
        <f t="shared" si="11"/>
        <v>#NUM!</v>
      </c>
      <c r="CD67" s="59">
        <f ca="1">AVERAGE(OFFSET($CC$3,0,0,'Données projet'!$E$12+1,1))-AVERAGE(OFFSET($H$3,0,0,'Données projet'!$E$12+1,1))</f>
        <v>189.55118397415424</v>
      </c>
      <c r="CE67" s="59">
        <f t="shared" si="40"/>
        <v>456.28719984856014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53.172360645091985</v>
      </c>
      <c r="CM67" s="21">
        <f>EXP(-LN(2)/2)*CM66+(1-EXP(-LN(2)/2))/(LN(2)/2)*CG67*CJ67*VLOOKUP('Données projet'!$B$12,Paramètres!$A$1:$I$89,3,0)*0.475*44/12</f>
        <v>3.4303288270992197E-7</v>
      </c>
      <c r="CN67" s="22">
        <f t="shared" si="12"/>
        <v>53.172360988124865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62.740274569637378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62.740274569637378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62.740274569637378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62.740274569637378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62.740274569637378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62.740274569637378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4.45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16.316666666666666</v>
      </c>
      <c r="H68" s="66">
        <f t="shared" ref="H68:H131" si="56">(B68+E68+F68)*44/12+(C68+D68)*0.475*44/12</f>
        <v>191.4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62.86621457553958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-5.6843418860808015E-14</v>
      </c>
      <c r="O68" s="13">
        <f>N68*VLOOKUP('Données projet'!$B$9,Paramètres!$A$1:$I$89,3,0)*VLOOKUP('Données projet'!$B$9,Paramètres!$A$1:$I$89,5,0)</f>
        <v>-2.5006556825246661E-14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129.89493875503857</v>
      </c>
      <c r="T68" s="59">
        <f t="shared" si="34"/>
        <v>318.19554842399577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26.629974899573355</v>
      </c>
      <c r="AA68" s="21">
        <f>EXP(-LN(2)/25)*AA67+(1-EXP(-LN(2)/25))/(LN(2)/25)*Calculateur!V68*Calculateur!X68*VLOOKUP('Données projet'!$B$9,Paramètres!$A$1:$I$89,3,0)*0.475*44/12</f>
        <v>4.9852834542161455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31.6152583537895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62.86621457553958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96.263123361643096</v>
      </c>
      <c r="AO68" s="59">
        <f t="shared" si="36"/>
        <v>291.35824366856377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23.328232368176703</v>
      </c>
      <c r="AV68" s="21">
        <f>EXP(-LN(2)/25)*AV67+(1-EXP(-LN(2)/25))/(LN(2)/25)*Calculateur!AQ68*Calculateur!AS68*VLOOKUP('Données projet'!$B$10,Paramètres!$A$1:$I$89,3,0)*0.475*44/12</f>
        <v>4.264615721691511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27.592848089868212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62.86621457553958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>
        <f>BD68*VLOOKUP('Données projet'!$B$11,Paramètres!$A$1:$I$89,3,0)*VLOOKUP('Données projet'!$B$11,Paramètres!$A$1:$I$89,5,0)</f>
        <v>0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103.69736557010637</v>
      </c>
      <c r="BJ68" s="59">
        <f t="shared" si="38"/>
        <v>312.86697521864392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25.230889618063461</v>
      </c>
      <c r="BQ68" s="21">
        <f>EXP(-LN(2)/25)*BQ67+(1-EXP(-LN(2)/25))/(LN(2)/25)*Calculateur!BL68*Calculateur!BN68*VLOOKUP('Données projet'!$B$11,Paramètres!$A$1:$I$89,3,0)*0.475*44/12</f>
        <v>4.6124389897727323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29.843328607836192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62.86621457553958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>
        <f>BY68*VLOOKUP('Données projet'!$B$12,Paramètres!$A$1:$I$89,3,0)*VLOOKUP('Données projet'!$B$12,Paramètres!$A$1:$I$89,5,0)</f>
        <v>0</v>
      </c>
      <c r="CA68" s="13" t="e">
        <f t="shared" si="39"/>
        <v>#NUM!</v>
      </c>
      <c r="CB68" s="20" t="e">
        <f t="shared" ref="CB68:CB131" si="64">(BZ68+CA68)*0.475*44/12</f>
        <v>#NUM!</v>
      </c>
      <c r="CC68" s="59" t="e">
        <f t="shared" ref="CC68:CC131" si="65">CB68+(BT68+BU68)*44/12</f>
        <v>#NUM!</v>
      </c>
      <c r="CD68" s="59">
        <f ca="1">AVERAGE(OFFSET($CC$3,0,0,'Données projet'!$E$12+1,1))-AVERAGE(OFFSET($H$3,0,0,'Données projet'!$E$12+1,1))</f>
        <v>189.55118397415424</v>
      </c>
      <c r="CE68" s="59">
        <f t="shared" si="40"/>
        <v>456.28719984856014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51.718359647039023</v>
      </c>
      <c r="CM68" s="21">
        <f>EXP(-LN(2)/2)*CM67+(1-EXP(-LN(2)/2))/(LN(2)/2)*CG68*CJ68*VLOOKUP('Données projet'!$B$12,Paramètres!$A$1:$I$89,3,0)*0.475*44/12</f>
        <v>2.4256087753415542E-7</v>
      </c>
      <c r="CN68" s="22">
        <f t="shared" ref="CN68:CN131" si="66">SUM(CK68:CM68)</f>
        <v>51.718359889599903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62.86621457553958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62.86621457553958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62.86621457553958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62.86621457553958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62.86621457553958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62.86621457553958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4.45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16.316666666666666</v>
      </c>
      <c r="H69" s="66">
        <f t="shared" si="56"/>
        <v>191.4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62.989969803899051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-5.6843418860808015E-14</v>
      </c>
      <c r="O69" s="13">
        <f>N69*VLOOKUP('Données projet'!$B$9,Paramètres!$A$1:$I$89,3,0)*VLOOKUP('Données projet'!$B$9,Paramètres!$A$1:$I$89,5,0)</f>
        <v>-2.5006556825246661E-14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129.89493875503857</v>
      </c>
      <c r="T69" s="59">
        <f t="shared" ref="T69:T132" si="88">$T$3</f>
        <v>318.19554842399577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26.107777334473578</v>
      </c>
      <c r="AA69" s="21">
        <f>EXP(-LN(2)/25)*AA68+(1-EXP(-LN(2)/25))/(LN(2)/25)*Calculateur!V69*Calculateur!X69*VLOOKUP('Données projet'!$B$9,Paramètres!$A$1:$I$89,3,0)*0.475*44/12</f>
        <v>4.8489606159959422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30.95673795046952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62.989969803899051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96.263123361643096</v>
      </c>
      <c r="AO69" s="59">
        <f t="shared" ref="AO69:AO132" si="90">$AO$3</f>
        <v>291.35824366856377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22.870779960253525</v>
      </c>
      <c r="AV69" s="21">
        <f>EXP(-LN(2)/25)*AV68+(1-EXP(-LN(2)/25))/(LN(2)/25)*Calculateur!AQ69*Calculateur!AS69*VLOOKUP('Données projet'!$B$10,Paramètres!$A$1:$I$89,3,0)*0.475*44/12</f>
        <v>4.1479995805154628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27.018779540768989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62.989969803899051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>
        <f>BD69*VLOOKUP('Données projet'!$B$11,Paramètres!$A$1:$I$89,3,0)*VLOOKUP('Données projet'!$B$11,Paramètres!$A$1:$I$89,5,0)</f>
        <v>0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103.69736557010637</v>
      </c>
      <c r="BJ69" s="59">
        <f t="shared" ref="BJ69:BJ132" si="92">$BJ$3</f>
        <v>312.86697521864392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24.736127261976335</v>
      </c>
      <c r="BQ69" s="21">
        <f>EXP(-LN(2)/25)*BQ68+(1-EXP(-LN(2)/25))/(LN(2)/25)*Calculateur!BL69*Calculateur!BN69*VLOOKUP('Données projet'!$B$11,Paramètres!$A$1:$I$89,3,0)*0.475*44/12</f>
        <v>4.4863116030397725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29.222438865016109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62.989969803899051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>
        <f>BY69*VLOOKUP('Données projet'!$B$12,Paramètres!$A$1:$I$89,3,0)*VLOOKUP('Données projet'!$B$12,Paramètres!$A$1:$I$89,5,0)</f>
        <v>0</v>
      </c>
      <c r="CA69" s="13" t="e">
        <f t="shared" ref="CA69:CA132" si="93">EXP(-1.0587+0.8836*LN(BZ69)+0.284)</f>
        <v>#NUM!</v>
      </c>
      <c r="CB69" s="20" t="e">
        <f t="shared" si="64"/>
        <v>#NUM!</v>
      </c>
      <c r="CC69" s="59" t="e">
        <f t="shared" si="65"/>
        <v>#NUM!</v>
      </c>
      <c r="CD69" s="59">
        <f ca="1">AVERAGE(OFFSET($CC$3,0,0,'Données projet'!$E$12+1,1))-AVERAGE(OFFSET($H$3,0,0,'Données projet'!$E$12+1,1))</f>
        <v>189.55118397415424</v>
      </c>
      <c r="CE69" s="59">
        <f t="shared" ref="CE69:CE132" si="94">$CE$3</f>
        <v>456.28719984856014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50.304118382740413</v>
      </c>
      <c r="CM69" s="21">
        <f>EXP(-LN(2)/2)*CM68+(1-EXP(-LN(2)/2))/(LN(2)/2)*CG69*CJ69*VLOOKUP('Données projet'!$B$12,Paramètres!$A$1:$I$89,3,0)*0.475*44/12</f>
        <v>1.7151644135496099E-7</v>
      </c>
      <c r="CN69" s="22">
        <f t="shared" si="66"/>
        <v>50.304118554256853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62.989969803899051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62.989969803899051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62.989969803899051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62.989969803899051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62.989969803899051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62.989969803899051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4.45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16.316666666666666</v>
      </c>
      <c r="H70" s="66">
        <f t="shared" si="56"/>
        <v>191.4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63.111578155721737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-5.6843418860808015E-14</v>
      </c>
      <c r="O70" s="13">
        <f>N70*VLOOKUP('Données projet'!$B$9,Paramètres!$A$1:$I$89,3,0)*VLOOKUP('Données projet'!$B$9,Paramètres!$A$1:$I$89,5,0)</f>
        <v>-2.5006556825246661E-14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129.89493875503857</v>
      </c>
      <c r="T70" s="59">
        <f t="shared" si="88"/>
        <v>318.19554842399577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25.595819745116344</v>
      </c>
      <c r="AA70" s="21">
        <f>EXP(-LN(2)/25)*AA69+(1-EXP(-LN(2)/25))/(LN(2)/25)*Calculateur!V70*Calculateur!X70*VLOOKUP('Données projet'!$B$9,Paramètres!$A$1:$I$89,3,0)*0.475*44/12</f>
        <v>4.716365532955777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30.312185278072121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63.111578155721737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96.263123361643096</v>
      </c>
      <c r="AO70" s="59">
        <f t="shared" si="90"/>
        <v>291.35824366856377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22.422297915031301</v>
      </c>
      <c r="AV70" s="21">
        <f>EXP(-LN(2)/25)*AV69+(1-EXP(-LN(2)/25))/(LN(2)/25)*Calculateur!AQ70*Calculateur!AS70*VLOOKUP('Données projet'!$B$10,Paramètres!$A$1:$I$89,3,0)*0.475*44/12</f>
        <v>4.0345723138524496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26.456870228883751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63.111578155721737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>
        <f>BD70*VLOOKUP('Données projet'!$B$11,Paramètres!$A$1:$I$89,3,0)*VLOOKUP('Données projet'!$B$11,Paramètres!$A$1:$I$89,5,0)</f>
        <v>0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103.69736557010637</v>
      </c>
      <c r="BJ70" s="59">
        <f t="shared" si="92"/>
        <v>312.86697521864392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24.251066893916839</v>
      </c>
      <c r="BQ70" s="21">
        <f>EXP(-LN(2)/25)*BQ69+(1-EXP(-LN(2)/25))/(LN(2)/25)*Calculateur!BL70*Calculateur!BN70*VLOOKUP('Données projet'!$B$11,Paramètres!$A$1:$I$89,3,0)*0.475*44/12</f>
        <v>4.3636331763297767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28.614700070246617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63.111578155721737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>
        <f>BY70*VLOOKUP('Données projet'!$B$12,Paramètres!$A$1:$I$89,3,0)*VLOOKUP('Données projet'!$B$12,Paramètres!$A$1:$I$89,5,0)</f>
        <v>0</v>
      </c>
      <c r="CA70" s="13" t="e">
        <f t="shared" si="93"/>
        <v>#NUM!</v>
      </c>
      <c r="CB70" s="20" t="e">
        <f t="shared" si="64"/>
        <v>#NUM!</v>
      </c>
      <c r="CC70" s="59" t="e">
        <f t="shared" si="65"/>
        <v>#NUM!</v>
      </c>
      <c r="CD70" s="59">
        <f ca="1">AVERAGE(OFFSET($CC$3,0,0,'Données projet'!$E$12+1,1))-AVERAGE(OFFSET($H$3,0,0,'Données projet'!$E$12+1,1))</f>
        <v>189.55118397415424</v>
      </c>
      <c r="CE70" s="59">
        <f t="shared" si="94"/>
        <v>456.28719984856014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48.928549620185763</v>
      </c>
      <c r="CM70" s="21">
        <f>EXP(-LN(2)/2)*CM69+(1-EXP(-LN(2)/2))/(LN(2)/2)*CG70*CJ70*VLOOKUP('Données projet'!$B$12,Paramètres!$A$1:$I$89,3,0)*0.475*44/12</f>
        <v>1.2128043876707771E-7</v>
      </c>
      <c r="CN70" s="22">
        <f t="shared" si="66"/>
        <v>48.928549741466199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63.111578155721737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63.111578155721737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63.111578155721737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63.111578155721737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63.111578155721737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63.111578155721737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4.45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16.316666666666666</v>
      </c>
      <c r="H71" s="66">
        <f t="shared" si="56"/>
        <v>191.4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63.231076874515843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-5.6843418860808015E-14</v>
      </c>
      <c r="O71" s="13">
        <f>N71*VLOOKUP('Données projet'!$B$9,Paramètres!$A$1:$I$89,3,0)*VLOOKUP('Données projet'!$B$9,Paramètres!$A$1:$I$89,5,0)</f>
        <v>-2.5006556825246661E-14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129.89493875503857</v>
      </c>
      <c r="T71" s="59">
        <f t="shared" si="88"/>
        <v>318.19554842399577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25.093901331823108</v>
      </c>
      <c r="AA71" s="21">
        <f>EXP(-LN(2)/25)*AA70+(1-EXP(-LN(2)/25))/(LN(2)/25)*Calculateur!V71*Calculateur!X71*VLOOKUP('Données projet'!$B$9,Paramètres!$A$1:$I$89,3,0)*0.475*44/12</f>
        <v>4.5873962694342172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29.681297601257327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63.231076874515843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96.263123361643096</v>
      </c>
      <c r="AO71" s="59">
        <f t="shared" si="90"/>
        <v>291.35824366856377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21.982610329168846</v>
      </c>
      <c r="AV71" s="21">
        <f>EXP(-LN(2)/25)*AV70+(1-EXP(-LN(2)/25))/(LN(2)/25)*Calculateur!AQ71*Calculateur!AS71*VLOOKUP('Données projet'!$B$10,Paramètres!$A$1:$I$89,3,0)*0.475*44/12</f>
        <v>3.9242467217612176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25.906857050930064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63.231076874515843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>
        <f>BD71*VLOOKUP('Données projet'!$B$11,Paramètres!$A$1:$I$89,3,0)*VLOOKUP('Données projet'!$B$11,Paramètres!$A$1:$I$89,5,0)</f>
        <v>0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103.69736557010637</v>
      </c>
      <c r="BJ71" s="59">
        <f t="shared" si="92"/>
        <v>312.86697521864392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23.775518263817379</v>
      </c>
      <c r="BQ71" s="21">
        <f>EXP(-LN(2)/25)*BQ70+(1-EXP(-LN(2)/25))/(LN(2)/25)*Calculateur!BL71*Calculateur!BN71*VLOOKUP('Données projet'!$B$11,Paramètres!$A$1:$I$89,3,0)*0.475*44/12</f>
        <v>4.244309397649543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28.01982766146692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63.231076874515843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>
        <f>BY71*VLOOKUP('Données projet'!$B$12,Paramètres!$A$1:$I$89,3,0)*VLOOKUP('Données projet'!$B$12,Paramètres!$A$1:$I$89,5,0)</f>
        <v>0</v>
      </c>
      <c r="CA71" s="13" t="e">
        <f t="shared" si="93"/>
        <v>#NUM!</v>
      </c>
      <c r="CB71" s="20" t="e">
        <f t="shared" si="64"/>
        <v>#NUM!</v>
      </c>
      <c r="CC71" s="59" t="e">
        <f t="shared" si="65"/>
        <v>#NUM!</v>
      </c>
      <c r="CD71" s="59">
        <f ca="1">AVERAGE(OFFSET($CC$3,0,0,'Données projet'!$E$12+1,1))-AVERAGE(OFFSET($H$3,0,0,'Données projet'!$E$12+1,1))</f>
        <v>189.55118397415424</v>
      </c>
      <c r="CE71" s="59">
        <f t="shared" si="94"/>
        <v>456.28719984856014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47.590595857781189</v>
      </c>
      <c r="CM71" s="21">
        <f>EXP(-LN(2)/2)*CM70+(1-EXP(-LN(2)/2))/(LN(2)/2)*CG71*CJ71*VLOOKUP('Données projet'!$B$12,Paramètres!$A$1:$I$89,3,0)*0.475*44/12</f>
        <v>8.5758220677480493E-8</v>
      </c>
      <c r="CN71" s="22">
        <f t="shared" si="66"/>
        <v>47.590595943539412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63.231076874515843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63.231076874515843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63.231076874515843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63.231076874515843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63.231076874515843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63.231076874515843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4.45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16.316666666666666</v>
      </c>
      <c r="H72" s="66">
        <f t="shared" si="56"/>
        <v>191.4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63.348502557697977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-5.6843418860808015E-14</v>
      </c>
      <c r="O72" s="13">
        <f>N72*VLOOKUP('Données projet'!$B$9,Paramètres!$A$1:$I$89,3,0)*VLOOKUP('Données projet'!$B$9,Paramètres!$A$1:$I$89,5,0)</f>
        <v>-2.5006556825246661E-14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129.89493875503857</v>
      </c>
      <c r="T72" s="59">
        <f t="shared" si="88"/>
        <v>318.19554842399577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24.60182523247455</v>
      </c>
      <c r="AA72" s="21">
        <f>EXP(-LN(2)/25)*AA71+(1-EXP(-LN(2)/25))/(LN(2)/25)*Calculateur!V72*Calculateur!X72*VLOOKUP('Données projet'!$B$9,Paramètres!$A$1:$I$89,3,0)*0.475*44/12</f>
        <v>4.4619536772058535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29.063778909680401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63.348502557697977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96.263123361643096</v>
      </c>
      <c r="AO72" s="59">
        <f t="shared" si="90"/>
        <v>291.35824366856377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21.551544748682208</v>
      </c>
      <c r="AV72" s="21">
        <f>EXP(-LN(2)/25)*AV71+(1-EXP(-LN(2)/25))/(LN(2)/25)*Calculateur!AQ72*Calculateur!AS72*VLOOKUP('Données projet'!$B$10,Paramètres!$A$1:$I$89,3,0)*0.475*44/12</f>
        <v>3.8169379887874908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25.368482737469698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63.348502557697977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>
        <f>BD72*VLOOKUP('Données projet'!$B$11,Paramètres!$A$1:$I$89,3,0)*VLOOKUP('Données projet'!$B$11,Paramètres!$A$1:$I$89,5,0)</f>
        <v>0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103.69736557010637</v>
      </c>
      <c r="BJ72" s="59">
        <f t="shared" si="92"/>
        <v>312.86697521864392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23.309294852298144</v>
      </c>
      <c r="BQ72" s="21">
        <f>EXP(-LN(2)/25)*BQ71+(1-EXP(-LN(2)/25))/(LN(2)/25)*Calculateur!BL72*Calculateur!BN72*VLOOKUP('Données projet'!$B$11,Paramètres!$A$1:$I$89,3,0)*0.475*44/12</f>
        <v>4.1282485339722852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27.437543386270431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63.348502557697977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>
        <f>BY72*VLOOKUP('Données projet'!$B$12,Paramètres!$A$1:$I$89,3,0)*VLOOKUP('Données projet'!$B$12,Paramètres!$A$1:$I$89,5,0)</f>
        <v>0</v>
      </c>
      <c r="CA72" s="13" t="e">
        <f t="shared" si="93"/>
        <v>#NUM!</v>
      </c>
      <c r="CB72" s="20" t="e">
        <f t="shared" si="64"/>
        <v>#NUM!</v>
      </c>
      <c r="CC72" s="59" t="e">
        <f t="shared" si="65"/>
        <v>#NUM!</v>
      </c>
      <c r="CD72" s="59">
        <f ca="1">AVERAGE(OFFSET($CC$3,0,0,'Données projet'!$E$12+1,1))-AVERAGE(OFFSET($H$3,0,0,'Données projet'!$E$12+1,1))</f>
        <v>189.55118397415424</v>
      </c>
      <c r="CE72" s="59">
        <f t="shared" si="94"/>
        <v>456.28719984856014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46.289228511369494</v>
      </c>
      <c r="CM72" s="21">
        <f>EXP(-LN(2)/2)*CM71+(1-EXP(-LN(2)/2))/(LN(2)/2)*CG72*CJ72*VLOOKUP('Données projet'!$B$12,Paramètres!$A$1:$I$89,3,0)*0.475*44/12</f>
        <v>6.0640219383538854E-8</v>
      </c>
      <c r="CN72" s="22">
        <f t="shared" si="66"/>
        <v>46.289228572009712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63.348502557697977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63.348502557697977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63.348502557697977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63.348502557697977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63.348502557697977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63.348502557697977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4.45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16.316666666666666</v>
      </c>
      <c r="H73" s="66">
        <f t="shared" si="56"/>
        <v>191.4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63.4638911678014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-5.6843418860808015E-14</v>
      </c>
      <c r="O73" s="13">
        <f>N73*VLOOKUP('Données projet'!$B$9,Paramètres!$A$1:$I$89,3,0)*VLOOKUP('Données projet'!$B$9,Paramètres!$A$1:$I$89,5,0)</f>
        <v>-2.5006556825246661E-14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129.89493875503857</v>
      </c>
      <c r="T73" s="59">
        <f t="shared" si="88"/>
        <v>318.19554842399577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24.119398445297431</v>
      </c>
      <c r="AA73" s="21">
        <f>EXP(-LN(2)/25)*AA72+(1-EXP(-LN(2)/25))/(LN(2)/25)*Calculateur!V73*Calculateur!X73*VLOOKUP('Données projet'!$B$9,Paramètres!$A$1:$I$89,3,0)*0.475*44/12</f>
        <v>4.3399413192587133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28.459339764556145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63.4638911678014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96.263123361643096</v>
      </c>
      <c r="AO73" s="59">
        <f t="shared" si="90"/>
        <v>291.35824366856377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21.128932101304873</v>
      </c>
      <c r="AV73" s="21">
        <f>EXP(-LN(2)/25)*AV72+(1-EXP(-LN(2)/25))/(LN(2)/25)*Calculateur!AQ73*Calculateur!AS73*VLOOKUP('Données projet'!$B$10,Paramètres!$A$1:$I$89,3,0)*0.475*44/12</f>
        <v>3.7125636187600519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24.841495720064923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63.4638911678014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>
        <f>BD73*VLOOKUP('Données projet'!$B$11,Paramètres!$A$1:$I$89,3,0)*VLOOKUP('Données projet'!$B$11,Paramètres!$A$1:$I$89,5,0)</f>
        <v>0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103.69736557010637</v>
      </c>
      <c r="BJ73" s="59">
        <f t="shared" si="92"/>
        <v>312.86697521864392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22.852213797510601</v>
      </c>
      <c r="BQ73" s="21">
        <f>EXP(-LN(2)/25)*BQ72+(1-EXP(-LN(2)/25))/(LN(2)/25)*Calculateur!BL73*Calculateur!BN73*VLOOKUP('Données projet'!$B$11,Paramètres!$A$1:$I$89,3,0)*0.475*44/12</f>
        <v>4.0153613607156577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26.867575158226259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63.4638911678014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>
        <f>BY73*VLOOKUP('Données projet'!$B$12,Paramètres!$A$1:$I$89,3,0)*VLOOKUP('Données projet'!$B$12,Paramètres!$A$1:$I$89,5,0)</f>
        <v>0</v>
      </c>
      <c r="CA73" s="13" t="e">
        <f t="shared" si="93"/>
        <v>#NUM!</v>
      </c>
      <c r="CB73" s="20" t="e">
        <f t="shared" si="64"/>
        <v>#NUM!</v>
      </c>
      <c r="CC73" s="59" t="e">
        <f t="shared" si="65"/>
        <v>#NUM!</v>
      </c>
      <c r="CD73" s="59">
        <f ca="1">AVERAGE(OFFSET($CC$3,0,0,'Données projet'!$E$12+1,1))-AVERAGE(OFFSET($H$3,0,0,'Données projet'!$E$12+1,1))</f>
        <v>189.55118397415424</v>
      </c>
      <c r="CE73" s="59">
        <f t="shared" si="94"/>
        <v>456.28719984856014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45.023447123481361</v>
      </c>
      <c r="CM73" s="21">
        <f>EXP(-LN(2)/2)*CM72+(1-EXP(-LN(2)/2))/(LN(2)/2)*CG73*CJ73*VLOOKUP('Données projet'!$B$12,Paramètres!$A$1:$I$89,3,0)*0.475*44/12</f>
        <v>4.2879110338740246E-8</v>
      </c>
      <c r="CN73" s="22">
        <f t="shared" si="66"/>
        <v>45.023447166360469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63.4638911678014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63.4638911678014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63.4638911678014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63.4638911678014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63.4638911678014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63.4638911678014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4.45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16.316666666666666</v>
      </c>
      <c r="H74" s="66">
        <f t="shared" si="56"/>
        <v>191.4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63.577278043489819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-5.6843418860808015E-14</v>
      </c>
      <c r="O74" s="13">
        <f>N74*VLOOKUP('Données projet'!$B$9,Paramètres!$A$1:$I$89,3,0)*VLOOKUP('Données projet'!$B$9,Paramètres!$A$1:$I$89,5,0)</f>
        <v>-2.5006556825246661E-14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129.89493875503857</v>
      </c>
      <c r="T74" s="59">
        <f t="shared" si="88"/>
        <v>318.19554842399577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23.646431753165572</v>
      </c>
      <c r="AA74" s="21">
        <f>EXP(-LN(2)/25)*AA73+(1-EXP(-LN(2)/25))/(LN(2)/25)*Calculateur!V74*Calculateur!X74*VLOOKUP('Données projet'!$B$9,Paramètres!$A$1:$I$89,3,0)*0.475*44/12</f>
        <v>4.2212653956559887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27.867697148821563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63.577278043489819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96.263123361643096</v>
      </c>
      <c r="AO74" s="59">
        <f t="shared" si="90"/>
        <v>291.35824366856377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20.714606630174345</v>
      </c>
      <c r="AV74" s="21">
        <f>EXP(-LN(2)/25)*AV73+(1-EXP(-LN(2)/25))/(LN(2)/25)*Calculateur!AQ74*Calculateur!AS74*VLOOKUP('Données projet'!$B$10,Paramètres!$A$1:$I$89,3,0)*0.475*44/12</f>
        <v>3.6110433713698229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24.325650001544169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63.577278043489819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>
        <f>BD74*VLOOKUP('Données projet'!$B$11,Paramètres!$A$1:$I$89,3,0)*VLOOKUP('Données projet'!$B$11,Paramètres!$A$1:$I$89,5,0)</f>
        <v>0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103.69736557010637</v>
      </c>
      <c r="BJ74" s="59">
        <f t="shared" si="92"/>
        <v>312.86697521864392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22.404095823415524</v>
      </c>
      <c r="BQ74" s="21">
        <f>EXP(-LN(2)/25)*BQ73+(1-EXP(-LN(2)/25))/(LN(2)/25)*Calculateur!BL74*Calculateur!BN74*VLOOKUP('Données projet'!$B$11,Paramètres!$A$1:$I$89,3,0)*0.475*44/12</f>
        <v>3.9055610931482114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26.309656916563736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63.577278043489819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>
        <f>BY74*VLOOKUP('Données projet'!$B$12,Paramètres!$A$1:$I$89,3,0)*VLOOKUP('Données projet'!$B$12,Paramètres!$A$1:$I$89,5,0)</f>
        <v>0</v>
      </c>
      <c r="CA74" s="13" t="e">
        <f t="shared" si="93"/>
        <v>#NUM!</v>
      </c>
      <c r="CB74" s="20" t="e">
        <f t="shared" si="64"/>
        <v>#NUM!</v>
      </c>
      <c r="CC74" s="59" t="e">
        <f t="shared" si="65"/>
        <v>#NUM!</v>
      </c>
      <c r="CD74" s="59">
        <f ca="1">AVERAGE(OFFSET($CC$3,0,0,'Données projet'!$E$12+1,1))-AVERAGE(OFFSET($H$3,0,0,'Données projet'!$E$12+1,1))</f>
        <v>189.55118397415424</v>
      </c>
      <c r="CE74" s="59">
        <f t="shared" si="94"/>
        <v>456.28719984856014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43.792278594209584</v>
      </c>
      <c r="CM74" s="21">
        <f>EXP(-LN(2)/2)*CM73+(1-EXP(-LN(2)/2))/(LN(2)/2)*CG74*CJ74*VLOOKUP('Données projet'!$B$12,Paramètres!$A$1:$I$89,3,0)*0.475*44/12</f>
        <v>3.0320109691769427E-8</v>
      </c>
      <c r="CN74" s="22">
        <f t="shared" si="66"/>
        <v>43.792278624529693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63.577278043489819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63.577278043489819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63.577278043489819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63.577278043489819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63.577278043489819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63.577278043489819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4.45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16.316666666666666</v>
      </c>
      <c r="H75" s="66">
        <f t="shared" si="56"/>
        <v>191.4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63.688697910380114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-5.6843418860808015E-14</v>
      </c>
      <c r="O75" s="13">
        <f>N75*VLOOKUP('Données projet'!$B$9,Paramètres!$A$1:$I$89,3,0)*VLOOKUP('Données projet'!$B$9,Paramètres!$A$1:$I$89,5,0)</f>
        <v>-2.5006556825246661E-14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129.89493875503857</v>
      </c>
      <c r="T75" s="59">
        <f t="shared" si="88"/>
        <v>318.19554842399577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23.182739649385223</v>
      </c>
      <c r="AA75" s="21">
        <f>EXP(-LN(2)/25)*AA74+(1-EXP(-LN(2)/25))/(LN(2)/25)*Calculateur!V75*Calculateur!X75*VLOOKUP('Données projet'!$B$9,Paramètres!$A$1:$I$89,3,0)*0.475*44/12</f>
        <v>4.1058346714250762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27.288574320810298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63.688697910380114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96.263123361643096</v>
      </c>
      <c r="AO75" s="59">
        <f t="shared" si="90"/>
        <v>291.35824366856377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20.308405828819101</v>
      </c>
      <c r="AV75" s="21">
        <f>EXP(-LN(2)/25)*AV74+(1-EXP(-LN(2)/25))/(LN(2)/25)*Calculateur!AQ75*Calculateur!AS75*VLOOKUP('Données projet'!$B$10,Paramètres!$A$1:$I$89,3,0)*0.475*44/12</f>
        <v>3.5122992004831972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23.820705029302299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63.688697910380114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>
        <f>BD75*VLOOKUP('Données projet'!$B$11,Paramètres!$A$1:$I$89,3,0)*VLOOKUP('Données projet'!$B$11,Paramètres!$A$1:$I$89,5,0)</f>
        <v>0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103.69736557010637</v>
      </c>
      <c r="BJ75" s="59">
        <f t="shared" si="92"/>
        <v>312.86697521864392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21.964765169467476</v>
      </c>
      <c r="BQ75" s="21">
        <f>EXP(-LN(2)/25)*BQ74+(1-EXP(-LN(2)/25))/(LN(2)/25)*Calculateur!BL75*Calculateur!BN75*VLOOKUP('Données projet'!$B$11,Paramètres!$A$1:$I$89,3,0)*0.475*44/12</f>
        <v>3.7987633196715418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25.76352848913902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63.688697910380114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>
        <f>BY75*VLOOKUP('Données projet'!$B$12,Paramètres!$A$1:$I$89,3,0)*VLOOKUP('Données projet'!$B$12,Paramètres!$A$1:$I$89,5,0)</f>
        <v>0</v>
      </c>
      <c r="CA75" s="13" t="e">
        <f t="shared" si="93"/>
        <v>#NUM!</v>
      </c>
      <c r="CB75" s="20" t="e">
        <f t="shared" si="64"/>
        <v>#NUM!</v>
      </c>
      <c r="CC75" s="59" t="e">
        <f t="shared" si="65"/>
        <v>#NUM!</v>
      </c>
      <c r="CD75" s="59">
        <f ca="1">AVERAGE(OFFSET($CC$3,0,0,'Données projet'!$E$12+1,1))-AVERAGE(OFFSET($H$3,0,0,'Données projet'!$E$12+1,1))</f>
        <v>189.55118397415424</v>
      </c>
      <c r="CE75" s="59">
        <f t="shared" si="94"/>
        <v>456.28719984856014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42.594776433115079</v>
      </c>
      <c r="CM75" s="21">
        <f>EXP(-LN(2)/2)*CM74+(1-EXP(-LN(2)/2))/(LN(2)/2)*CG75*CJ75*VLOOKUP('Données projet'!$B$12,Paramètres!$A$1:$I$89,3,0)*0.475*44/12</f>
        <v>2.1439555169370123E-8</v>
      </c>
      <c r="CN75" s="22">
        <f t="shared" si="66"/>
        <v>42.594776454554633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63.688697910380114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63.688697910380114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63.688697910380114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63.688697910380114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63.688697910380114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63.688697910380114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4.45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16.316666666666666</v>
      </c>
      <c r="H76" s="66">
        <f t="shared" si="56"/>
        <v>191.4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63.798184891677373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-5.6843418860808015E-14</v>
      </c>
      <c r="O76" s="13">
        <f>N76*VLOOKUP('Données projet'!$B$9,Paramètres!$A$1:$I$89,3,0)*VLOOKUP('Données projet'!$B$9,Paramètres!$A$1:$I$89,5,0)</f>
        <v>-2.5006556825246661E-14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129.89493875503857</v>
      </c>
      <c r="T76" s="59">
        <f t="shared" si="88"/>
        <v>318.19554842399577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22.72814026493575</v>
      </c>
      <c r="AA76" s="21">
        <f>EXP(-LN(2)/25)*AA75+(1-EXP(-LN(2)/25))/(LN(2)/25)*Calculateur!V76*Calculateur!X76*VLOOKUP('Données projet'!$B$9,Paramètres!$A$1:$I$89,3,0)*0.475*44/12</f>
        <v>3.9935604064184962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26.721700671354245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63.798184891677373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96.263123361643096</v>
      </c>
      <c r="AO76" s="59">
        <f t="shared" si="90"/>
        <v>291.35824366856377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19.91017037742041</v>
      </c>
      <c r="AV76" s="21">
        <f>EXP(-LN(2)/25)*AV75+(1-EXP(-LN(2)/25))/(LN(2)/25)*Calculateur!AQ76*Calculateur!AS76*VLOOKUP('Données projet'!$B$10,Paramètres!$A$1:$I$89,3,0)*0.475*44/12</f>
        <v>3.4162551941421966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23.326425571562606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63.798184891677373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>
        <f>BD76*VLOOKUP('Données projet'!$B$11,Paramètres!$A$1:$I$89,3,0)*VLOOKUP('Données projet'!$B$11,Paramètres!$A$1:$I$89,5,0)</f>
        <v>0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103.69736557010637</v>
      </c>
      <c r="BJ76" s="59">
        <f t="shared" si="92"/>
        <v>312.86697521864392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21.53404952167811</v>
      </c>
      <c r="BQ76" s="21">
        <f>EXP(-LN(2)/25)*BQ75+(1-EXP(-LN(2)/25))/(LN(2)/25)*Calculateur!BL76*Calculateur!BN76*VLOOKUP('Données projet'!$B$11,Paramètres!$A$1:$I$89,3,0)*0.475*44/12</f>
        <v>3.6948859369268425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25.228935458604951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63.798184891677373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>
        <f>BY76*VLOOKUP('Données projet'!$B$12,Paramètres!$A$1:$I$89,3,0)*VLOOKUP('Données projet'!$B$12,Paramètres!$A$1:$I$89,5,0)</f>
        <v>0</v>
      </c>
      <c r="CA76" s="13" t="e">
        <f t="shared" si="93"/>
        <v>#NUM!</v>
      </c>
      <c r="CB76" s="20" t="e">
        <f t="shared" si="64"/>
        <v>#NUM!</v>
      </c>
      <c r="CC76" s="59" t="e">
        <f t="shared" si="65"/>
        <v>#NUM!</v>
      </c>
      <c r="CD76" s="59">
        <f ca="1">AVERAGE(OFFSET($CC$3,0,0,'Données projet'!$E$12+1,1))-AVERAGE(OFFSET($H$3,0,0,'Données projet'!$E$12+1,1))</f>
        <v>189.55118397415424</v>
      </c>
      <c r="CE76" s="59">
        <f t="shared" si="94"/>
        <v>456.28719984856014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41.430020031589606</v>
      </c>
      <c r="CM76" s="21">
        <f>EXP(-LN(2)/2)*CM75+(1-EXP(-LN(2)/2))/(LN(2)/2)*CG76*CJ76*VLOOKUP('Données projet'!$B$12,Paramètres!$A$1:$I$89,3,0)*0.475*44/12</f>
        <v>1.5160054845884713E-8</v>
      </c>
      <c r="CN76" s="22">
        <f t="shared" si="66"/>
        <v>41.430020046749661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63.798184891677373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63.798184891677373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63.798184891677373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63.798184891677373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63.798184891677373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63.798184891677373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4.45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16.316666666666666</v>
      </c>
      <c r="H77" s="66">
        <f t="shared" si="56"/>
        <v>191.4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63.905772518625341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-5.6843418860808015E-14</v>
      </c>
      <c r="O77" s="13">
        <f>N77*VLOOKUP('Données projet'!$B$9,Paramètres!$A$1:$I$89,3,0)*VLOOKUP('Données projet'!$B$9,Paramètres!$A$1:$I$89,5,0)</f>
        <v>-2.5006556825246661E-14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129.89493875503857</v>
      </c>
      <c r="T77" s="59">
        <f t="shared" si="88"/>
        <v>318.19554842399577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22.282455297137084</v>
      </c>
      <c r="AA77" s="21">
        <f>EXP(-LN(2)/25)*AA76+(1-EXP(-LN(2)/25))/(LN(2)/25)*Calculateur!V77*Calculateur!X77*VLOOKUP('Données projet'!$B$9,Paramètres!$A$1:$I$89,3,0)*0.475*44/12</f>
        <v>3.8843562870927681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26.166811584229851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63.905772518625341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96.263123361643096</v>
      </c>
      <c r="AO77" s="59">
        <f t="shared" si="90"/>
        <v>291.35824366856377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19.519744080324006</v>
      </c>
      <c r="AV77" s="21">
        <f>EXP(-LN(2)/25)*AV76+(1-EXP(-LN(2)/25))/(LN(2)/25)*Calculateur!AQ77*Calculateur!AS77*VLOOKUP('Données projet'!$B$10,Paramètres!$A$1:$I$89,3,0)*0.475*44/12</f>
        <v>3.3228375162053254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22.842581596529332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63.905772518625341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>
        <f>BD77*VLOOKUP('Données projet'!$B$11,Paramètres!$A$1:$I$89,3,0)*VLOOKUP('Données projet'!$B$11,Paramètres!$A$1:$I$89,5,0)</f>
        <v>0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103.69736557010637</v>
      </c>
      <c r="BJ77" s="59">
        <f t="shared" si="92"/>
        <v>312.86697521864392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21.111779945031287</v>
      </c>
      <c r="BQ77" s="21">
        <f>EXP(-LN(2)/25)*BQ76+(1-EXP(-LN(2)/25))/(LN(2)/25)*Calculateur!BL77*Calculateur!BN77*VLOOKUP('Données projet'!$B$11,Paramètres!$A$1:$I$89,3,0)*0.475*44/12</f>
        <v>3.5938490866759714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24.705629031707257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63.905772518625341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>
        <f>BY77*VLOOKUP('Données projet'!$B$12,Paramètres!$A$1:$I$89,3,0)*VLOOKUP('Données projet'!$B$12,Paramètres!$A$1:$I$89,5,0)</f>
        <v>0</v>
      </c>
      <c r="CA77" s="13" t="e">
        <f t="shared" si="93"/>
        <v>#NUM!</v>
      </c>
      <c r="CB77" s="20" t="e">
        <f t="shared" si="64"/>
        <v>#NUM!</v>
      </c>
      <c r="CC77" s="59" t="e">
        <f t="shared" si="65"/>
        <v>#NUM!</v>
      </c>
      <c r="CD77" s="59">
        <f ca="1">AVERAGE(OFFSET($CC$3,0,0,'Données projet'!$E$12+1,1))-AVERAGE(OFFSET($H$3,0,0,'Données projet'!$E$12+1,1))</f>
        <v>189.55118397415424</v>
      </c>
      <c r="CE77" s="59">
        <f t="shared" si="94"/>
        <v>456.28719984856014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40.297113955115726</v>
      </c>
      <c r="CM77" s="21">
        <f>EXP(-LN(2)/2)*CM76+(1-EXP(-LN(2)/2))/(LN(2)/2)*CG77*CJ77*VLOOKUP('Données projet'!$B$12,Paramètres!$A$1:$I$89,3,0)*0.475*44/12</f>
        <v>1.0719777584685062E-8</v>
      </c>
      <c r="CN77" s="22">
        <f t="shared" si="66"/>
        <v>40.297113965835507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63.905772518625341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63.905772518625341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63.905772518625341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63.905772518625341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63.905772518625341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63.905772518625341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4.45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16.316666666666666</v>
      </c>
      <c r="H78" s="66">
        <f t="shared" si="56"/>
        <v>191.4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64.011493740775663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-5.6843418860808015E-14</v>
      </c>
      <c r="O78" s="13">
        <f>N78*VLOOKUP('Données projet'!$B$9,Paramètres!$A$1:$I$89,3,0)*VLOOKUP('Données projet'!$B$9,Paramètres!$A$1:$I$89,5,0)</f>
        <v>-2.5006556825246661E-14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129.89493875503857</v>
      </c>
      <c r="T78" s="59">
        <f t="shared" si="88"/>
        <v>318.19554842399577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21.84550993971596</v>
      </c>
      <c r="AA78" s="21">
        <f>EXP(-LN(2)/25)*AA77+(1-EXP(-LN(2)/25))/(LN(2)/25)*Calculateur!V78*Calculateur!X78*VLOOKUP('Données projet'!$B$9,Paramètres!$A$1:$I$89,3,0)*0.475*44/12</f>
        <v>3.7781383601527971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25.623648299868758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64.011493740775663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96.263123361643096</v>
      </c>
      <c r="AO78" s="59">
        <f t="shared" si="90"/>
        <v>291.35824366856377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19.136973804777135</v>
      </c>
      <c r="AV78" s="21">
        <f>EXP(-LN(2)/25)*AV77+(1-EXP(-LN(2)/25))/(LN(2)/25)*Calculateur!AQ78*Calculateur!AS78*VLOOKUP('Données projet'!$B$10,Paramètres!$A$1:$I$89,3,0)*0.475*44/12</f>
        <v>3.2319743495842603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22.368948154361394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64.011493740775663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>
        <f>BD78*VLOOKUP('Données projet'!$B$11,Paramètres!$A$1:$I$89,3,0)*VLOOKUP('Données projet'!$B$11,Paramètres!$A$1:$I$89,5,0)</f>
        <v>0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103.69736557010637</v>
      </c>
      <c r="BJ78" s="59">
        <f t="shared" si="92"/>
        <v>312.86697521864392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20.697790817223499</v>
      </c>
      <c r="BQ78" s="21">
        <f>EXP(-LN(2)/25)*BQ77+(1-EXP(-LN(2)/25))/(LN(2)/25)*Calculateur!BL78*Calculateur!BN78*VLOOKUP('Données projet'!$B$11,Paramètres!$A$1:$I$89,3,0)*0.475*44/12</f>
        <v>3.4955750944085073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24.193365911632007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64.011493740775663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>
        <f>BY78*VLOOKUP('Données projet'!$B$12,Paramètres!$A$1:$I$89,3,0)*VLOOKUP('Données projet'!$B$12,Paramètres!$A$1:$I$89,5,0)</f>
        <v>0</v>
      </c>
      <c r="CA78" s="13" t="e">
        <f t="shared" si="93"/>
        <v>#NUM!</v>
      </c>
      <c r="CB78" s="20" t="e">
        <f t="shared" si="64"/>
        <v>#NUM!</v>
      </c>
      <c r="CC78" s="59" t="e">
        <f t="shared" si="65"/>
        <v>#NUM!</v>
      </c>
      <c r="CD78" s="59">
        <f ca="1">AVERAGE(OFFSET($CC$3,0,0,'Données projet'!$E$12+1,1))-AVERAGE(OFFSET($H$3,0,0,'Données projet'!$E$12+1,1))</f>
        <v>189.55118397415424</v>
      </c>
      <c r="CE78" s="59">
        <f t="shared" si="94"/>
        <v>456.28719984856014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39.195187254879961</v>
      </c>
      <c r="CM78" s="21">
        <f>EXP(-LN(2)/2)*CM77+(1-EXP(-LN(2)/2))/(LN(2)/2)*CG78*CJ78*VLOOKUP('Données projet'!$B$12,Paramètres!$A$1:$I$89,3,0)*0.475*44/12</f>
        <v>7.5800274229423567E-9</v>
      </c>
      <c r="CN78" s="22">
        <f t="shared" si="66"/>
        <v>39.195187262459989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64.011493740775663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64.011493740775663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64.011493740775663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64.011493740775663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64.011493740775663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64.011493740775663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4.45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16.316666666666666</v>
      </c>
      <c r="H79" s="66">
        <f t="shared" si="56"/>
        <v>191.4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64.115380936078907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-5.6843418860808015E-14</v>
      </c>
      <c r="O79" s="13">
        <f>N79*VLOOKUP('Données projet'!$B$9,Paramètres!$A$1:$I$89,3,0)*VLOOKUP('Données projet'!$B$9,Paramètres!$A$1:$I$89,5,0)</f>
        <v>-2.5006556825246661E-14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129.89493875503857</v>
      </c>
      <c r="T79" s="59">
        <f t="shared" si="88"/>
        <v>318.19554842399577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21.417132814243512</v>
      </c>
      <c r="AA79" s="21">
        <f>EXP(-LN(2)/25)*AA78+(1-EXP(-LN(2)/25))/(LN(2)/25)*Calculateur!V79*Calculateur!X79*VLOOKUP('Données projet'!$B$9,Paramètres!$A$1:$I$89,3,0)*0.475*44/12</f>
        <v>3.6748249680107574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25.091957782254269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64.115380936078907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96.263123361643096</v>
      </c>
      <c r="AO79" s="59">
        <f t="shared" si="90"/>
        <v>291.35824366856377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18.761709420866922</v>
      </c>
      <c r="AV79" s="21">
        <f>EXP(-LN(2)/25)*AV78+(1-EXP(-LN(2)/25))/(LN(2)/25)*Calculateur!AQ79*Calculateur!AS79*VLOOKUP('Données projet'!$B$10,Paramètres!$A$1:$I$89,3,0)*0.475*44/12</f>
        <v>3.1435958410327345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21.905305261899656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64.115380936078907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>
        <f>BD79*VLOOKUP('Données projet'!$B$11,Paramètres!$A$1:$I$89,3,0)*VLOOKUP('Données projet'!$B$11,Paramètres!$A$1:$I$89,5,0)</f>
        <v>0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103.69736557010637</v>
      </c>
      <c r="BJ79" s="59">
        <f t="shared" si="92"/>
        <v>312.86697521864392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20.291919763703589</v>
      </c>
      <c r="BQ79" s="21">
        <f>EXP(-LN(2)/25)*BQ78+(1-EXP(-LN(2)/25))/(LN(2)/25)*Calculateur!BL79*Calculateur!BN79*VLOOKUP('Données projet'!$B$11,Paramètres!$A$1:$I$89,3,0)*0.475*44/12</f>
        <v>3.3999884096276016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23.691908173331193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64.115380936078907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>
        <f>BY79*VLOOKUP('Données projet'!$B$12,Paramètres!$A$1:$I$89,3,0)*VLOOKUP('Données projet'!$B$12,Paramètres!$A$1:$I$89,5,0)</f>
        <v>0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189.55118397415424</v>
      </c>
      <c r="CE79" s="59">
        <f t="shared" si="94"/>
        <v>456.28719984856014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38.123392798209956</v>
      </c>
      <c r="CM79" s="21">
        <f>EXP(-LN(2)/2)*CM78+(1-EXP(-LN(2)/2))/(LN(2)/2)*CG79*CJ79*VLOOKUP('Données projet'!$B$12,Paramètres!$A$1:$I$89,3,0)*0.475*44/12</f>
        <v>5.3598887923425308E-9</v>
      </c>
      <c r="CN79" s="22">
        <f t="shared" si="66"/>
        <v>38.123392803569843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64.115380936078907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64.115380936078907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64.115380936078907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64.115380936078907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64.115380936078907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64.115380936078907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4.45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16.316666666666666</v>
      </c>
      <c r="H80" s="66">
        <f t="shared" si="56"/>
        <v>191.4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64.217465920800635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-5.6843418860808015E-14</v>
      </c>
      <c r="O80" s="13">
        <f>N80*VLOOKUP('Données projet'!$B$9,Paramètres!$A$1:$I$89,3,0)*VLOOKUP('Données projet'!$B$9,Paramètres!$A$1:$I$89,5,0)</f>
        <v>-2.5006556825246661E-14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129.89493875503857</v>
      </c>
      <c r="T80" s="59">
        <f t="shared" si="88"/>
        <v>318.19554842399577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20.997155902917335</v>
      </c>
      <c r="AA80" s="21">
        <f>EXP(-LN(2)/25)*AA79+(1-EXP(-LN(2)/25))/(LN(2)/25)*Calculateur!V80*Calculateur!X80*VLOOKUP('Données projet'!$B$9,Paramètres!$A$1:$I$89,3,0)*0.475*44/12</f>
        <v>3.5743366860098571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24.571492588927192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64.217465920800635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96.263123361643096</v>
      </c>
      <c r="AO80" s="59">
        <f t="shared" si="90"/>
        <v>291.35824366856377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18.393803742636514</v>
      </c>
      <c r="AV80" s="21">
        <f>EXP(-LN(2)/25)*AV79+(1-EXP(-LN(2)/25))/(LN(2)/25)*Calculateur!AQ80*Calculateur!AS80*VLOOKUP('Données projet'!$B$10,Paramètres!$A$1:$I$89,3,0)*0.475*44/12</f>
        <v>3.0576340474451738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21.451437790081687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64.217465920800635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>
        <f>BD80*VLOOKUP('Données projet'!$B$11,Paramètres!$A$1:$I$89,3,0)*VLOOKUP('Données projet'!$B$11,Paramètres!$A$1:$I$89,5,0)</f>
        <v>0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103.69736557010637</v>
      </c>
      <c r="BJ80" s="59">
        <f t="shared" si="92"/>
        <v>312.86697521864392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19.894007593986306</v>
      </c>
      <c r="BQ80" s="21">
        <f>EXP(-LN(2)/25)*BQ79+(1-EXP(-LN(2)/25))/(LN(2)/25)*Calculateur!BL80*Calculateur!BN80*VLOOKUP('Données projet'!$B$11,Paramètres!$A$1:$I$89,3,0)*0.475*44/12</f>
        <v>3.3070155477687151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23.201023141755019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64.217465920800635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>
        <f>BY80*VLOOKUP('Données projet'!$B$12,Paramètres!$A$1:$I$89,3,0)*VLOOKUP('Données projet'!$B$12,Paramètres!$A$1:$I$89,5,0)</f>
        <v>0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189.55118397415424</v>
      </c>
      <c r="CE80" s="59">
        <f t="shared" si="94"/>
        <v>456.28719984856014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37.080906617320807</v>
      </c>
      <c r="CM80" s="21">
        <f>EXP(-LN(2)/2)*CM79+(1-EXP(-LN(2)/2))/(LN(2)/2)*CG80*CJ80*VLOOKUP('Données projet'!$B$12,Paramètres!$A$1:$I$89,3,0)*0.475*44/12</f>
        <v>3.7900137114711784E-9</v>
      </c>
      <c r="CN80" s="22">
        <f t="shared" si="66"/>
        <v>37.08090662111082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64.217465920800635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64.217465920800635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64.217465920800635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64.217465920800635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64.217465920800635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64.217465920800635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4.45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16.316666666666666</v>
      </c>
      <c r="H81" s="66">
        <f t="shared" si="56"/>
        <v>191.4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64.317779959265266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-5.6843418860808015E-14</v>
      </c>
      <c r="O81" s="13">
        <f>N81*VLOOKUP('Données projet'!$B$9,Paramètres!$A$1:$I$89,3,0)*VLOOKUP('Données projet'!$B$9,Paramètres!$A$1:$I$89,5,0)</f>
        <v>-2.5006556825246661E-14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129.89493875503857</v>
      </c>
      <c r="T81" s="59">
        <f t="shared" si="88"/>
        <v>318.19554842399577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20.585414482661641</v>
      </c>
      <c r="AA81" s="21">
        <f>EXP(-LN(2)/25)*AA80+(1-EXP(-LN(2)/25))/(LN(2)/25)*Calculateur!V81*Calculateur!X81*VLOOKUP('Données projet'!$B$9,Paramètres!$A$1:$I$89,3,0)*0.475*44/12</f>
        <v>3.4765962613647203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24.06201074402636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64.317779959265266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96.263123361643096</v>
      </c>
      <c r="AO81" s="59">
        <f t="shared" si="90"/>
        <v>291.35824366856377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18.033112470355899</v>
      </c>
      <c r="AV81" s="21">
        <f>EXP(-LN(2)/25)*AV80+(1-EXP(-LN(2)/25))/(LN(2)/25)*Calculateur!AQ81*Calculateur!AS81*VLOOKUP('Données projet'!$B$10,Paramètres!$A$1:$I$89,3,0)*0.475*44/12</f>
        <v>2.9740228836237992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21.007135353979699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64.317779959265266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>
        <f>BD81*VLOOKUP('Données projet'!$B$11,Paramètres!$A$1:$I$89,3,0)*VLOOKUP('Données projet'!$B$11,Paramètres!$A$1:$I$89,5,0)</f>
        <v>0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103.69736557010637</v>
      </c>
      <c r="BJ81" s="59">
        <f t="shared" si="92"/>
        <v>312.86697521864392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19.50389823921472</v>
      </c>
      <c r="BQ81" s="21">
        <f>EXP(-LN(2)/25)*BQ80+(1-EXP(-LN(2)/25))/(LN(2)/25)*Calculateur!BL81*Calculateur!BN81*VLOOKUP('Données projet'!$B$11,Paramètres!$A$1:$I$89,3,0)*0.475*44/12</f>
        <v>3.2165850337065902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22.72048327292131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64.317779959265266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>
        <f>BY81*VLOOKUP('Données projet'!$B$12,Paramètres!$A$1:$I$89,3,0)*VLOOKUP('Données projet'!$B$12,Paramètres!$A$1:$I$89,5,0)</f>
        <v>0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189.55118397415424</v>
      </c>
      <c r="CE81" s="59">
        <f t="shared" si="94"/>
        <v>456.28719984856014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36.066927275870043</v>
      </c>
      <c r="CM81" s="21">
        <f>EXP(-LN(2)/2)*CM80+(1-EXP(-LN(2)/2))/(LN(2)/2)*CG81*CJ81*VLOOKUP('Données projet'!$B$12,Paramètres!$A$1:$I$89,3,0)*0.475*44/12</f>
        <v>2.6799443961712654E-9</v>
      </c>
      <c r="CN81" s="22">
        <f t="shared" si="66"/>
        <v>36.06692727854999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64.317779959265266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64.317779959265266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64.317779959265266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64.317779959265266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64.317779959265266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64.317779959265266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4.45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16.316666666666666</v>
      </c>
      <c r="H82" s="66">
        <f t="shared" si="56"/>
        <v>191.4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64.41635377343114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-5.6843418860808015E-14</v>
      </c>
      <c r="O82" s="13">
        <f>N82*VLOOKUP('Données projet'!$B$9,Paramètres!$A$1:$I$89,3,0)*VLOOKUP('Données projet'!$B$9,Paramètres!$A$1:$I$89,5,0)</f>
        <v>-2.5006556825246661E-14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129.89493875503857</v>
      </c>
      <c r="T82" s="59">
        <f t="shared" si="88"/>
        <v>318.19554842399577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20.18174706051969</v>
      </c>
      <c r="AA82" s="21">
        <f>EXP(-LN(2)/25)*AA81+(1-EXP(-LN(2)/25))/(LN(2)/25)*Calculateur!V82*Calculateur!X82*VLOOKUP('Données projet'!$B$9,Paramètres!$A$1:$I$89,3,0)*0.475*44/12</f>
        <v>3.3815285537714503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23.56327561429114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64.41635377343114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96.263123361643096</v>
      </c>
      <c r="AO82" s="59">
        <f t="shared" si="90"/>
        <v>291.35824366856377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17.679494133924756</v>
      </c>
      <c r="AV82" s="21">
        <f>EXP(-LN(2)/25)*AV81+(1-EXP(-LN(2)/25))/(LN(2)/25)*Calculateur!AQ82*Calculateur!AS82*VLOOKUP('Données projet'!$B$10,Paramètres!$A$1:$I$89,3,0)*0.475*44/12</f>
        <v>2.8926980714740402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20.572192205398796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64.41635377343114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>
        <f>BD82*VLOOKUP('Données projet'!$B$11,Paramètres!$A$1:$I$89,3,0)*VLOOKUP('Données projet'!$B$11,Paramètres!$A$1:$I$89,5,0)</f>
        <v>0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103.69736557010637</v>
      </c>
      <c r="BJ82" s="59">
        <f t="shared" si="92"/>
        <v>312.86697521864392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19.121438690946992</v>
      </c>
      <c r="BQ82" s="21">
        <f>EXP(-LN(2)/25)*BQ81+(1-EXP(-LN(2)/25))/(LN(2)/25)*Calculateur!BL82*Calculateur!BN82*VLOOKUP('Données projet'!$B$11,Paramètres!$A$1:$I$89,3,0)*0.475*44/12</f>
        <v>3.1286273468070283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22.250066037754021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64.41635377343114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>
        <f>BY82*VLOOKUP('Données projet'!$B$12,Paramètres!$A$1:$I$89,3,0)*VLOOKUP('Données projet'!$B$12,Paramètres!$A$1:$I$89,5,0)</f>
        <v>0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189.55118397415424</v>
      </c>
      <c r="CE82" s="59">
        <f t="shared" si="94"/>
        <v>456.28719984856014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35.080675252834105</v>
      </c>
      <c r="CM82" s="21">
        <f>EXP(-LN(2)/2)*CM81+(1-EXP(-LN(2)/2))/(LN(2)/2)*CG82*CJ82*VLOOKUP('Données projet'!$B$12,Paramètres!$A$1:$I$89,3,0)*0.475*44/12</f>
        <v>1.8950068557355892E-9</v>
      </c>
      <c r="CN82" s="22">
        <f t="shared" si="66"/>
        <v>35.080675254729115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64.41635377343114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64.41635377343114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64.41635377343114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64.41635377343114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64.41635377343114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64.41635377343114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4.45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16.316666666666666</v>
      </c>
      <c r="H83" s="66">
        <f t="shared" si="56"/>
        <v>191.4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64.513217552299253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-5.6843418860808015E-14</v>
      </c>
      <c r="O83" s="13">
        <f>N83*VLOOKUP('Données projet'!$B$9,Paramètres!$A$1:$I$89,3,0)*VLOOKUP('Données projet'!$B$9,Paramètres!$A$1:$I$89,5,0)</f>
        <v>-2.5006556825246661E-14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129.89493875503857</v>
      </c>
      <c r="T83" s="59">
        <f t="shared" si="88"/>
        <v>318.19554842399577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19.78599531031313</v>
      </c>
      <c r="AA83" s="21">
        <f>EXP(-LN(2)/25)*AA82+(1-EXP(-LN(2)/25))/(LN(2)/25)*Calculateur!V83*Calculateur!X83*VLOOKUP('Données projet'!$B$9,Paramètres!$A$1:$I$89,3,0)*0.475*44/12</f>
        <v>3.2890604776417121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23.075055787954842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64.513217552299253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96.263123361643096</v>
      </c>
      <c r="AO83" s="59">
        <f t="shared" si="90"/>
        <v>291.35824366856377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17.332810037385137</v>
      </c>
      <c r="AV83" s="21">
        <f>EXP(-LN(2)/25)*AV82+(1-EXP(-LN(2)/25))/(LN(2)/25)*Calculateur!AQ83*Calculateur!AS83*VLOOKUP('Données projet'!$B$10,Paramètres!$A$1:$I$89,3,0)*0.475*44/12</f>
        <v>2.8135970905892025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20.146407127974339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64.513217552299253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>
        <f>BD83*VLOOKUP('Données projet'!$B$11,Paramètres!$A$1:$I$89,3,0)*VLOOKUP('Données projet'!$B$11,Paramètres!$A$1:$I$89,5,0)</f>
        <v>0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103.69736557010637</v>
      </c>
      <c r="BJ83" s="59">
        <f t="shared" si="92"/>
        <v>312.86697521864392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18.746478941143504</v>
      </c>
      <c r="BQ83" s="21">
        <f>EXP(-LN(2)/25)*BQ82+(1-EXP(-LN(2)/25))/(LN(2)/25)*Calculateur!BL83*Calculateur!BN83*VLOOKUP('Données projet'!$B$11,Paramètres!$A$1:$I$89,3,0)*0.475*44/12</f>
        <v>3.0430748674812285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21.789553808624731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64.513217552299253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>
        <f>BY83*VLOOKUP('Données projet'!$B$12,Paramètres!$A$1:$I$89,3,0)*VLOOKUP('Données projet'!$B$12,Paramètres!$A$1:$I$89,5,0)</f>
        <v>0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189.55118397415424</v>
      </c>
      <c r="CE83" s="59">
        <f t="shared" si="94"/>
        <v>456.28719984856014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34.12139234323282</v>
      </c>
      <c r="CM83" s="21">
        <f>EXP(-LN(2)/2)*CM82+(1-EXP(-LN(2)/2))/(LN(2)/2)*CG83*CJ83*VLOOKUP('Données projet'!$B$12,Paramètres!$A$1:$I$89,3,0)*0.475*44/12</f>
        <v>1.3399721980856327E-9</v>
      </c>
      <c r="CN83" s="22">
        <f t="shared" si="66"/>
        <v>34.12139234457279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64.513217552299253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64.513217552299253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64.513217552299253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64.513217552299253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64.513217552299253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64.513217552299253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4.45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16.316666666666666</v>
      </c>
      <c r="H84" s="66">
        <f t="shared" si="56"/>
        <v>191.4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64.608400961158978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-5.6843418860808015E-14</v>
      </c>
      <c r="O84" s="13">
        <f>N84*VLOOKUP('Données projet'!$B$9,Paramètres!$A$1:$I$89,3,0)*VLOOKUP('Données projet'!$B$9,Paramètres!$A$1:$I$89,5,0)</f>
        <v>-2.5006556825246661E-14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129.89493875503857</v>
      </c>
      <c r="T84" s="59">
        <f t="shared" si="88"/>
        <v>318.19554842399577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19.398004010543385</v>
      </c>
      <c r="AA84" s="21">
        <f>EXP(-LN(2)/25)*AA83+(1-EXP(-LN(2)/25))/(LN(2)/25)*Calculateur!V84*Calculateur!X84*VLOOKUP('Données projet'!$B$9,Paramètres!$A$1:$I$89,3,0)*0.475*44/12</f>
        <v>3.1991209459164263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22.597124956459812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64.608400961158978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96.263123361643096</v>
      </c>
      <c r="AO84" s="59">
        <f t="shared" si="90"/>
        <v>291.35824366856377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16.992924204522243</v>
      </c>
      <c r="AV84" s="21">
        <f>EXP(-LN(2)/25)*AV83+(1-EXP(-LN(2)/25))/(LN(2)/25)*Calculateur!AQ84*Calculateur!AS84*VLOOKUP('Données projet'!$B$10,Paramètres!$A$1:$I$89,3,0)*0.475*44/12</f>
        <v>2.7366591301864003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19.729583334708643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64.608400961158978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103.69736557010637</v>
      </c>
      <c r="BJ84" s="59">
        <f t="shared" si="92"/>
        <v>312.86697521864392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18.378871923330799</v>
      </c>
      <c r="BQ84" s="21">
        <f>EXP(-LN(2)/25)*BQ83+(1-EXP(-LN(2)/25))/(LN(2)/25)*Calculateur!BL84*Calculateur!BN84*VLOOKUP('Données projet'!$B$11,Paramètres!$A$1:$I$89,3,0)*0.475*44/12</f>
        <v>2.9598618252016022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21.338733748532402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64.608400961158978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>
        <f>BY84*VLOOKUP('Données projet'!$B$12,Paramètres!$A$1:$I$89,3,0)*VLOOKUP('Données projet'!$B$12,Paramètres!$A$1:$I$89,5,0)</f>
        <v>0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189.55118397415424</v>
      </c>
      <c r="CE84" s="59">
        <f t="shared" si="94"/>
        <v>456.28719984856014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33.188341075241084</v>
      </c>
      <c r="CM84" s="21">
        <f>EXP(-LN(2)/2)*CM83+(1-EXP(-LN(2)/2))/(LN(2)/2)*CG84*CJ84*VLOOKUP('Données projet'!$B$12,Paramètres!$A$1:$I$89,3,0)*0.475*44/12</f>
        <v>9.4750342786779459E-10</v>
      </c>
      <c r="CN84" s="22">
        <f t="shared" si="66"/>
        <v>33.188341076188586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64.608400961158978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64.608400961158978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64.608400961158978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64.608400961158978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64.608400961158978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64.608400961158978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4.45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16.316666666666666</v>
      </c>
      <c r="H85" s="66">
        <f t="shared" si="56"/>
        <v>191.4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64.701933150673213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-5.6843418860808015E-14</v>
      </c>
      <c r="O85" s="13">
        <f>N85*VLOOKUP('Données projet'!$B$9,Paramètres!$A$1:$I$89,3,0)*VLOOKUP('Données projet'!$B$9,Paramètres!$A$1:$I$89,5,0)</f>
        <v>-2.5006556825246661E-14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129.89493875503857</v>
      </c>
      <c r="T85" s="59">
        <f t="shared" si="88"/>
        <v>318.19554842399577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19.017620983510803</v>
      </c>
      <c r="AA85" s="21">
        <f>EXP(-LN(2)/25)*AA84+(1-EXP(-LN(2)/25))/(LN(2)/25)*Calculateur!V85*Calculateur!X85*VLOOKUP('Données projet'!$B$9,Paramètres!$A$1:$I$89,3,0)*0.475*44/12</f>
        <v>3.1116408154158828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22.129261798926684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64.701933150673213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96.263123361643096</v>
      </c>
      <c r="AO85" s="59">
        <f t="shared" si="90"/>
        <v>291.35824366856377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16.6597033255319</v>
      </c>
      <c r="AV85" s="21">
        <f>EXP(-LN(2)/25)*AV84+(1-EXP(-LN(2)/25))/(LN(2)/25)*Calculateur!AQ85*Calculateur!AS85*VLOOKUP('Données projet'!$B$10,Paramètres!$A$1:$I$89,3,0)*0.475*44/12</f>
        <v>2.6618250423568042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19.321528367888703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64.701933150673213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103.69736557010637</v>
      </c>
      <c r="BJ85" s="59">
        <f t="shared" si="92"/>
        <v>312.86697521864392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18.01847345491926</v>
      </c>
      <c r="BQ85" s="21">
        <f>EXP(-LN(2)/25)*BQ84+(1-EXP(-LN(2)/25))/(LN(2)/25)*Calculateur!BL85*Calculateur!BN85*VLOOKUP('Données projet'!$B$11,Paramètres!$A$1:$I$89,3,0)*0.475*44/12</f>
        <v>2.878924247939096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20.897397702858356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64.701933150673213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>
        <f>BY85*VLOOKUP('Données projet'!$B$12,Paramètres!$A$1:$I$89,3,0)*VLOOKUP('Données projet'!$B$12,Paramètres!$A$1:$I$89,5,0)</f>
        <v>0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189.55118397415424</v>
      </c>
      <c r="CE85" s="59">
        <f t="shared" si="94"/>
        <v>456.28719984856014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32.280804143239614</v>
      </c>
      <c r="CM85" s="21">
        <f>EXP(-LN(2)/2)*CM84+(1-EXP(-LN(2)/2))/(LN(2)/2)*CG85*CJ85*VLOOKUP('Données projet'!$B$12,Paramètres!$A$1:$I$89,3,0)*0.475*44/12</f>
        <v>6.6998609904281635E-10</v>
      </c>
      <c r="CN85" s="22">
        <f t="shared" si="66"/>
        <v>32.280804143909599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64.701933150673213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64.701933150673213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64.701933150673213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64.701933150673213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64.701933150673213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64.701933150673213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4.45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16.316666666666666</v>
      </c>
      <c r="H86" s="66">
        <f t="shared" si="56"/>
        <v>191.4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64.793842765806033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-5.6843418860808015E-14</v>
      </c>
      <c r="O86" s="13">
        <f>N86*VLOOKUP('Données projet'!$B$9,Paramètres!$A$1:$I$89,3,0)*VLOOKUP('Données projet'!$B$9,Paramètres!$A$1:$I$89,5,0)</f>
        <v>-2.5006556825246661E-14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129.89493875503857</v>
      </c>
      <c r="T86" s="59">
        <f t="shared" si="88"/>
        <v>318.19554842399577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18.644697035627591</v>
      </c>
      <c r="AA86" s="21">
        <f>EXP(-LN(2)/25)*AA85+(1-EXP(-LN(2)/25))/(LN(2)/25)*Calculateur!V86*Calculateur!X86*VLOOKUP('Données projet'!$B$9,Paramètres!$A$1:$I$89,3,0)*0.475*44/12</f>
        <v>3.0265528336842569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21.671249869311847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64.793842765806033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96.263123361643096</v>
      </c>
      <c r="AO86" s="59">
        <f t="shared" si="90"/>
        <v>291.35824366856377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16.333016704733893</v>
      </c>
      <c r="AV86" s="21">
        <f>EXP(-LN(2)/25)*AV85+(1-EXP(-LN(2)/25))/(LN(2)/25)*Calculateur!AQ86*Calculateur!AS86*VLOOKUP('Données projet'!$B$10,Paramètres!$A$1:$I$89,3,0)*0.475*44/12</f>
        <v>2.5890372965942618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18.922054001328156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64.793842765806033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103.69736557010637</v>
      </c>
      <c r="BJ86" s="59">
        <f t="shared" si="92"/>
        <v>312.86697521864392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17.665142180651909</v>
      </c>
      <c r="BQ86" s="21">
        <f>EXP(-LN(2)/25)*BQ85+(1-EXP(-LN(2)/25))/(LN(2)/25)*Calculateur!BL86*Calculateur!BN86*VLOOKUP('Données projet'!$B$11,Paramètres!$A$1:$I$89,3,0)*0.475*44/12</f>
        <v>2.800199912983155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20.465342093635066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64.793842765806033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>
        <f>BY86*VLOOKUP('Données projet'!$B$12,Paramètres!$A$1:$I$89,3,0)*VLOOKUP('Données projet'!$B$12,Paramètres!$A$1:$I$89,5,0)</f>
        <v>0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189.55118397415424</v>
      </c>
      <c r="CE86" s="59">
        <f t="shared" si="94"/>
        <v>456.28719984856014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31.398083856369016</v>
      </c>
      <c r="CM86" s="21">
        <f>EXP(-LN(2)/2)*CM85+(1-EXP(-LN(2)/2))/(LN(2)/2)*CG86*CJ86*VLOOKUP('Données projet'!$B$12,Paramètres!$A$1:$I$89,3,0)*0.475*44/12</f>
        <v>4.737517139338973E-10</v>
      </c>
      <c r="CN86" s="22">
        <f t="shared" si="66"/>
        <v>31.398083856842767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64.793842765806033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64.793842765806033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64.793842765806033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64.793842765806033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64.793842765806033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64.793842765806033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4.45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16.316666666666666</v>
      </c>
      <c r="H87" s="66">
        <f t="shared" si="56"/>
        <v>191.4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64.884157954595395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-5.6843418860808015E-14</v>
      </c>
      <c r="O87" s="13">
        <f>N87*VLOOKUP('Données projet'!$B$9,Paramètres!$A$1:$I$89,3,0)*VLOOKUP('Données projet'!$B$9,Paramètres!$A$1:$I$89,5,0)</f>
        <v>-2.5006556825246661E-14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129.89493875503857</v>
      </c>
      <c r="T87" s="59">
        <f t="shared" si="88"/>
        <v>318.19554842399577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18.279085898901219</v>
      </c>
      <c r="AA87" s="21">
        <f>EXP(-LN(2)/25)*AA86+(1-EXP(-LN(2)/25))/(LN(2)/25)*Calculateur!V87*Calculateur!X87*VLOOKUP('Données projet'!$B$9,Paramètres!$A$1:$I$89,3,0)*0.475*44/12</f>
        <v>2.9437915872876648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21.222877486188885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64.884157954595395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96.263123361643096</v>
      </c>
      <c r="AO87" s="59">
        <f t="shared" si="90"/>
        <v>291.35824366856377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16.012736209310571</v>
      </c>
      <c r="AV87" s="21">
        <f>EXP(-LN(2)/25)*AV86+(1-EXP(-LN(2)/25))/(LN(2)/25)*Calculateur!AQ87*Calculateur!AS87*VLOOKUP('Données projet'!$B$10,Paramètres!$A$1:$I$89,3,0)*0.475*44/12</f>
        <v>2.5182399355673377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18.530976144877908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64.884157954595395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103.69736557010637</v>
      </c>
      <c r="BJ87" s="59">
        <f t="shared" si="92"/>
        <v>312.86697521864392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17.318739517162143</v>
      </c>
      <c r="BQ87" s="21">
        <f>EXP(-LN(2)/25)*BQ86+(1-EXP(-LN(2)/25))/(LN(2)/25)*Calculateur!BL87*Calculateur!BN87*VLOOKUP('Données projet'!$B$11,Paramètres!$A$1:$I$89,3,0)*0.475*44/12</f>
        <v>2.723628299106517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20.042367816268658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64.884157954595395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>
        <f>BY87*VLOOKUP('Données projet'!$B$12,Paramètres!$A$1:$I$89,3,0)*VLOOKUP('Données projet'!$B$12,Paramètres!$A$1:$I$89,5,0)</f>
        <v>0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189.55118397415424</v>
      </c>
      <c r="CE87" s="59">
        <f t="shared" si="94"/>
        <v>456.28719984856014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30.539501602163138</v>
      </c>
      <c r="CM87" s="21">
        <f>EXP(-LN(2)/2)*CM86+(1-EXP(-LN(2)/2))/(LN(2)/2)*CG87*CJ87*VLOOKUP('Données projet'!$B$12,Paramètres!$A$1:$I$89,3,0)*0.475*44/12</f>
        <v>3.3499304952140817E-10</v>
      </c>
      <c r="CN87" s="22">
        <f t="shared" si="66"/>
        <v>30.539501602498131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64.884157954595395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64.884157954595395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64.884157954595395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64.884157954595395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64.884157954595395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64.884157954595395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4.45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16.316666666666666</v>
      </c>
      <c r="H88" s="66">
        <f t="shared" si="56"/>
        <v>191.4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64.972906376773778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-5.6843418860808015E-14</v>
      </c>
      <c r="O88" s="13">
        <f>N88*VLOOKUP('Données projet'!$B$9,Paramètres!$A$1:$I$89,3,0)*VLOOKUP('Données projet'!$B$9,Paramètres!$A$1:$I$89,5,0)</f>
        <v>-2.5006556825246661E-14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129.89493875503857</v>
      </c>
      <c r="T88" s="59">
        <f t="shared" si="88"/>
        <v>318.19554842399577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17.920644173565279</v>
      </c>
      <c r="AA88" s="21">
        <f>EXP(-LN(2)/25)*AA87+(1-EXP(-LN(2)/25))/(LN(2)/25)*Calculateur!V88*Calculateur!X88*VLOOKUP('Données projet'!$B$9,Paramètres!$A$1:$I$89,3,0)*0.475*44/12</f>
        <v>2.8632934515260122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20.783937625091291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64.972906376773778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96.263123361643096</v>
      </c>
      <c r="AO88" s="59">
        <f t="shared" si="90"/>
        <v>291.35824366856377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15.698736219050687</v>
      </c>
      <c r="AV88" s="21">
        <f>EXP(-LN(2)/25)*AV87+(1-EXP(-LN(2)/25))/(LN(2)/25)*Calculateur!AQ88*Calculateur!AS88*VLOOKUP('Données projet'!$B$10,Paramètres!$A$1:$I$89,3,0)*0.475*44/12</f>
        <v>2.4493785321007664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18.148114751151454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64.972906376773778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103.69736557010637</v>
      </c>
      <c r="BJ88" s="59">
        <f t="shared" si="92"/>
        <v>312.86697521864392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16.979129598618652</v>
      </c>
      <c r="BQ88" s="21">
        <f>EXP(-LN(2)/25)*BQ87+(1-EXP(-LN(2)/25))/(LN(2)/25)*Calculateur!BL88*Calculateur!BN88*VLOOKUP('Données projet'!$B$11,Paramètres!$A$1:$I$89,3,0)*0.475*44/12</f>
        <v>2.6491505400380619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19.628280138656713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64.972906376773778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>
        <f>BY88*VLOOKUP('Données projet'!$B$12,Paramètres!$A$1:$I$89,3,0)*VLOOKUP('Données projet'!$B$12,Paramètres!$A$1:$I$89,5,0)</f>
        <v>0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189.55118397415424</v>
      </c>
      <c r="CE88" s="59">
        <f t="shared" si="94"/>
        <v>456.28719984856014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29.704397324849396</v>
      </c>
      <c r="CM88" s="21">
        <f>EXP(-LN(2)/2)*CM87+(1-EXP(-LN(2)/2))/(LN(2)/2)*CG88*CJ88*VLOOKUP('Données projet'!$B$12,Paramètres!$A$1:$I$89,3,0)*0.475*44/12</f>
        <v>2.3687585696694865E-10</v>
      </c>
      <c r="CN88" s="22">
        <f t="shared" si="66"/>
        <v>29.704397325086273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64.972906376773778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64.972906376773778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64.972906376773778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64.972906376773778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64.972906376773778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64.972906376773778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4.45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16.316666666666666</v>
      </c>
      <c r="H89" s="66">
        <f t="shared" si="56"/>
        <v>191.4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65.06011521223914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-5.6843418860808015E-14</v>
      </c>
      <c r="O89" s="13">
        <f>N89*VLOOKUP('Données projet'!$B$9,Paramètres!$A$1:$I$89,3,0)*VLOOKUP('Données projet'!$B$9,Paramètres!$A$1:$I$89,5,0)</f>
        <v>-2.5006556825246661E-14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129.89493875503857</v>
      </c>
      <c r="T89" s="59">
        <f t="shared" si="88"/>
        <v>318.19554842399577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17.56923127183531</v>
      </c>
      <c r="AA89" s="21">
        <f>EXP(-LN(2)/25)*AA88+(1-EXP(-LN(2)/25))/(LN(2)/25)*Calculateur!V89*Calculateur!X89*VLOOKUP('Données projet'!$B$9,Paramètres!$A$1:$I$89,3,0)*0.475*44/12</f>
        <v>2.7849965415199751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20.354227813355287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65.06011521223914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96.263123361643096</v>
      </c>
      <c r="AO89" s="59">
        <f t="shared" si="90"/>
        <v>291.35824366856377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15.390893577078716</v>
      </c>
      <c r="AV89" s="21">
        <f>EXP(-LN(2)/25)*AV88+(1-EXP(-LN(2)/25))/(LN(2)/25)*Calculateur!AQ89*Calculateur!AS89*VLOOKUP('Données projet'!$B$10,Paramètres!$A$1:$I$89,3,0)*0.475*44/12</f>
        <v>2.3824001473332519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17.773293724411968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65.06011521223914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103.69736557010637</v>
      </c>
      <c r="BJ89" s="59">
        <f t="shared" si="92"/>
        <v>312.86697521864392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16.646179223436199</v>
      </c>
      <c r="BQ89" s="21">
        <f>EXP(-LN(2)/25)*BQ88+(1-EXP(-LN(2)/25))/(LN(2)/25)*Calculateur!BL89*Calculateur!BN89*VLOOKUP('Données projet'!$B$11,Paramètres!$A$1:$I$89,3,0)*0.475*44/12</f>
        <v>2.5767093792079487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19.222888602644147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65.06011521223914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>
        <f>BY89*VLOOKUP('Données projet'!$B$12,Paramètres!$A$1:$I$89,3,0)*VLOOKUP('Données projet'!$B$12,Paramètres!$A$1:$I$89,5,0)</f>
        <v>0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189.55118397415424</v>
      </c>
      <c r="CE89" s="59">
        <f t="shared" si="94"/>
        <v>456.28719984856014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28.892129017915025</v>
      </c>
      <c r="CM89" s="21">
        <f>EXP(-LN(2)/2)*CM88+(1-EXP(-LN(2)/2))/(LN(2)/2)*CG89*CJ89*VLOOKUP('Données projet'!$B$12,Paramètres!$A$1:$I$89,3,0)*0.475*44/12</f>
        <v>1.6749652476070409E-10</v>
      </c>
      <c r="CN89" s="22">
        <f t="shared" si="66"/>
        <v>28.892129018082521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65.06011521223914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65.06011521223914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65.06011521223914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65.06011521223914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65.06011521223914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65.06011521223914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4.45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16.316666666666666</v>
      </c>
      <c r="H90" s="66">
        <f t="shared" si="56"/>
        <v>191.4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65.145811169378888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-5.6843418860808015E-14</v>
      </c>
      <c r="O90" s="13">
        <f>N90*VLOOKUP('Données projet'!$B$9,Paramètres!$A$1:$I$89,3,0)*VLOOKUP('Données projet'!$B$9,Paramètres!$A$1:$I$89,5,0)</f>
        <v>-2.5006556825246661E-14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129.89493875503857</v>
      </c>
      <c r="T90" s="59">
        <f t="shared" si="88"/>
        <v>318.19554842399577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17.224709362767562</v>
      </c>
      <c r="AA90" s="21">
        <f>EXP(-LN(2)/25)*AA89+(1-EXP(-LN(2)/25))/(LN(2)/25)*Calculateur!V90*Calculateur!X90*VLOOKUP('Données projet'!$B$9,Paramètres!$A$1:$I$89,3,0)*0.475*44/12</f>
        <v>2.7088406646355083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19.933550027403072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65.145811169378888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96.263123361643096</v>
      </c>
      <c r="AO90" s="59">
        <f t="shared" si="90"/>
        <v>291.35824366856377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15.089087541550343</v>
      </c>
      <c r="AV90" s="21">
        <f>EXP(-LN(2)/25)*AV89+(1-EXP(-LN(2)/25))/(LN(2)/25)*Calculateur!AQ90*Calculateur!AS90*VLOOKUP('Données projet'!$B$10,Paramètres!$A$1:$I$89,3,0)*0.475*44/12</f>
        <v>2.3172532900194454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17.406340831569789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65.145811169378888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103.69736557010637</v>
      </c>
      <c r="BJ90" s="59">
        <f t="shared" si="92"/>
        <v>312.86697521864392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16.3197578020314</v>
      </c>
      <c r="BQ90" s="21">
        <f>EXP(-LN(2)/25)*BQ89+(1-EXP(-LN(2)/25))/(LN(2)/25)*Calculateur!BL90*Calculateur!BN90*VLOOKUP('Données projet'!$B$11,Paramètres!$A$1:$I$89,3,0)*0.475*44/12</f>
        <v>2.5062491257302502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18.82600692776165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65.145811169378888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>
        <f>BY90*VLOOKUP('Données projet'!$B$12,Paramètres!$A$1:$I$89,3,0)*VLOOKUP('Données projet'!$B$12,Paramètres!$A$1:$I$89,5,0)</f>
        <v>0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189.55118397415424</v>
      </c>
      <c r="CE90" s="59">
        <f t="shared" si="94"/>
        <v>456.28719984856014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28.102072230549108</v>
      </c>
      <c r="CM90" s="21">
        <f>EXP(-LN(2)/2)*CM89+(1-EXP(-LN(2)/2))/(LN(2)/2)*CG90*CJ90*VLOOKUP('Données projet'!$B$12,Paramètres!$A$1:$I$89,3,0)*0.475*44/12</f>
        <v>1.1843792848347432E-10</v>
      </c>
      <c r="CN90" s="22">
        <f t="shared" si="66"/>
        <v>28.102072230667545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65.145811169378888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65.145811169378888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65.145811169378888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65.145811169378888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65.145811169378888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65.145811169378888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4.45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16.316666666666666</v>
      </c>
      <c r="H91" s="66">
        <f t="shared" si="56"/>
        <v>191.4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65.230020493249739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-5.6843418860808015E-14</v>
      </c>
      <c r="O91" s="13">
        <f>N91*VLOOKUP('Données projet'!$B$9,Paramètres!$A$1:$I$89,3,0)*VLOOKUP('Données projet'!$B$9,Paramètres!$A$1:$I$89,5,0)</f>
        <v>-2.5006556825246661E-14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129.89493875503857</v>
      </c>
      <c r="T91" s="59">
        <f t="shared" si="88"/>
        <v>318.19554842399577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16.886943318199016</v>
      </c>
      <c r="AA91" s="21">
        <f>EXP(-LN(2)/25)*AA90+(1-EXP(-LN(2)/25))/(LN(2)/25)*Calculateur!V91*Calculateur!X91*VLOOKUP('Données projet'!$B$9,Paramètres!$A$1:$I$89,3,0)*0.475*44/12</f>
        <v>2.6347672742093109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19.521710592408326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65.230020493249739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96.263123361643096</v>
      </c>
      <c r="AO91" s="59">
        <f t="shared" si="90"/>
        <v>291.35824366856377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14.793199738295177</v>
      </c>
      <c r="AV91" s="21">
        <f>EXP(-LN(2)/25)*AV90+(1-EXP(-LN(2)/25))/(LN(2)/25)*Calculateur!AQ91*Calculateur!AS91*VLOOKUP('Données projet'!$B$10,Paramètres!$A$1:$I$89,3,0)*0.475*44/12</f>
        <v>2.2538878769448094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17.047087615239988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65.230020493249739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103.69736557010637</v>
      </c>
      <c r="BJ91" s="59">
        <f t="shared" si="92"/>
        <v>312.86697521864392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15.999737305602942</v>
      </c>
      <c r="BQ91" s="21">
        <f>EXP(-LN(2)/25)*BQ90+(1-EXP(-LN(2)/25))/(LN(2)/25)*Calculateur!BL91*Calculateur!BN91*VLOOKUP('Données projet'!$B$11,Paramètres!$A$1:$I$89,3,0)*0.475*44/12</f>
        <v>2.4377156115892431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18.437452917192186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65.230020493249739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>
        <f>BY91*VLOOKUP('Données projet'!$B$12,Paramètres!$A$1:$I$89,3,0)*VLOOKUP('Données projet'!$B$12,Paramètres!$A$1:$I$89,5,0)</f>
        <v>0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189.55118397415424</v>
      </c>
      <c r="CE91" s="59">
        <f t="shared" si="94"/>
        <v>456.28719984856014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27.333619587580994</v>
      </c>
      <c r="CM91" s="21">
        <f>EXP(-LN(2)/2)*CM90+(1-EXP(-LN(2)/2))/(LN(2)/2)*CG91*CJ91*VLOOKUP('Données projet'!$B$12,Paramètres!$A$1:$I$89,3,0)*0.475*44/12</f>
        <v>8.3748262380352044E-11</v>
      </c>
      <c r="CN91" s="22">
        <f t="shared" si="66"/>
        <v>27.333619587664742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65.230020493249739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65.230020493249739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65.230020493249739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65.230020493249739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65.230020493249739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65.230020493249739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4.45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16.316666666666666</v>
      </c>
      <c r="H92" s="66">
        <f t="shared" si="56"/>
        <v>191.4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65.312768973615277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-5.6843418860808015E-14</v>
      </c>
      <c r="O92" s="13">
        <f>N92*VLOOKUP('Données projet'!$B$9,Paramètres!$A$1:$I$89,3,0)*VLOOKUP('Données projet'!$B$9,Paramètres!$A$1:$I$89,5,0)</f>
        <v>-2.5006556825246661E-14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129.89493875503857</v>
      </c>
      <c r="T92" s="59">
        <f t="shared" si="88"/>
        <v>318.19554842399577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16.555800659747515</v>
      </c>
      <c r="AA92" s="21">
        <f>EXP(-LN(2)/25)*AA91+(1-EXP(-LN(2)/25))/(LN(2)/25)*Calculateur!V92*Calculateur!X92*VLOOKUP('Données projet'!$B$9,Paramètres!$A$1:$I$89,3,0)*0.475*44/12</f>
        <v>2.5627194245396683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19.118520084287184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65.312768973615277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96.263123361643096</v>
      </c>
      <c r="AO92" s="59">
        <f t="shared" si="90"/>
        <v>291.35824366856377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14.503114114388106</v>
      </c>
      <c r="AV92" s="21">
        <f>EXP(-LN(2)/25)*AV91+(1-EXP(-LN(2)/25))/(LN(2)/25)*Calculateur!AQ92*Calculateur!AS92*VLOOKUP('Données projet'!$B$10,Paramètres!$A$1:$I$89,3,0)*0.475*44/12</f>
        <v>2.1922551944229416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16.695369308811049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65.312768973615277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103.69736557010637</v>
      </c>
      <c r="BJ92" s="59">
        <f t="shared" si="92"/>
        <v>312.86697521864392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15.685992215916215</v>
      </c>
      <c r="BQ92" s="21">
        <f>EXP(-LN(2)/25)*BQ91+(1-EXP(-LN(2)/25))/(LN(2)/25)*Calculateur!BL92*Calculateur!BN92*VLOOKUP('Données projet'!$B$11,Paramètres!$A$1:$I$89,3,0)*0.475*44/12</f>
        <v>2.3710561499964427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18.057048365912657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65.312768973615277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>
        <f>BY92*VLOOKUP('Données projet'!$B$12,Paramètres!$A$1:$I$89,3,0)*VLOOKUP('Données projet'!$B$12,Paramètres!$A$1:$I$89,5,0)</f>
        <v>0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189.55118397415424</v>
      </c>
      <c r="CE92" s="59">
        <f t="shared" si="94"/>
        <v>456.28719984856014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26.58618032254601</v>
      </c>
      <c r="CM92" s="21">
        <f>EXP(-LN(2)/2)*CM91+(1-EXP(-LN(2)/2))/(LN(2)/2)*CG92*CJ92*VLOOKUP('Données projet'!$B$12,Paramètres!$A$1:$I$89,3,0)*0.475*44/12</f>
        <v>5.9218964241737162E-11</v>
      </c>
      <c r="CN92" s="22">
        <f t="shared" si="66"/>
        <v>26.58618032260523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65.312768973615277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65.312768973615277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65.312768973615277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65.312768973615277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65.312768973615277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65.312768973615277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4.45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16.316666666666666</v>
      </c>
      <c r="H93" s="66">
        <f t="shared" si="56"/>
        <v>191.4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65.39408195284436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-5.6843418860808015E-14</v>
      </c>
      <c r="O93" s="13">
        <f>N93*VLOOKUP('Données projet'!$B$9,Paramètres!$A$1:$I$89,3,0)*VLOOKUP('Données projet'!$B$9,Paramètres!$A$1:$I$89,5,0)</f>
        <v>-2.5006556825246661E-14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129.89493875503857</v>
      </c>
      <c r="T93" s="59">
        <f t="shared" si="88"/>
        <v>318.19554842399577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16.23115150685117</v>
      </c>
      <c r="AA93" s="21">
        <f>EXP(-LN(2)/25)*AA92+(1-EXP(-LN(2)/25))/(LN(2)/25)*Calculateur!V93*Calculateur!X93*VLOOKUP('Données projet'!$B$9,Paramètres!$A$1:$I$89,3,0)*0.475*44/12</f>
        <v>2.4926417271080736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18.723793233959242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65.39408195284436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96.263123361643096</v>
      </c>
      <c r="AO93" s="59">
        <f t="shared" si="90"/>
        <v>291.35824366856377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14.218716892631093</v>
      </c>
      <c r="AV93" s="21">
        <f>EXP(-LN(2)/25)*AV92+(1-EXP(-LN(2)/25))/(LN(2)/25)*Calculateur!AQ93*Calculateur!AS93*VLOOKUP('Données projet'!$B$10,Paramètres!$A$1:$I$89,3,0)*0.475*44/12</f>
        <v>2.132307860845756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16.35102475347685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65.39408195284436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103.69736557010637</v>
      </c>
      <c r="BJ93" s="59">
        <f t="shared" si="92"/>
        <v>312.86697521864392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15.378399476072637</v>
      </c>
      <c r="BQ93" s="21">
        <f>EXP(-LN(2)/25)*BQ92+(1-EXP(-LN(2)/25))/(LN(2)/25)*Calculateur!BL93*Calculateur!BN93*VLOOKUP('Données projet'!$B$11,Paramètres!$A$1:$I$89,3,0)*0.475*44/12</f>
        <v>2.3062194948863661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17.684618970959004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65.39408195284436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>
        <f>BY93*VLOOKUP('Données projet'!$B$12,Paramètres!$A$1:$I$89,3,0)*VLOOKUP('Données projet'!$B$12,Paramètres!$A$1:$I$89,5,0)</f>
        <v>0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189.55118397415424</v>
      </c>
      <c r="CE93" s="59">
        <f t="shared" si="94"/>
        <v>456.28719984856014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25.859179823519529</v>
      </c>
      <c r="CM93" s="21">
        <f>EXP(-LN(2)/2)*CM92+(1-EXP(-LN(2)/2))/(LN(2)/2)*CG93*CJ93*VLOOKUP('Données projet'!$B$12,Paramètres!$A$1:$I$89,3,0)*0.475*44/12</f>
        <v>4.1874131190176022E-11</v>
      </c>
      <c r="CN93" s="22">
        <f t="shared" si="66"/>
        <v>25.859179823561405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65.39408195284436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65.39408195284436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65.39408195284436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65.39408195284436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65.39408195284436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65.39408195284436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4.45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16.316666666666666</v>
      </c>
      <c r="H94" s="66">
        <f t="shared" si="56"/>
        <v>191.4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65.473984333672405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-5.6843418860808015E-14</v>
      </c>
      <c r="O94" s="13">
        <f>N94*VLOOKUP('Données projet'!$B$9,Paramètres!$A$1:$I$89,3,0)*VLOOKUP('Données projet'!$B$9,Paramètres!$A$1:$I$89,5,0)</f>
        <v>-2.5006556825246661E-14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129.89493875503857</v>
      </c>
      <c r="T94" s="59">
        <f t="shared" si="88"/>
        <v>318.19554842399577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15.91286852582669</v>
      </c>
      <c r="AA94" s="21">
        <f>EXP(-LN(2)/25)*AA93+(1-EXP(-LN(2)/25))/(LN(2)/25)*Calculateur!V94*Calculateur!X94*VLOOKUP('Données projet'!$B$9,Paramètres!$A$1:$I$89,3,0)*0.475*44/12</f>
        <v>2.424480307997972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18.337348833824663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65.473984333672405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96.263123361643096</v>
      </c>
      <c r="AO94" s="59">
        <f t="shared" si="90"/>
        <v>291.35824366856377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13.939896526927559</v>
      </c>
      <c r="AV94" s="21">
        <f>EXP(-LN(2)/25)*AV93+(1-EXP(-LN(2)/25))/(LN(2)/25)*Calculateur!AQ94*Calculateur!AS94*VLOOKUP('Données projet'!$B$10,Paramètres!$A$1:$I$89,3,0)*0.475*44/12</f>
        <v>2.0739997902577318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16.013896317185292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65.473984333672405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103.69736557010637</v>
      </c>
      <c r="BJ94" s="59">
        <f t="shared" si="92"/>
        <v>312.86697521864392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15.076838442244345</v>
      </c>
      <c r="BQ94" s="21">
        <f>EXP(-LN(2)/25)*BQ93+(1-EXP(-LN(2)/25))/(LN(2)/25)*Calculateur!BL94*Calculateur!BN94*VLOOKUP('Données projet'!$B$11,Paramètres!$A$1:$I$89,3,0)*0.475*44/12</f>
        <v>2.2431558015198862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17.319994243764231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65.473984333672405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>
        <f>BY94*VLOOKUP('Données projet'!$B$12,Paramètres!$A$1:$I$89,3,0)*VLOOKUP('Données projet'!$B$12,Paramètres!$A$1:$I$89,5,0)</f>
        <v>0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189.55118397415424</v>
      </c>
      <c r="CE94" s="59">
        <f t="shared" si="94"/>
        <v>456.28719984856014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25.152059191370224</v>
      </c>
      <c r="CM94" s="21">
        <f>EXP(-LN(2)/2)*CM93+(1-EXP(-LN(2)/2))/(LN(2)/2)*CG94*CJ94*VLOOKUP('Données projet'!$B$12,Paramètres!$A$1:$I$89,3,0)*0.475*44/12</f>
        <v>2.9609482120868581E-11</v>
      </c>
      <c r="CN94" s="22">
        <f t="shared" si="66"/>
        <v>25.152059191399832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65.473984333672405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65.473984333672405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65.473984333672405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65.473984333672405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65.473984333672405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65.473984333672405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4.45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16.316666666666666</v>
      </c>
      <c r="H95" s="66">
        <f t="shared" si="56"/>
        <v>191.4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65.552500586828032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-5.6843418860808015E-14</v>
      </c>
      <c r="O95" s="13">
        <f>N95*VLOOKUP('Données projet'!$B$9,Paramètres!$A$1:$I$89,3,0)*VLOOKUP('Données projet'!$B$9,Paramètres!$A$1:$I$89,5,0)</f>
        <v>-2.5006556825246661E-14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129.89493875503857</v>
      </c>
      <c r="T95" s="59">
        <f t="shared" si="88"/>
        <v>318.19554842399577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15.600826879926652</v>
      </c>
      <c r="AA95" s="21">
        <f>EXP(-LN(2)/25)*AA94+(1-EXP(-LN(2)/25))/(LN(2)/25)*Calculateur!V95*Calculateur!X95*VLOOKUP('Données projet'!$B$9,Paramètres!$A$1:$I$89,3,0)*0.475*44/12</f>
        <v>2.3581827664778894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17.959009646404542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65.552500586828032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96.263123361643096</v>
      </c>
      <c r="AO95" s="59">
        <f t="shared" si="90"/>
        <v>291.35824366856377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13.666543658531838</v>
      </c>
      <c r="AV95" s="21">
        <f>EXP(-LN(2)/25)*AV94+(1-EXP(-LN(2)/25))/(LN(2)/25)*Calculateur!AQ95*Calculateur!AS95*VLOOKUP('Données projet'!$B$10,Paramètres!$A$1:$I$89,3,0)*0.475*44/12</f>
        <v>2.0172861569262253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15.683829815458063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65.552500586828032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103.69736557010637</v>
      </c>
      <c r="BJ95" s="59">
        <f t="shared" si="92"/>
        <v>312.86697521864392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14.781190836355357</v>
      </c>
      <c r="BQ95" s="21">
        <f>EXP(-LN(2)/25)*BQ94+(1-EXP(-LN(2)/25))/(LN(2)/25)*Calculateur!BL95*Calculateur!BN95*VLOOKUP('Données projet'!$B$11,Paramètres!$A$1:$I$89,3,0)*0.475*44/12</f>
        <v>2.1818165881648883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16.963007424520246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65.552500586828032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>
        <f>BY95*VLOOKUP('Données projet'!$B$12,Paramètres!$A$1:$I$89,3,0)*VLOOKUP('Données projet'!$B$12,Paramètres!$A$1:$I$89,5,0)</f>
        <v>0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189.55118397415424</v>
      </c>
      <c r="CE95" s="59">
        <f t="shared" si="94"/>
        <v>456.28719984856014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24.464274810092899</v>
      </c>
      <c r="CM95" s="21">
        <f>EXP(-LN(2)/2)*CM94+(1-EXP(-LN(2)/2))/(LN(2)/2)*CG95*CJ95*VLOOKUP('Données projet'!$B$12,Paramètres!$A$1:$I$89,3,0)*0.475*44/12</f>
        <v>2.0937065595088011E-11</v>
      </c>
      <c r="CN95" s="22">
        <f t="shared" si="66"/>
        <v>24.464274810113835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65.552500586828032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65.552500586828032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65.552500586828032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65.552500586828032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65.552500586828032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65.552500586828032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4.45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16.316666666666666</v>
      </c>
      <c r="H96" s="66">
        <f t="shared" si="56"/>
        <v>191.4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65.629654758527465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-5.6843418860808015E-14</v>
      </c>
      <c r="O96" s="13">
        <f>N96*VLOOKUP('Données projet'!$B$9,Paramètres!$A$1:$I$89,3,0)*VLOOKUP('Données projet'!$B$9,Paramètres!$A$1:$I$89,5,0)</f>
        <v>-2.5006556825246661E-14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129.89493875503857</v>
      </c>
      <c r="T96" s="59">
        <f t="shared" si="88"/>
        <v>318.19554842399577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15.294904180376102</v>
      </c>
      <c r="AA96" s="21">
        <f>EXP(-LN(2)/25)*AA95+(1-EXP(-LN(2)/25))/(LN(2)/25)*Calculateur!V96*Calculateur!X96*VLOOKUP('Données projet'!$B$9,Paramètres!$A$1:$I$89,3,0)*0.475*44/12</f>
        <v>2.2936981347171095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17.588602315093212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65.629654758527465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96.263123361643096</v>
      </c>
      <c r="AO96" s="59">
        <f t="shared" si="90"/>
        <v>291.35824366856377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13.398551073156572</v>
      </c>
      <c r="AV96" s="21">
        <f>EXP(-LN(2)/25)*AV95+(1-EXP(-LN(2)/25))/(LN(2)/25)*Calculateur!AQ96*Calculateur!AS96*VLOOKUP('Données projet'!$B$10,Paramètres!$A$1:$I$89,3,0)*0.475*44/12</f>
        <v>1.9621233608806092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15.360674434037181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65.629654758527465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103.69736557010637</v>
      </c>
      <c r="BJ96" s="59">
        <f t="shared" si="92"/>
        <v>312.86697521864392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14.491340699690619</v>
      </c>
      <c r="BQ96" s="21">
        <f>EXP(-LN(2)/25)*BQ95+(1-EXP(-LN(2)/25))/(LN(2)/25)*Calculateur!BL96*Calculateur!BN96*VLOOKUP('Données projet'!$B$11,Paramètres!$A$1:$I$89,3,0)*0.475*44/12</f>
        <v>2.1221546988247715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16.61349539851539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65.629654758527465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>
        <f>BY96*VLOOKUP('Données projet'!$B$12,Paramètres!$A$1:$I$89,3,0)*VLOOKUP('Données projet'!$B$12,Paramètres!$A$1:$I$89,5,0)</f>
        <v>0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189.55118397415424</v>
      </c>
      <c r="CE96" s="59">
        <f t="shared" si="94"/>
        <v>456.28719984856014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23.795297928890609</v>
      </c>
      <c r="CM96" s="21">
        <f>EXP(-LN(2)/2)*CM95+(1-EXP(-LN(2)/2))/(LN(2)/2)*CG96*CJ96*VLOOKUP('Données projet'!$B$12,Paramètres!$A$1:$I$89,3,0)*0.475*44/12</f>
        <v>1.480474106043429E-11</v>
      </c>
      <c r="CN96" s="22">
        <f t="shared" si="66"/>
        <v>23.795297928905413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65.629654758527465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65.629654758527465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65.629654758527465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65.629654758527465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65.629654758527465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65.629654758527465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4.45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16.316666666666666</v>
      </c>
      <c r="H97" s="66">
        <f t="shared" si="56"/>
        <v>191.4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65.705470477838801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-5.6843418860808015E-14</v>
      </c>
      <c r="O97" s="13">
        <f>N97*VLOOKUP('Données projet'!$B$9,Paramètres!$A$1:$I$89,3,0)*VLOOKUP('Données projet'!$B$9,Paramètres!$A$1:$I$89,5,0)</f>
        <v>-2.5006556825246661E-14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129.89493875503857</v>
      </c>
      <c r="T97" s="59">
        <f t="shared" si="88"/>
        <v>318.19554842399577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14.994980438369318</v>
      </c>
      <c r="AA97" s="21">
        <f>EXP(-LN(2)/25)*AA96+(1-EXP(-LN(2)/25))/(LN(2)/25)*Calculateur!V97*Calculateur!X97*VLOOKUP('Données projet'!$B$9,Paramètres!$A$1:$I$89,3,0)*0.475*44/12</f>
        <v>2.2309768386029276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17.225957276972245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65.705470477838801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96.263123361643096</v>
      </c>
      <c r="AO97" s="59">
        <f t="shared" si="90"/>
        <v>291.35824366856377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13.135813658921178</v>
      </c>
      <c r="AV97" s="21">
        <f>EXP(-LN(2)/25)*AV96+(1-EXP(-LN(2)/25))/(LN(2)/25)*Calculateur!AQ97*Calculateur!AS97*VLOOKUP('Données projet'!$B$10,Paramètres!$A$1:$I$89,3,0)*0.475*44/12</f>
        <v>1.9084689943937458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15.044282653314923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65.705470477838801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103.69736557010637</v>
      </c>
      <c r="BJ97" s="59">
        <f t="shared" si="92"/>
        <v>312.86697521864392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14.20717434741475</v>
      </c>
      <c r="BQ97" s="21">
        <f>EXP(-LN(2)/25)*BQ96+(1-EXP(-LN(2)/25))/(LN(2)/25)*Calculateur!BL97*Calculateur!BN97*VLOOKUP('Données projet'!$B$11,Paramètres!$A$1:$I$89,3,0)*0.475*44/12</f>
        <v>2.0641242669861426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16.271298614400891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65.705470477838801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>
        <f>BY97*VLOOKUP('Données projet'!$B$12,Paramètres!$A$1:$I$89,3,0)*VLOOKUP('Données projet'!$B$12,Paramètres!$A$1:$I$89,5,0)</f>
        <v>0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189.55118397415424</v>
      </c>
      <c r="CE97" s="59">
        <f t="shared" si="94"/>
        <v>456.28719984856014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23.144614255684761</v>
      </c>
      <c r="CM97" s="21">
        <f>EXP(-LN(2)/2)*CM96+(1-EXP(-LN(2)/2))/(LN(2)/2)*CG97*CJ97*VLOOKUP('Données projet'!$B$12,Paramètres!$A$1:$I$89,3,0)*0.475*44/12</f>
        <v>1.0468532797544005E-11</v>
      </c>
      <c r="CN97" s="22">
        <f t="shared" si="66"/>
        <v>23.144614255695231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65.705470477838801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65.705470477838801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65.705470477838801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65.705470477838801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65.705470477838801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65.705470477838801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4.45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16.316666666666666</v>
      </c>
      <c r="H98" s="66">
        <f t="shared" si="56"/>
        <v>191.4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65.779970963918643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-5.6843418860808015E-14</v>
      </c>
      <c r="O98" s="13">
        <f>N98*VLOOKUP('Données projet'!$B$9,Paramètres!$A$1:$I$89,3,0)*VLOOKUP('Données projet'!$B$9,Paramètres!$A$1:$I$89,5,0)</f>
        <v>-2.5006556825246661E-14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129.89493875503857</v>
      </c>
      <c r="T98" s="59">
        <f t="shared" si="88"/>
        <v>318.19554842399577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14.700938018007866</v>
      </c>
      <c r="AA98" s="21">
        <f>EXP(-LN(2)/25)*AA97+(1-EXP(-LN(2)/25))/(LN(2)/25)*Calculateur!V98*Calculateur!X98*VLOOKUP('Données projet'!$B$9,Paramètres!$A$1:$I$89,3,0)*0.475*44/12</f>
        <v>2.1699706596293575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16.870908677637225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65.779970963918643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96.263123361643096</v>
      </c>
      <c r="AO98" s="59">
        <f t="shared" si="90"/>
        <v>291.35824366856377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12.87822836512494</v>
      </c>
      <c r="AV98" s="21">
        <f>EXP(-LN(2)/25)*AV97+(1-EXP(-LN(2)/25))/(LN(2)/25)*Calculateur!AQ98*Calculateur!AS98*VLOOKUP('Données projet'!$B$10,Paramètres!$A$1:$I$89,3,0)*0.475*44/12</f>
        <v>1.8562818093800264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14.734510174504967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65.779970963918643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103.69736557010637</v>
      </c>
      <c r="BJ98" s="59">
        <f t="shared" si="92"/>
        <v>312.86697521864392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13.928580323982649</v>
      </c>
      <c r="BQ98" s="21">
        <f>EXP(-LN(2)/25)*BQ97+(1-EXP(-LN(2)/25))/(LN(2)/25)*Calculateur!BL98*Calculateur!BN98*VLOOKUP('Données projet'!$B$11,Paramètres!$A$1:$I$89,3,0)*0.475*44/12</f>
        <v>2.0076806803578289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15.936261004340478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65.779970963918643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>
        <f>BY98*VLOOKUP('Données projet'!$B$12,Paramètres!$A$1:$I$89,3,0)*VLOOKUP('Données projet'!$B$12,Paramètres!$A$1:$I$89,5,0)</f>
        <v>0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189.55118397415424</v>
      </c>
      <c r="CE98" s="59">
        <f t="shared" si="94"/>
        <v>456.28719984856014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22.511723561740695</v>
      </c>
      <c r="CM98" s="21">
        <f>EXP(-LN(2)/2)*CM97+(1-EXP(-LN(2)/2))/(LN(2)/2)*CG98*CJ98*VLOOKUP('Données projet'!$B$12,Paramètres!$A$1:$I$89,3,0)*0.475*44/12</f>
        <v>7.4023705302171452E-12</v>
      </c>
      <c r="CN98" s="22">
        <f t="shared" si="66"/>
        <v>22.511723561748099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65.779970963918643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65.779970963918643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65.779970963918643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65.779970963918643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65.779970963918643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65.779970963918643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4.45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16.316666666666666</v>
      </c>
      <c r="H99" s="66">
        <f t="shared" si="56"/>
        <v>191.4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65.853179033123126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-5.6843418860808015E-14</v>
      </c>
      <c r="O99" s="13">
        <f>N99*VLOOKUP('Données projet'!$B$9,Paramètres!$A$1:$I$89,3,0)*VLOOKUP('Données projet'!$B$9,Paramètres!$A$1:$I$89,5,0)</f>
        <v>-2.5006556825246661E-14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129.89493875503857</v>
      </c>
      <c r="T99" s="59">
        <f t="shared" si="88"/>
        <v>318.19554842399577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14.412661590161536</v>
      </c>
      <c r="AA99" s="21">
        <f>EXP(-LN(2)/25)*AA98+(1-EXP(-LN(2)/25))/(LN(2)/25)*Calculateur!V99*Calculateur!X99*VLOOKUP('Données projet'!$B$9,Paramètres!$A$1:$I$89,3,0)*0.475*44/12</f>
        <v>2.1106326978279952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16.523294287989529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65.853179033123126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96.263123361643096</v>
      </c>
      <c r="AO99" s="59">
        <f t="shared" si="90"/>
        <v>291.35824366856377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12.625694161828532</v>
      </c>
      <c r="AV99" s="21">
        <f>EXP(-LN(2)/25)*AV98+(1-EXP(-LN(2)/25))/(LN(2)/25)*Calculateur!AQ99*Calculateur!AS99*VLOOKUP('Données projet'!$B$10,Paramètres!$A$1:$I$89,3,0)*0.475*44/12</f>
        <v>1.8055216856849119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14.431215847513444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65.853179033123126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103.69736557010637</v>
      </c>
      <c r="BJ99" s="59">
        <f t="shared" si="92"/>
        <v>312.86697521864392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13.655449359424477</v>
      </c>
      <c r="BQ99" s="21">
        <f>EXP(-LN(2)/25)*BQ98+(1-EXP(-LN(2)/25))/(LN(2)/25)*Calculateur!BL99*Calculateur!BN99*VLOOKUP('Données projet'!$B$11,Paramètres!$A$1:$I$89,3,0)*0.475*44/12</f>
        <v>1.9527805465741057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15.608229905998583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65.853179033123126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>
        <f>BY99*VLOOKUP('Données projet'!$B$12,Paramètres!$A$1:$I$89,3,0)*VLOOKUP('Données projet'!$B$12,Paramètres!$A$1:$I$89,5,0)</f>
        <v>0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189.55118397415424</v>
      </c>
      <c r="CE99" s="59">
        <f t="shared" si="94"/>
        <v>456.28719984856014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21.896139297104806</v>
      </c>
      <c r="CM99" s="21">
        <f>EXP(-LN(2)/2)*CM98+(1-EXP(-LN(2)/2))/(LN(2)/2)*CG99*CJ99*VLOOKUP('Données projet'!$B$12,Paramètres!$A$1:$I$89,3,0)*0.475*44/12</f>
        <v>5.2342663987720027E-12</v>
      </c>
      <c r="CN99" s="22">
        <f t="shared" si="66"/>
        <v>21.896139297110039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65.853179033123126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65.853179033123126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65.853179033123126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65.853179033123126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65.853179033123126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65.853179033123126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4.45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16.316666666666666</v>
      </c>
      <c r="H100" s="66">
        <f t="shared" si="56"/>
        <v>191.4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65.925117105995639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-5.6843418860808015E-14</v>
      </c>
      <c r="O100" s="13">
        <f>N100*VLOOKUP('Données projet'!$B$9,Paramètres!$A$1:$I$89,3,0)*VLOOKUP('Données projet'!$B$9,Paramètres!$A$1:$I$89,5,0)</f>
        <v>-2.5006556825246661E-14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129.89493875503857</v>
      </c>
      <c r="T100" s="59">
        <f t="shared" si="88"/>
        <v>318.19554842399577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14.130038087234013</v>
      </c>
      <c r="AA100" s="21">
        <f>EXP(-LN(2)/25)*AA99+(1-EXP(-LN(2)/25))/(LN(2)/25)*Calculateur!V100*Calculateur!X100*VLOOKUP('Données projet'!$B$9,Paramètres!$A$1:$I$89,3,0)*0.475*44/12</f>
        <v>2.052917335712539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16.182955422946552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65.925117105995639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96.263123361643096</v>
      </c>
      <c r="AO100" s="59">
        <f t="shared" si="90"/>
        <v>291.35824366856377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12.378112000228111</v>
      </c>
      <c r="AV100" s="21">
        <f>EXP(-LN(2)/25)*AV99+(1-EXP(-LN(2)/25))/(LN(2)/25)*Calculateur!AQ100*Calculateur!AS100*VLOOKUP('Données projet'!$B$10,Paramètres!$A$1:$I$89,3,0)*0.475*44/12</f>
        <v>1.7561496002415991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14.13426160046971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65.925117105995639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103.69736557010637</v>
      </c>
      <c r="BJ100" s="59">
        <f t="shared" si="92"/>
        <v>312.86697521864392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13.387674326487851</v>
      </c>
      <c r="BQ100" s="21">
        <f>EXP(-LN(2)/25)*BQ99+(1-EXP(-LN(2)/25))/(LN(2)/25)*Calculateur!BL100*Calculateur!BN100*VLOOKUP('Données projet'!$B$11,Paramètres!$A$1:$I$89,3,0)*0.475*44/12</f>
        <v>1.8993816598357709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15.287055986323622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65.925117105995639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>
        <f>BY100*VLOOKUP('Données projet'!$B$12,Paramètres!$A$1:$I$89,3,0)*VLOOKUP('Données projet'!$B$12,Paramètres!$A$1:$I$89,5,0)</f>
        <v>0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189.55118397415424</v>
      </c>
      <c r="CE100" s="59">
        <f t="shared" si="94"/>
        <v>456.28719984856014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21.297388216557554</v>
      </c>
      <c r="CM100" s="21">
        <f>EXP(-LN(2)/2)*CM99+(1-EXP(-LN(2)/2))/(LN(2)/2)*CG100*CJ100*VLOOKUP('Données projet'!$B$12,Paramètres!$A$1:$I$89,3,0)*0.475*44/12</f>
        <v>3.7011852651085726E-12</v>
      </c>
      <c r="CN100" s="22">
        <f t="shared" si="66"/>
        <v>21.297388216561256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65.925117105995639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65.925117105995639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65.925117105995639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65.925117105995639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65.925117105995639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65.925117105995639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4.45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16.316666666666666</v>
      </c>
      <c r="H101" s="66">
        <f t="shared" si="56"/>
        <v>191.4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65.995807214133251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-5.6843418860808015E-14</v>
      </c>
      <c r="O101" s="13">
        <f>N101*VLOOKUP('Données projet'!$B$9,Paramètres!$A$1:$I$89,3,0)*VLOOKUP('Données projet'!$B$9,Paramètres!$A$1:$I$89,5,0)</f>
        <v>-2.5006556825246661E-14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129.89493875503857</v>
      </c>
      <c r="T101" s="59">
        <f t="shared" si="88"/>
        <v>318.19554842399577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13.852956658815584</v>
      </c>
      <c r="AA101" s="21">
        <f>EXP(-LN(2)/25)*AA100+(1-EXP(-LN(2)/25))/(LN(2)/25)*Calculateur!V101*Calculateur!X101*VLOOKUP('Données projet'!$B$9,Paramètres!$A$1:$I$89,3,0)*0.475*44/12</f>
        <v>1.996780203209249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15.849736862024834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65.995807214133251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96.263123361643096</v>
      </c>
      <c r="AO101" s="59">
        <f t="shared" si="90"/>
        <v>291.35824366856377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12.135384773806466</v>
      </c>
      <c r="AV101" s="21">
        <f>EXP(-LN(2)/25)*AV100+(1-EXP(-LN(2)/25))/(LN(2)/25)*Calculateur!AQ101*Calculateur!AS101*VLOOKUP('Données projet'!$B$10,Paramètres!$A$1:$I$89,3,0)*0.475*44/12</f>
        <v>1.7081275970710987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13.843512370877566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65.995807214133251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103.69736557010637</v>
      </c>
      <c r="BJ101" s="59">
        <f t="shared" si="92"/>
        <v>312.86697521864392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13.125150198620469</v>
      </c>
      <c r="BQ101" s="21">
        <f>EXP(-LN(2)/25)*BQ100+(1-EXP(-LN(2)/25))/(LN(2)/25)*Calculateur!BL101*Calculateur!BN101*VLOOKUP('Données projet'!$B$11,Paramètres!$A$1:$I$89,3,0)*0.475*44/12</f>
        <v>1.8474429684634213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14.97259316708389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65.995807214133251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>
        <f>BY101*VLOOKUP('Données projet'!$B$12,Paramètres!$A$1:$I$89,3,0)*VLOOKUP('Données projet'!$B$12,Paramètres!$A$1:$I$89,5,0)</f>
        <v>0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189.55118397415424</v>
      </c>
      <c r="CE101" s="59">
        <f t="shared" si="94"/>
        <v>456.28719984856014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20.715010015794817</v>
      </c>
      <c r="CM101" s="21">
        <f>EXP(-LN(2)/2)*CM100+(1-EXP(-LN(2)/2))/(LN(2)/2)*CG101*CJ101*VLOOKUP('Données projet'!$B$12,Paramètres!$A$1:$I$89,3,0)*0.475*44/12</f>
        <v>2.6171331993860014E-12</v>
      </c>
      <c r="CN101" s="22">
        <f t="shared" si="66"/>
        <v>20.715010015797436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65.995807214133251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65.995807214133251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65.995807214133251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65.995807214133251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65.995807214133251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65.995807214133251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4.45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16.316666666666666</v>
      </c>
      <c r="H102" s="66">
        <f t="shared" si="56"/>
        <v>191.4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66.065271006934083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-5.6843418860808015E-14</v>
      </c>
      <c r="O102" s="13">
        <f>N102*VLOOKUP('Données projet'!$B$9,Paramètres!$A$1:$I$89,3,0)*VLOOKUP('Données projet'!$B$9,Paramètres!$A$1:$I$89,5,0)</f>
        <v>-2.5006556825246661E-14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129.89493875503857</v>
      </c>
      <c r="T102" s="59">
        <f t="shared" si="88"/>
        <v>318.19554842399577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13.581308628205457</v>
      </c>
      <c r="AA102" s="21">
        <f>EXP(-LN(2)/25)*AA101+(1-EXP(-LN(2)/25))/(LN(2)/25)*Calculateur!V102*Calculateur!X102*VLOOKUP('Données projet'!$B$9,Paramètres!$A$1:$I$89,3,0)*0.475*44/12</f>
        <v>1.942178143546385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15.523486771751843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66.065271006934083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96.263123361643096</v>
      </c>
      <c r="AO102" s="59">
        <f t="shared" si="90"/>
        <v>291.35824366856377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11.897417280245961</v>
      </c>
      <c r="AV102" s="21">
        <f>EXP(-LN(2)/25)*AV101+(1-EXP(-LN(2)/25))/(LN(2)/25)*Calculateur!AQ102*Calculateur!AS102*VLOOKUP('Données projet'!$B$10,Paramètres!$A$1:$I$89,3,0)*0.475*44/12</f>
        <v>1.6614187581026632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13.558836038348623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66.065271006934083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103.69736557010637</v>
      </c>
      <c r="BJ102" s="59">
        <f t="shared" si="92"/>
        <v>312.86697521864392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12.86777400877666</v>
      </c>
      <c r="BQ102" s="21">
        <f>EXP(-LN(2)/25)*BQ101+(1-EXP(-LN(2)/25))/(LN(2)/25)*Calculateur!BL102*Calculateur!BN102*VLOOKUP('Données projet'!$B$11,Paramètres!$A$1:$I$89,3,0)*0.475*44/12</f>
        <v>1.7969245433379857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14.664698552114645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66.065271006934083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>
        <f>BY102*VLOOKUP('Données projet'!$B$12,Paramètres!$A$1:$I$89,3,0)*VLOOKUP('Données projet'!$B$12,Paramètres!$A$1:$I$89,5,0)</f>
        <v>0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189.55118397415424</v>
      </c>
      <c r="CE102" s="59">
        <f t="shared" si="94"/>
        <v>456.28719984856014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20.148556977557877</v>
      </c>
      <c r="CM102" s="21">
        <f>EXP(-LN(2)/2)*CM101+(1-EXP(-LN(2)/2))/(LN(2)/2)*CG102*CJ102*VLOOKUP('Données projet'!$B$12,Paramètres!$A$1:$I$89,3,0)*0.475*44/12</f>
        <v>1.8505926325542863E-12</v>
      </c>
      <c r="CN102" s="22">
        <f t="shared" si="66"/>
        <v>20.148556977559728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66.065271006934083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66.065271006934083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66.065271006934083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66.065271006934083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66.065271006934083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66.065271006934083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4.45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16.316666666666666</v>
      </c>
      <c r="H103" s="66">
        <f t="shared" si="56"/>
        <v>191.4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66.133529758227596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-5.6843418860808015E-14</v>
      </c>
      <c r="O103" s="13">
        <f>N103*VLOOKUP('Données projet'!$B$9,Paramètres!$A$1:$I$89,3,0)*VLOOKUP('Données projet'!$B$9,Paramètres!$A$1:$I$89,5,0)</f>
        <v>-2.5006556825246661E-14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129.89493875503857</v>
      </c>
      <c r="T103" s="59">
        <f t="shared" si="88"/>
        <v>318.19554842399577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13.314987449786656</v>
      </c>
      <c r="AA103" s="21">
        <f>EXP(-LN(2)/25)*AA102+(1-EXP(-LN(2)/25))/(LN(2)/25)*Calculateur!V103*Calculateur!X103*VLOOKUP('Données projet'!$B$9,Paramètres!$A$1:$I$89,3,0)*0.475*44/12</f>
        <v>1.8890691800763995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15.204056629863056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66.133529758227596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96.263123361643096</v>
      </c>
      <c r="AO103" s="59">
        <f t="shared" si="90"/>
        <v>291.35824366856377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11.664116184088337</v>
      </c>
      <c r="AV103" s="21">
        <f>EXP(-LN(2)/25)*AV102+(1-EXP(-LN(2)/25))/(LN(2)/25)*Calculateur!AQ103*Calculateur!AS103*VLOOKUP('Données projet'!$B$10,Paramètres!$A$1:$I$89,3,0)*0.475*44/12</f>
        <v>1.6159871747921306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13.280103358880467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66.133529758227596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103.69736557010637</v>
      </c>
      <c r="BJ103" s="59">
        <f t="shared" si="92"/>
        <v>312.86697521864392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12.615444809031713</v>
      </c>
      <c r="BQ103" s="21">
        <f>EXP(-LN(2)/25)*BQ102+(1-EXP(-LN(2)/25))/(LN(2)/25)*Calculateur!BL103*Calculateur!BN103*VLOOKUP('Données projet'!$B$11,Paramètres!$A$1:$I$89,3,0)*0.475*44/12</f>
        <v>1.7477875472042537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14.363232356235967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66.133529758227596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>
        <f>BY103*VLOOKUP('Données projet'!$B$12,Paramètres!$A$1:$I$89,3,0)*VLOOKUP('Données projet'!$B$12,Paramètres!$A$1:$I$89,5,0)</f>
        <v>0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189.55118397415424</v>
      </c>
      <c r="CE103" s="59">
        <f t="shared" si="94"/>
        <v>456.28719984856014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19.597593627439995</v>
      </c>
      <c r="CM103" s="21">
        <f>EXP(-LN(2)/2)*CM102+(1-EXP(-LN(2)/2))/(LN(2)/2)*CG103*CJ103*VLOOKUP('Données projet'!$B$12,Paramètres!$A$1:$I$89,3,0)*0.475*44/12</f>
        <v>1.3085665996930007E-12</v>
      </c>
      <c r="CN103" s="22">
        <f t="shared" si="66"/>
        <v>19.597593627441302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66.133529758227596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66.133529758227596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66.133529758227596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66.133529758227596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66.133529758227596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66.133529758227596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4.45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16.316666666666666</v>
      </c>
      <c r="H104" s="66">
        <f t="shared" si="56"/>
        <v>191.4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66.200604372789869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-5.6843418860808015E-14</v>
      </c>
      <c r="O104" s="13">
        <f>N104*VLOOKUP('Données projet'!$B$9,Paramètres!$A$1:$I$89,3,0)*VLOOKUP('Données projet'!$B$9,Paramètres!$A$1:$I$89,5,0)</f>
        <v>-2.5006556825246661E-14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129.89493875503857</v>
      </c>
      <c r="T104" s="59">
        <f t="shared" si="88"/>
        <v>318.19554842399577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13.053888667236768</v>
      </c>
      <c r="AA104" s="21">
        <f>EXP(-LN(2)/25)*AA103+(1-EXP(-LN(2)/25))/(LN(2)/25)*Calculateur!V104*Calculateur!X104*VLOOKUP('Données projet'!$B$9,Paramètres!$A$1:$I$89,3,0)*0.475*44/12</f>
        <v>1.8374124840053796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14.891301151242148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66.200604372789869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96.263123361643096</v>
      </c>
      <c r="AO104" s="59">
        <f t="shared" si="90"/>
        <v>291.35824366856377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11.435389980126748</v>
      </c>
      <c r="AV104" s="21">
        <f>EXP(-LN(2)/25)*AV103+(1-EXP(-LN(2)/25))/(LN(2)/25)*Calculateur!AQ104*Calculateur!AS104*VLOOKUP('Données projet'!$B$10,Paramètres!$A$1:$I$89,3,0)*0.475*44/12</f>
        <v>1.5717979205163677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13.007187900643116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66.200604372789869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103.69736557010637</v>
      </c>
      <c r="BJ104" s="59">
        <f t="shared" si="92"/>
        <v>312.86697521864392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12.36806363098815</v>
      </c>
      <c r="BQ104" s="21">
        <f>EXP(-LN(2)/25)*BQ103+(1-EXP(-LN(2)/25))/(LN(2)/25)*Calculateur!BL104*Calculateur!BN104*VLOOKUP('Données projet'!$B$11,Paramètres!$A$1:$I$89,3,0)*0.475*44/12</f>
        <v>1.6999942048138008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14.068057835801952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66.200604372789869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>
        <f>BY104*VLOOKUP('Données projet'!$B$12,Paramètres!$A$1:$I$89,3,0)*VLOOKUP('Données projet'!$B$12,Paramètres!$A$1:$I$89,5,0)</f>
        <v>0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189.55118397415424</v>
      </c>
      <c r="CE104" s="59">
        <f t="shared" si="94"/>
        <v>456.28719984856014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19.061696399104989</v>
      </c>
      <c r="CM104" s="21">
        <f>EXP(-LN(2)/2)*CM103+(1-EXP(-LN(2)/2))/(LN(2)/2)*CG104*CJ104*VLOOKUP('Données projet'!$B$12,Paramètres!$A$1:$I$89,3,0)*0.475*44/12</f>
        <v>9.2529631627714316E-13</v>
      </c>
      <c r="CN104" s="22">
        <f t="shared" si="66"/>
        <v>19.061696399105912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66.200604372789869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66.200604372789869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66.200604372789869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66.200604372789869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66.200604372789869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66.200604372789869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4.45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16.316666666666666</v>
      </c>
      <c r="H105" s="66">
        <f t="shared" si="56"/>
        <v>191.4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66.266515392745859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-5.6843418860808015E-14</v>
      </c>
      <c r="O105" s="13">
        <f>N105*VLOOKUP('Données projet'!$B$9,Paramètres!$A$1:$I$89,3,0)*VLOOKUP('Données projet'!$B$9,Paramètres!$A$1:$I$89,5,0)</f>
        <v>-2.5006556825246661E-14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129.89493875503857</v>
      </c>
      <c r="T105" s="59">
        <f t="shared" si="88"/>
        <v>318.19554842399577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12.797909872558151</v>
      </c>
      <c r="AA105" s="21">
        <f>EXP(-LN(2)/25)*AA104+(1-EXP(-LN(2)/25))/(LN(2)/25)*Calculateur!V105*Calculateur!X105*VLOOKUP('Données projet'!$B$9,Paramètres!$A$1:$I$89,3,0)*0.475*44/12</f>
        <v>1.7871683430049294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14.58507821556308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66.266515392745859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96.263123361643096</v>
      </c>
      <c r="AO105" s="59">
        <f t="shared" si="90"/>
        <v>291.35824366856377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11.211148957515636</v>
      </c>
      <c r="AV105" s="21">
        <f>EXP(-LN(2)/25)*AV104+(1-EXP(-LN(2)/25))/(LN(2)/25)*Calculateur!AQ105*Calculateur!AS105*VLOOKUP('Données projet'!$B$10,Paramètres!$A$1:$I$89,3,0)*0.475*44/12</f>
        <v>1.5288170237225873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12.739965981238223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66.266515392745859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103.69736557010637</v>
      </c>
      <c r="BJ105" s="59">
        <f t="shared" si="92"/>
        <v>312.86697521864392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12.125533446958402</v>
      </c>
      <c r="BQ105" s="21">
        <f>EXP(-LN(2)/25)*BQ104+(1-EXP(-LN(2)/25))/(LN(2)/25)*Calculateur!BL105*Calculateur!BN105*VLOOKUP('Données projet'!$B$11,Paramètres!$A$1:$I$89,3,0)*0.475*44/12</f>
        <v>1.6535077738843575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13.779041220842759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66.266515392745859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>
        <f>BY105*VLOOKUP('Données projet'!$B$12,Paramètres!$A$1:$I$89,3,0)*VLOOKUP('Données projet'!$B$12,Paramètres!$A$1:$I$89,5,0)</f>
        <v>0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189.55118397415424</v>
      </c>
      <c r="CE105" s="59">
        <f t="shared" si="94"/>
        <v>456.28719984856014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18.540453308660414</v>
      </c>
      <c r="CM105" s="21">
        <f>EXP(-LN(2)/2)*CM104+(1-EXP(-LN(2)/2))/(LN(2)/2)*CG105*CJ105*VLOOKUP('Données projet'!$B$12,Paramètres!$A$1:$I$89,3,0)*0.475*44/12</f>
        <v>6.5428329984650034E-13</v>
      </c>
      <c r="CN105" s="22">
        <f t="shared" si="66"/>
        <v>18.540453308661068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66.266515392745859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66.266515392745859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66.266515392745859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66.266515392745859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66.266515392745859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66.266515392745859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4.45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16.316666666666666</v>
      </c>
      <c r="H106" s="66">
        <f t="shared" si="56"/>
        <v>191.4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66.331283003860591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-5.6843418860808015E-14</v>
      </c>
      <c r="O106" s="13">
        <f>N106*VLOOKUP('Données projet'!$B$9,Paramètres!$A$1:$I$89,3,0)*VLOOKUP('Données projet'!$B$9,Paramètres!$A$1:$I$89,5,0)</f>
        <v>-2.5006556825246661E-14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129.89493875503857</v>
      </c>
      <c r="T106" s="59">
        <f t="shared" si="88"/>
        <v>318.19554842399577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12.546950665911535</v>
      </c>
      <c r="AA106" s="21">
        <f>EXP(-LN(2)/25)*AA105+(1-EXP(-LN(2)/25))/(LN(2)/25)*Calculateur!V106*Calculateur!X106*VLOOKUP('Données projet'!$B$9,Paramètres!$A$1:$I$89,3,0)*0.475*44/12</f>
        <v>1.7382981306823611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14.285248796593896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66.331283003860591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96.263123361643096</v>
      </c>
      <c r="AO106" s="59">
        <f t="shared" si="90"/>
        <v>291.35824366856377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10.991305164584411</v>
      </c>
      <c r="AV106" s="21">
        <f>EXP(-LN(2)/25)*AV105+(1-EXP(-LN(2)/25))/(LN(2)/25)*Calculateur!AQ106*Calculateur!AS106*VLOOKUP('Données projet'!$B$10,Paramètres!$A$1:$I$89,3,0)*0.475*44/12</f>
        <v>1.4870114418119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12.47831660639631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66.331283003860591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103.69736557010637</v>
      </c>
      <c r="BJ106" s="59">
        <f t="shared" si="92"/>
        <v>312.86697521864392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11.887759131908672</v>
      </c>
      <c r="BQ106" s="21">
        <f>EXP(-LN(2)/25)*BQ105+(1-EXP(-LN(2)/25))/(LN(2)/25)*Calculateur!BL106*Calculateur!BN106*VLOOKUP('Données projet'!$B$11,Paramètres!$A$1:$I$89,3,0)*0.475*44/12</f>
        <v>1.6082925168532951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13.496051648761966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66.331283003860591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>
        <f>BY106*VLOOKUP('Données projet'!$B$12,Paramètres!$A$1:$I$89,3,0)*VLOOKUP('Données projet'!$B$12,Paramètres!$A$1:$I$89,5,0)</f>
        <v>0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189.55118397415424</v>
      </c>
      <c r="CE106" s="59">
        <f t="shared" si="94"/>
        <v>456.28719984856014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18.033463637935029</v>
      </c>
      <c r="CM106" s="21">
        <f>EXP(-LN(2)/2)*CM105+(1-EXP(-LN(2)/2))/(LN(2)/2)*CG106*CJ106*VLOOKUP('Données projet'!$B$12,Paramètres!$A$1:$I$89,3,0)*0.475*44/12</f>
        <v>4.6264815813857158E-13</v>
      </c>
      <c r="CN106" s="22">
        <f t="shared" si="66"/>
        <v>18.03346363793549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66.331283003860591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66.331283003860591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66.331283003860591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66.331283003860591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66.331283003860591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66.331283003860591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4.45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16.316666666666666</v>
      </c>
      <c r="H107" s="66">
        <f t="shared" si="56"/>
        <v>191.4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66.394927041721147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-5.6843418860808015E-14</v>
      </c>
      <c r="O107" s="13">
        <f>N107*VLOOKUP('Données projet'!$B$9,Paramètres!$A$1:$I$89,3,0)*VLOOKUP('Données projet'!$B$9,Paramètres!$A$1:$I$89,5,0)</f>
        <v>-2.5006556825246661E-14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129.89493875503857</v>
      </c>
      <c r="T107" s="59">
        <f t="shared" si="88"/>
        <v>318.19554842399577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12.300912616237255</v>
      </c>
      <c r="AA107" s="21">
        <f>EXP(-LN(2)/25)*AA106+(1-EXP(-LN(2)/25))/(LN(2)/25)*Calculateur!V107*Calculateur!X107*VLOOKUP('Données projet'!$B$9,Paramètres!$A$1:$I$89,3,0)*0.475*44/12</f>
        <v>1.6907642768857261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13.991676893122982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66.394927041721147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96.263123361643096</v>
      </c>
      <c r="AO107" s="59">
        <f t="shared" si="90"/>
        <v>291.35824366856377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10.775772374341093</v>
      </c>
      <c r="AV107" s="21">
        <f>EXP(-LN(2)/25)*AV106+(1-EXP(-LN(2)/25))/(LN(2)/25)*Calculateur!AQ107*Calculateur!AS107*VLOOKUP('Données projet'!$B$10,Paramètres!$A$1:$I$89,3,0)*0.475*44/12</f>
        <v>1.4463490357370206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12.222121410078113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66.394927041721147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103.69736557010637</v>
      </c>
      <c r="BJ107" s="59">
        <f t="shared" si="92"/>
        <v>312.86697521864392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11.654647426149054</v>
      </c>
      <c r="BQ107" s="21">
        <f>EXP(-LN(2)/25)*BQ106+(1-EXP(-LN(2)/25))/(LN(2)/25)*Calculateur!BL107*Calculateur!BN107*VLOOKUP('Données projet'!$B$11,Paramètres!$A$1:$I$89,3,0)*0.475*44/12</f>
        <v>1.5643136734035141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13.218961099552569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66.394927041721147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>
        <f>BY107*VLOOKUP('Données projet'!$B$12,Paramètres!$A$1:$I$89,3,0)*VLOOKUP('Données projet'!$B$12,Paramètres!$A$1:$I$89,5,0)</f>
        <v>0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189.55118397415424</v>
      </c>
      <c r="CE107" s="59">
        <f t="shared" si="94"/>
        <v>456.28719984856014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17.54033762641706</v>
      </c>
      <c r="CM107" s="21">
        <f>EXP(-LN(2)/2)*CM106+(1-EXP(-LN(2)/2))/(LN(2)/2)*CG107*CJ107*VLOOKUP('Données projet'!$B$12,Paramètres!$A$1:$I$89,3,0)*0.475*44/12</f>
        <v>3.2714164992325017E-13</v>
      </c>
      <c r="CN107" s="22">
        <f t="shared" si="66"/>
        <v>17.540337626417386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66.394927041721147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66.394927041721147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66.394927041721147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66.394927041721147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66.394927041721147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66.394927041721147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4.45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16.316666666666666</v>
      </c>
      <c r="H108" s="66">
        <f t="shared" si="56"/>
        <v>191.4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66.457466997811594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-5.6843418860808015E-14</v>
      </c>
      <c r="O108" s="13">
        <f>N108*VLOOKUP('Données projet'!$B$9,Paramètres!$A$1:$I$89,3,0)*VLOOKUP('Données projet'!$B$9,Paramètres!$A$1:$I$89,5,0)</f>
        <v>-2.5006556825246661E-14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129.89493875503857</v>
      </c>
      <c r="T108" s="59">
        <f t="shared" si="88"/>
        <v>318.19554842399577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12.059699222648698</v>
      </c>
      <c r="AA108" s="21">
        <f>EXP(-LN(2)/25)*AA107+(1-EXP(-LN(2)/25))/(LN(2)/25)*Calculateur!V108*Calculateur!X108*VLOOKUP('Données projet'!$B$9,Paramètres!$A$1:$I$89,3,0)*0.475*44/12</f>
        <v>1.6445302388208569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13.704229461469556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66.457466997811594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96.263123361643096</v>
      </c>
      <c r="AO108" s="59">
        <f t="shared" si="90"/>
        <v>291.35824366856377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10.564466050652426</v>
      </c>
      <c r="AV108" s="21">
        <f>EXP(-LN(2)/25)*AV107+(1-EXP(-LN(2)/25))/(LN(2)/25)*Calculateur!AQ108*Calculateur!AS108*VLOOKUP('Données projet'!$B$10,Paramètres!$A$1:$I$89,3,0)*0.475*44/12</f>
        <v>1.4067985452946017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11.971264595947027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66.457466997811594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103.69736557010637</v>
      </c>
      <c r="BJ108" s="59">
        <f t="shared" si="92"/>
        <v>312.86697521864392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11.426106898755283</v>
      </c>
      <c r="BQ108" s="21">
        <f>EXP(-LN(2)/25)*BQ107+(1-EXP(-LN(2)/25))/(LN(2)/25)*Calculateur!BL108*Calculateur!BN108*VLOOKUP('Données projet'!$B$11,Paramètres!$A$1:$I$89,3,0)*0.475*44/12</f>
        <v>1.5215374337406142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12.947644332495896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66.457466997811594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>
        <f>BY108*VLOOKUP('Données projet'!$B$12,Paramètres!$A$1:$I$89,3,0)*VLOOKUP('Données projet'!$B$12,Paramètres!$A$1:$I$89,5,0)</f>
        <v>0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189.55118397415424</v>
      </c>
      <c r="CE108" s="59">
        <f t="shared" si="94"/>
        <v>456.28719984856014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17.060696171616417</v>
      </c>
      <c r="CM108" s="21">
        <f>EXP(-LN(2)/2)*CM107+(1-EXP(-LN(2)/2))/(LN(2)/2)*CG108*CJ108*VLOOKUP('Données projet'!$B$12,Paramètres!$A$1:$I$89,3,0)*0.475*44/12</f>
        <v>2.3132407906928579E-13</v>
      </c>
      <c r="CN108" s="22">
        <f t="shared" si="66"/>
        <v>17.060696171616648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66.457466997811594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66.457466997811594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66.457466997811594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66.457466997811594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66.457466997811594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66.457466997811594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4.45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16.316666666666666</v>
      </c>
      <c r="H109" s="66">
        <f t="shared" si="56"/>
        <v>191.4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66.518922025482254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-5.6843418860808015E-14</v>
      </c>
      <c r="O109" s="13">
        <f>N109*VLOOKUP('Données projet'!$B$9,Paramètres!$A$1:$I$89,3,0)*VLOOKUP('Données projet'!$B$9,Paramètres!$A$1:$I$89,5,0)</f>
        <v>-2.5006556825246661E-14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129.89493875503857</v>
      </c>
      <c r="T109" s="59">
        <f t="shared" si="88"/>
        <v>318.19554842399577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11.823215876582768</v>
      </c>
      <c r="AA109" s="21">
        <f>EXP(-LN(2)/25)*AA108+(1-EXP(-LN(2)/25))/(LN(2)/25)*Calculateur!V109*Calculateur!X109*VLOOKUP('Données projet'!$B$9,Paramètres!$A$1:$I$89,3,0)*0.475*44/12</f>
        <v>1.599560472958214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13.422776349540982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66.518922025482254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96.263123361643096</v>
      </c>
      <c r="AO109" s="59">
        <f t="shared" si="90"/>
        <v>291.35824366856377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10.357303315087162</v>
      </c>
      <c r="AV109" s="21">
        <f>EXP(-LN(2)/25)*AV108+(1-EXP(-LN(2)/25))/(LN(2)/25)*Calculateur!AQ109*Calculateur!AS109*VLOOKUP('Données projet'!$B$10,Paramètres!$A$1:$I$89,3,0)*0.475*44/12</f>
        <v>1.3683295650932006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11.725632880180362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66.518922025482254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103.69736557010637</v>
      </c>
      <c r="BJ109" s="59">
        <f t="shared" si="92"/>
        <v>312.86697521864392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11.202047911707744</v>
      </c>
      <c r="BQ109" s="21">
        <f>EXP(-LN(2)/25)*BQ108+(1-EXP(-LN(2)/25))/(LN(2)/25)*Calculateur!BL109*Calculateur!BN109*VLOOKUP('Données projet'!$B$11,Paramètres!$A$1:$I$89,3,0)*0.475*44/12</f>
        <v>1.4799309126008011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12.681978824308546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66.518922025482254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>
        <f>BY109*VLOOKUP('Données projet'!$B$12,Paramètres!$A$1:$I$89,3,0)*VLOOKUP('Données projet'!$B$12,Paramètres!$A$1:$I$89,5,0)</f>
        <v>0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189.55118397415424</v>
      </c>
      <c r="CE109" s="59">
        <f t="shared" si="94"/>
        <v>456.28719984856014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16.594170537620549</v>
      </c>
      <c r="CM109" s="21">
        <f>EXP(-LN(2)/2)*CM108+(1-EXP(-LN(2)/2))/(LN(2)/2)*CG109*CJ109*VLOOKUP('Données projet'!$B$12,Paramètres!$A$1:$I$89,3,0)*0.475*44/12</f>
        <v>1.6357082496162509E-13</v>
      </c>
      <c r="CN109" s="22">
        <f t="shared" si="66"/>
        <v>16.594170537620712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66.518922025482254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66.518922025482254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66.518922025482254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66.518922025482254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66.518922025482254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66.518922025482254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4.45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16.316666666666666</v>
      </c>
      <c r="H110" s="66">
        <f t="shared" si="56"/>
        <v>191.4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66.579310945815692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-5.6843418860808015E-14</v>
      </c>
      <c r="O110" s="13">
        <f>N110*VLOOKUP('Données projet'!$B$9,Paramètres!$A$1:$I$89,3,0)*VLOOKUP('Données projet'!$B$9,Paramètres!$A$1:$I$89,5,0)</f>
        <v>-2.5006556825246661E-14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129.89493875503857</v>
      </c>
      <c r="T110" s="59">
        <f t="shared" si="88"/>
        <v>318.19554842399577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11.591369824692594</v>
      </c>
      <c r="AA110" s="21">
        <f>EXP(-LN(2)/25)*AA109+(1-EXP(-LN(2)/25))/(LN(2)/25)*Calculateur!V110*Calculateur!X110*VLOOKUP('Données projet'!$B$9,Paramètres!$A$1:$I$89,3,0)*0.475*44/12</f>
        <v>1.5558204077079423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13.147190232400536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66.579310945815692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96.263123361643096</v>
      </c>
      <c r="AO110" s="59">
        <f t="shared" si="90"/>
        <v>291.35824366856377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10.15420291440954</v>
      </c>
      <c r="AV110" s="21">
        <f>EXP(-LN(2)/25)*AV109+(1-EXP(-LN(2)/25))/(LN(2)/25)*Calculateur!AQ110*Calculateur!AS110*VLOOKUP('Données projet'!$B$10,Paramètres!$A$1:$I$89,3,0)*0.475*44/12</f>
        <v>1.3309125211784025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11.485115435587943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66.579310945815692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103.69736557010637</v>
      </c>
      <c r="BJ110" s="59">
        <f t="shared" si="92"/>
        <v>312.86697521864392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10.98238258473372</v>
      </c>
      <c r="BQ110" s="21">
        <f>EXP(-LN(2)/25)*BQ109+(1-EXP(-LN(2)/25))/(LN(2)/25)*Calculateur!BL110*Calculateur!BN110*VLOOKUP('Données projet'!$B$11,Paramètres!$A$1:$I$89,3,0)*0.475*44/12</f>
        <v>1.439462123969548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12.421844708703269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66.579310945815692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>
        <f>BY110*VLOOKUP('Données projet'!$B$12,Paramètres!$A$1:$I$89,3,0)*VLOOKUP('Données projet'!$B$12,Paramètres!$A$1:$I$89,5,0)</f>
        <v>0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189.55118397415424</v>
      </c>
      <c r="CE110" s="59">
        <f t="shared" si="94"/>
        <v>456.28719984856014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16.140402071619814</v>
      </c>
      <c r="CM110" s="21">
        <f>EXP(-LN(2)/2)*CM109+(1-EXP(-LN(2)/2))/(LN(2)/2)*CG110*CJ110*VLOOKUP('Données projet'!$B$12,Paramètres!$A$1:$I$89,3,0)*0.475*44/12</f>
        <v>1.1566203953464289E-13</v>
      </c>
      <c r="CN110" s="22">
        <f t="shared" si="66"/>
        <v>16.140402071619931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66.579310945815692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66.579310945815692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66.579310945815692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66.579310945815692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66.579310945815692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66.579310945815692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4.45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16.316666666666666</v>
      </c>
      <c r="H111" s="66">
        <f t="shared" si="56"/>
        <v>191.4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66.638652253390759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-5.6843418860808015E-14</v>
      </c>
      <c r="O111" s="13">
        <f>N111*VLOOKUP('Données projet'!$B$9,Paramètres!$A$1:$I$89,3,0)*VLOOKUP('Données projet'!$B$9,Paramètres!$A$1:$I$89,5,0)</f>
        <v>-2.5006556825246661E-14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129.89493875503857</v>
      </c>
      <c r="T111" s="59">
        <f t="shared" si="88"/>
        <v>318.19554842399577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11.364070132467857</v>
      </c>
      <c r="AA111" s="21">
        <f>EXP(-LN(2)/25)*AA110+(1-EXP(-LN(2)/25))/(LN(2)/25)*Calculateur!V111*Calculateur!X111*VLOOKUP('Données projet'!$B$9,Paramètres!$A$1:$I$89,3,0)*0.475*44/12</f>
        <v>1.5132764168421293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12.877346549309987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66.638652253390759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96.263123361643096</v>
      </c>
      <c r="AO111" s="59">
        <f t="shared" si="90"/>
        <v>291.35824366856377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9.9550851887101945</v>
      </c>
      <c r="AV111" s="21">
        <f>EXP(-LN(2)/25)*AV110+(1-EXP(-LN(2)/25))/(LN(2)/25)*Calculateur!AQ111*Calculateur!AS111*VLOOKUP('Données projet'!$B$10,Paramètres!$A$1:$I$89,3,0)*0.475*44/12</f>
        <v>1.2945186482971314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11.249603837007326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66.638652253390759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103.69736557010637</v>
      </c>
      <c r="BJ111" s="59">
        <f t="shared" si="92"/>
        <v>312.86697521864392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10.767024760839037</v>
      </c>
      <c r="BQ111" s="21">
        <f>EXP(-LN(2)/25)*BQ110+(1-EXP(-LN(2)/25))/(LN(2)/25)*Calculateur!BL111*Calculateur!BN111*VLOOKUP('Données projet'!$B$11,Paramètres!$A$1:$I$89,3,0)*0.475*44/12</f>
        <v>1.4000999564915775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12.167124717330616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66.638652253390759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>
        <f>BY111*VLOOKUP('Données projet'!$B$12,Paramètres!$A$1:$I$89,3,0)*VLOOKUP('Données projet'!$B$12,Paramètres!$A$1:$I$89,5,0)</f>
        <v>0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189.55118397415424</v>
      </c>
      <c r="CE111" s="59">
        <f t="shared" si="94"/>
        <v>456.28719984856014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15.699041928184515</v>
      </c>
      <c r="CM111" s="21">
        <f>EXP(-LN(2)/2)*CM110+(1-EXP(-LN(2)/2))/(LN(2)/2)*CG111*CJ111*VLOOKUP('Données projet'!$B$12,Paramètres!$A$1:$I$89,3,0)*0.475*44/12</f>
        <v>8.1785412480812543E-14</v>
      </c>
      <c r="CN111" s="22">
        <f t="shared" si="66"/>
        <v>15.699041928184597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66.638652253390759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66.638652253390759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66.638652253390759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66.638652253390759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66.638652253390759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66.638652253390759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4.45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16.316666666666666</v>
      </c>
      <c r="H112" s="66">
        <f t="shared" si="56"/>
        <v>191.4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66.696964121946664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-5.6843418860808015E-14</v>
      </c>
      <c r="O112" s="13">
        <f>N112*VLOOKUP('Données projet'!$B$9,Paramètres!$A$1:$I$89,3,0)*VLOOKUP('Données projet'!$B$9,Paramètres!$A$1:$I$89,5,0)</f>
        <v>-2.5006556825246661E-14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129.89493875503857</v>
      </c>
      <c r="T112" s="59">
        <f t="shared" si="88"/>
        <v>318.19554842399577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11.141227648568524</v>
      </c>
      <c r="AA112" s="21">
        <f>EXP(-LN(2)/25)*AA111+(1-EXP(-LN(2)/25))/(LN(2)/25)*Calculateur!V112*Calculateur!X112*VLOOKUP('Données projet'!$B$9,Paramètres!$A$1:$I$89,3,0)*0.475*44/12</f>
        <v>1.4718957936438333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12.613123442212357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66.696964121946664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96.263123361643096</v>
      </c>
      <c r="AO112" s="59">
        <f t="shared" si="90"/>
        <v>291.35824366856377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9.7598720401619925</v>
      </c>
      <c r="AV112" s="21">
        <f>EXP(-LN(2)/25)*AV111+(1-EXP(-LN(2)/25))/(LN(2)/25)*Calculateur!AQ112*Calculateur!AS112*VLOOKUP('Données projet'!$B$10,Paramètres!$A$1:$I$89,3,0)*0.475*44/12</f>
        <v>1.2591199677836693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11.018992007945663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66.696964121946664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103.69736557010637</v>
      </c>
      <c r="BJ112" s="59">
        <f t="shared" si="92"/>
        <v>312.86697521864392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10.555889972515628</v>
      </c>
      <c r="BQ112" s="21">
        <f>EXP(-LN(2)/25)*BQ111+(1-EXP(-LN(2)/25))/(LN(2)/25)*Calculateur!BL112*Calculateur!BN112*VLOOKUP('Données projet'!$B$11,Paramètres!$A$1:$I$89,3,0)*0.475*44/12</f>
        <v>1.3618141495532585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11.917704122068887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66.696964121946664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>
        <f>BY112*VLOOKUP('Données projet'!$B$12,Paramètres!$A$1:$I$89,3,0)*VLOOKUP('Données projet'!$B$12,Paramètres!$A$1:$I$89,5,0)</f>
        <v>0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189.55118397415424</v>
      </c>
      <c r="CE112" s="59">
        <f t="shared" si="94"/>
        <v>456.28719984856014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15.269750801081575</v>
      </c>
      <c r="CM112" s="21">
        <f>EXP(-LN(2)/2)*CM111+(1-EXP(-LN(2)/2))/(LN(2)/2)*CG112*CJ112*VLOOKUP('Données projet'!$B$12,Paramètres!$A$1:$I$89,3,0)*0.475*44/12</f>
        <v>5.7831019767321447E-14</v>
      </c>
      <c r="CN112" s="22">
        <f t="shared" si="66"/>
        <v>15.269750801081633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66.696964121946664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66.696964121946664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66.696964121946664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66.696964121946664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66.696964121946664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66.696964121946664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4.45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16.316666666666666</v>
      </c>
      <c r="H113" s="66">
        <f t="shared" si="56"/>
        <v>191.4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66.754264409948945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-5.6843418860808015E-14</v>
      </c>
      <c r="O113" s="13">
        <f>N113*VLOOKUP('Données projet'!$B$9,Paramètres!$A$1:$I$89,3,0)*VLOOKUP('Données projet'!$B$9,Paramètres!$A$1:$I$89,5,0)</f>
        <v>-2.5006556825246661E-14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129.89493875503857</v>
      </c>
      <c r="T113" s="59">
        <f t="shared" si="88"/>
        <v>318.19554842399577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10.922754969857964</v>
      </c>
      <c r="AA113" s="21">
        <f>EXP(-LN(2)/25)*AA112+(1-EXP(-LN(2)/25))/(LN(2)/25)*Calculateur!V113*Calculateur!X113*VLOOKUP('Données projet'!$B$9,Paramètres!$A$1:$I$89,3,0)*0.475*44/12</f>
        <v>1.431646725763007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12.354401695620972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66.754264409948945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96.263123361643096</v>
      </c>
      <c r="AO113" s="59">
        <f t="shared" si="90"/>
        <v>291.35824366856377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9.5684869023885568</v>
      </c>
      <c r="AV113" s="21">
        <f>EXP(-LN(2)/25)*AV112+(1-EXP(-LN(2)/25))/(LN(2)/25)*Calculateur!AQ113*Calculateur!AS113*VLOOKUP('Données projet'!$B$10,Paramètres!$A$1:$I$89,3,0)*0.475*44/12</f>
        <v>1.2246892660503834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10.79317616843894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66.754264409948945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103.69736557010637</v>
      </c>
      <c r="BJ113" s="59">
        <f t="shared" si="92"/>
        <v>312.86697521864392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10.348895408611735</v>
      </c>
      <c r="BQ113" s="21">
        <f>EXP(-LN(2)/25)*BQ112+(1-EXP(-LN(2)/25))/(LN(2)/25)*Calculateur!BL113*Calculateur!BN113*VLOOKUP('Données projet'!$B$11,Paramètres!$A$1:$I$89,3,0)*0.475*44/12</f>
        <v>1.324575270019031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11.673470678630766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66.754264409948945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>
        <f>BY113*VLOOKUP('Données projet'!$B$12,Paramètres!$A$1:$I$89,3,0)*VLOOKUP('Données projet'!$B$12,Paramètres!$A$1:$I$89,5,0)</f>
        <v>0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189.55118397415424</v>
      </c>
      <c r="CE113" s="59">
        <f t="shared" si="94"/>
        <v>456.28719984856014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14.852198662424703</v>
      </c>
      <c r="CM113" s="21">
        <f>EXP(-LN(2)/2)*CM112+(1-EXP(-LN(2)/2))/(LN(2)/2)*CG113*CJ113*VLOOKUP('Données projet'!$B$12,Paramètres!$A$1:$I$89,3,0)*0.475*44/12</f>
        <v>4.0892706240406271E-14</v>
      </c>
      <c r="CN113" s="22">
        <f t="shared" si="66"/>
        <v>14.852198662424744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66.754264409948945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66.754264409948945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66.754264409948945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66.754264409948945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66.754264409948945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66.754264409948945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4.45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16.316666666666666</v>
      </c>
      <c r="H114" s="66">
        <f t="shared" si="56"/>
        <v>191.4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66.810570666058624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-5.6843418860808015E-14</v>
      </c>
      <c r="O114" s="13">
        <f>N114*VLOOKUP('Données projet'!$B$9,Paramètres!$A$1:$I$89,3,0)*VLOOKUP('Données projet'!$B$9,Paramètres!$A$1:$I$89,5,0)</f>
        <v>-2.5006556825246661E-14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129.89493875503857</v>
      </c>
      <c r="T114" s="59">
        <f t="shared" si="88"/>
        <v>318.19554842399577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10.708566407121742</v>
      </c>
      <c r="AA114" s="21">
        <f>EXP(-LN(2)/25)*AA113+(1-EXP(-LN(2)/25))/(LN(2)/25)*Calculateur!V114*Calculateur!X114*VLOOKUP('Données projet'!$B$9,Paramètres!$A$1:$I$89,3,0)*0.475*44/12</f>
        <v>1.3924982707599884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12.10106467788173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66.810570666058624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96.263123361643096</v>
      </c>
      <c r="AO114" s="59">
        <f t="shared" si="90"/>
        <v>291.35824366856377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9.3808547104334501</v>
      </c>
      <c r="AV114" s="21">
        <f>EXP(-LN(2)/25)*AV113+(1-EXP(-LN(2)/25))/(LN(2)/25)*Calculateur!AQ114*Calculateur!AS114*VLOOKUP('Données projet'!$B$10,Paramètres!$A$1:$I$89,3,0)*0.475*44/12</f>
        <v>1.1912000736666262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10.572054784100077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66.810570666058624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103.69736557010637</v>
      </c>
      <c r="BJ114" s="59">
        <f t="shared" si="92"/>
        <v>312.86697521864392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10.14595988185178</v>
      </c>
      <c r="BQ114" s="21">
        <f>EXP(-LN(2)/25)*BQ113+(1-EXP(-LN(2)/25))/(LN(2)/25)*Calculateur!BL114*Calculateur!BN114*VLOOKUP('Données projet'!$B$11,Paramètres!$A$1:$I$89,3,0)*0.475*44/12</f>
        <v>1.2883546896039744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11.434314571455754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66.810570666058624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>
        <f>BY114*VLOOKUP('Données projet'!$B$12,Paramètres!$A$1:$I$89,3,0)*VLOOKUP('Données projet'!$B$12,Paramètres!$A$1:$I$89,5,0)</f>
        <v>0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189.55118397415424</v>
      </c>
      <c r="CE114" s="59">
        <f t="shared" si="94"/>
        <v>456.28719984856014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14.446064508957518</v>
      </c>
      <c r="CM114" s="21">
        <f>EXP(-LN(2)/2)*CM113+(1-EXP(-LN(2)/2))/(LN(2)/2)*CG114*CJ114*VLOOKUP('Données projet'!$B$12,Paramètres!$A$1:$I$89,3,0)*0.475*44/12</f>
        <v>2.8915509883660724E-14</v>
      </c>
      <c r="CN114" s="22">
        <f t="shared" si="66"/>
        <v>14.446064508957546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66.810570666058624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66.810570666058624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66.810570666058624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66.810570666058624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66.810570666058624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66.810570666058624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4.45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16.316666666666666</v>
      </c>
      <c r="H115" s="66">
        <f t="shared" si="56"/>
        <v>191.4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66.865900134506745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-5.6843418860808015E-14</v>
      </c>
      <c r="O115" s="13">
        <f>N115*VLOOKUP('Données projet'!$B$9,Paramètres!$A$1:$I$89,3,0)*VLOOKUP('Données projet'!$B$9,Paramètres!$A$1:$I$89,5,0)</f>
        <v>-2.5006556825246661E-14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129.89493875503857</v>
      </c>
      <c r="T115" s="59">
        <f t="shared" si="88"/>
        <v>318.19554842399577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10.498577951458653</v>
      </c>
      <c r="AA115" s="21">
        <f>EXP(-LN(2)/25)*AA114+(1-EXP(-LN(2)/25))/(LN(2)/25)*Calculateur!V115*Calculateur!X115*VLOOKUP('Données projet'!$B$9,Paramètres!$A$1:$I$89,3,0)*0.475*44/12</f>
        <v>1.354420332317755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11.852998283776408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66.865900134506745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96.263123361643096</v>
      </c>
      <c r="AO115" s="59">
        <f t="shared" si="90"/>
        <v>291.35824366856377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9.1969018713182464</v>
      </c>
      <c r="AV115" s="21">
        <f>EXP(-LN(2)/25)*AV114+(1-EXP(-LN(2)/25))/(LN(2)/25)*Calculateur!AQ115*Calculateur!AS115*VLOOKUP('Données projet'!$B$10,Paramètres!$A$1:$I$89,3,0)*0.475*44/12</f>
        <v>1.1586266450097229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10.355528516327968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66.865900134506745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103.69736557010637</v>
      </c>
      <c r="BJ115" s="59">
        <f t="shared" si="92"/>
        <v>312.86697521864392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9.9470037969931386</v>
      </c>
      <c r="BQ115" s="21">
        <f>EXP(-LN(2)/25)*BQ114+(1-EXP(-LN(2)/25))/(LN(2)/25)*Calculateur!BL115*Calculateur!BN115*VLOOKUP('Données projet'!$B$11,Paramètres!$A$1:$I$89,3,0)*0.475*44/12</f>
        <v>1.2531245628651251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11.200128359858263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66.865900134506745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>
        <f>BY115*VLOOKUP('Données projet'!$B$12,Paramètres!$A$1:$I$89,3,0)*VLOOKUP('Données projet'!$B$12,Paramètres!$A$1:$I$89,5,0)</f>
        <v>0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189.55118397415424</v>
      </c>
      <c r="CE115" s="59">
        <f t="shared" si="94"/>
        <v>456.28719984856014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14.05103611527456</v>
      </c>
      <c r="CM115" s="21">
        <f>EXP(-LN(2)/2)*CM114+(1-EXP(-LN(2)/2))/(LN(2)/2)*CG115*CJ115*VLOOKUP('Données projet'!$B$12,Paramètres!$A$1:$I$89,3,0)*0.475*44/12</f>
        <v>2.0446353120203136E-14</v>
      </c>
      <c r="CN115" s="22">
        <f t="shared" si="66"/>
        <v>14.051036115274581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66.865900134506745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66.865900134506745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66.865900134506745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66.865900134506745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66.865900134506745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66.865900134506745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4.45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16.316666666666666</v>
      </c>
      <c r="H116" s="66">
        <f t="shared" si="56"/>
        <v>191.4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66.920269760375447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-5.6843418860808015E-14</v>
      </c>
      <c r="O116" s="13">
        <f>N116*VLOOKUP('Données projet'!$B$9,Paramètres!$A$1:$I$89,3,0)*VLOOKUP('Données projet'!$B$9,Paramètres!$A$1:$I$89,5,0)</f>
        <v>-2.5006556825246661E-14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129.89493875503857</v>
      </c>
      <c r="T116" s="59">
        <f t="shared" si="88"/>
        <v>318.19554842399577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10.292707241330806</v>
      </c>
      <c r="AA116" s="21">
        <f>EXP(-LN(2)/25)*AA115+(1-EXP(-LN(2)/25))/(LN(2)/25)*Calculateur!V116*Calculateur!X116*VLOOKUP('Données projet'!$B$9,Paramètres!$A$1:$I$89,3,0)*0.475*44/12</f>
        <v>1.3173836371046563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11.610090878435463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66.920269760375447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96.263123361643096</v>
      </c>
      <c r="AO116" s="59">
        <f t="shared" si="90"/>
        <v>291.35824366856377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9.0165562351779389</v>
      </c>
      <c r="AV116" s="21">
        <f>EXP(-LN(2)/25)*AV115+(1-EXP(-LN(2)/25))/(LN(2)/25)*Calculateur!AQ116*Calculateur!AS116*VLOOKUP('Données projet'!$B$10,Paramètres!$A$1:$I$89,3,0)*0.475*44/12</f>
        <v>1.1269439384724049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10.143500173650343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66.920269760375447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103.69736557010637</v>
      </c>
      <c r="BJ116" s="59">
        <f t="shared" si="92"/>
        <v>312.86697521864392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9.751949119607346</v>
      </c>
      <c r="BQ116" s="21">
        <f>EXP(-LN(2)/25)*BQ115+(1-EXP(-LN(2)/25))/(LN(2)/25)*Calculateur!BL116*Calculateur!BN116*VLOOKUP('Données projet'!$B$11,Paramètres!$A$1:$I$89,3,0)*0.475*44/12</f>
        <v>1.2188578057946216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10.970806925401968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66.920269760375447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>
        <f>BY116*VLOOKUP('Données projet'!$B$12,Paramètres!$A$1:$I$89,3,0)*VLOOKUP('Données projet'!$B$12,Paramètres!$A$1:$I$89,5,0)</f>
        <v>0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189.55118397415424</v>
      </c>
      <c r="CE116" s="59">
        <f t="shared" si="94"/>
        <v>456.28719984856014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13.666809793790501</v>
      </c>
      <c r="CM116" s="21">
        <f>EXP(-LN(2)/2)*CM115+(1-EXP(-LN(2)/2))/(LN(2)/2)*CG116*CJ116*VLOOKUP('Données projet'!$B$12,Paramètres!$A$1:$I$89,3,0)*0.475*44/12</f>
        <v>1.4457754941830362E-14</v>
      </c>
      <c r="CN116" s="22">
        <f t="shared" si="66"/>
        <v>13.666809793790515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66.920269760375447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66.920269760375447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66.920269760375447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66.920269760375447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66.920269760375447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66.920269760375447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4.45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16.316666666666666</v>
      </c>
      <c r="H117" s="66">
        <f t="shared" si="56"/>
        <v>191.4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66.973696194787607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-5.6843418860808015E-14</v>
      </c>
      <c r="O117" s="13">
        <f>N117*VLOOKUP('Données projet'!$B$9,Paramètres!$A$1:$I$89,3,0)*VLOOKUP('Données projet'!$B$9,Paramètres!$A$1:$I$89,5,0)</f>
        <v>-2.5006556825246661E-14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129.89493875503857</v>
      </c>
      <c r="T117" s="59">
        <f t="shared" si="88"/>
        <v>318.19554842399577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10.090873530259833</v>
      </c>
      <c r="AA117" s="21">
        <f>EXP(-LN(2)/25)*AA116+(1-EXP(-LN(2)/25))/(LN(2)/25)*Calculateur!V117*Calculateur!X117*VLOOKUP('Données projet'!$B$9,Paramètres!$A$1:$I$89,3,0)*0.475*44/12</f>
        <v>1.281359712269835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11.372233242529667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66.973696194787607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96.263123361643096</v>
      </c>
      <c r="AO117" s="59">
        <f t="shared" si="90"/>
        <v>291.35824366856377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8.8397470669623672</v>
      </c>
      <c r="AV117" s="21">
        <f>EXP(-LN(2)/25)*AV116+(1-EXP(-LN(2)/25))/(LN(2)/25)*Calculateur!AQ117*Calculateur!AS117*VLOOKUP('Données projet'!$B$10,Paramètres!$A$1:$I$89,3,0)*0.475*44/12</f>
        <v>1.096127597211471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9.9358746641738378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66.973696194787607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103.69736557010637</v>
      </c>
      <c r="BJ117" s="59">
        <f t="shared" si="92"/>
        <v>312.86697521864392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9.5607193454734833</v>
      </c>
      <c r="BQ117" s="21">
        <f>EXP(-LN(2)/25)*BQ116+(1-EXP(-LN(2)/25))/(LN(2)/25)*Calculateur!BL117*Calculateur!BN117*VLOOKUP('Données projet'!$B$11,Paramètres!$A$1:$I$89,3,0)*0.475*44/12</f>
        <v>1.1855280749982213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10.746247420471704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66.973696194787607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>
        <f>BY117*VLOOKUP('Données projet'!$B$12,Paramètres!$A$1:$I$89,3,0)*VLOOKUP('Données projet'!$B$12,Paramètres!$A$1:$I$89,5,0)</f>
        <v>0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189.55118397415424</v>
      </c>
      <c r="CE117" s="59">
        <f t="shared" si="94"/>
        <v>456.28719984856014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13.293090161273009</v>
      </c>
      <c r="CM117" s="21">
        <f>EXP(-LN(2)/2)*CM116+(1-EXP(-LN(2)/2))/(LN(2)/2)*CG117*CJ117*VLOOKUP('Données projet'!$B$12,Paramètres!$A$1:$I$89,3,0)*0.475*44/12</f>
        <v>1.0223176560101568E-14</v>
      </c>
      <c r="CN117" s="22">
        <f t="shared" si="66"/>
        <v>13.293090161273019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66.973696194787607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66.973696194787607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66.973696194787607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66.973696194787607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66.973696194787607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66.973696194787607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4.45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16.316666666666666</v>
      </c>
      <c r="H118" s="66">
        <f t="shared" si="56"/>
        <v>191.4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67.026195800006334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-5.6843418860808015E-14</v>
      </c>
      <c r="O118" s="13">
        <f>N118*VLOOKUP('Données projet'!$B$9,Paramètres!$A$1:$I$89,3,0)*VLOOKUP('Données projet'!$B$9,Paramètres!$A$1:$I$89,5,0)</f>
        <v>-2.5006556825246661E-14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129.89493875503857</v>
      </c>
      <c r="T118" s="59">
        <f t="shared" si="88"/>
        <v>318.19554842399577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9.8929976551565524</v>
      </c>
      <c r="AA118" s="21">
        <f>EXP(-LN(2)/25)*AA117+(1-EXP(-LN(2)/25))/(LN(2)/25)*Calculateur!V118*Calculateur!X118*VLOOKUP('Données projet'!$B$9,Paramètres!$A$1:$I$89,3,0)*0.475*44/12</f>
        <v>1.2463208635540377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11.13931851871059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67.026195800006334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96.263123361643096</v>
      </c>
      <c r="AO118" s="59">
        <f t="shared" si="90"/>
        <v>291.35824366856377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8.6664050186925579</v>
      </c>
      <c r="AV118" s="21">
        <f>EXP(-LN(2)/25)*AV117+(1-EXP(-LN(2)/25))/(LN(2)/25)*Calculateur!AQ118*Calculateur!AS118*VLOOKUP('Données projet'!$B$10,Paramètres!$A$1:$I$89,3,0)*0.475*44/12</f>
        <v>1.0661539304228782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9.7325589491154361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67.026195800006334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103.69736557010637</v>
      </c>
      <c r="BJ118" s="59">
        <f t="shared" si="92"/>
        <v>312.86697521864392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9.3732394705717397</v>
      </c>
      <c r="BQ118" s="21">
        <f>EXP(-LN(2)/25)*BQ117+(1-EXP(-LN(2)/25))/(LN(2)/25)*Calculateur!BL118*Calculateur!BN118*VLOOKUP('Données projet'!$B$11,Paramètres!$A$1:$I$89,3,0)*0.475*44/12</f>
        <v>1.1531097474431831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10.526349218014923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67.026195800006334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>
        <f>BY118*VLOOKUP('Données projet'!$B$12,Paramètres!$A$1:$I$89,3,0)*VLOOKUP('Données projet'!$B$12,Paramètres!$A$1:$I$89,5,0)</f>
        <v>0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189.55118397415424</v>
      </c>
      <c r="CE118" s="59">
        <f t="shared" si="94"/>
        <v>456.28719984856014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12.929589911759768</v>
      </c>
      <c r="CM118" s="21">
        <f>EXP(-LN(2)/2)*CM117+(1-EXP(-LN(2)/2))/(LN(2)/2)*CG118*CJ118*VLOOKUP('Données projet'!$B$12,Paramètres!$A$1:$I$89,3,0)*0.475*44/12</f>
        <v>7.2288774709151809E-15</v>
      </c>
      <c r="CN118" s="22">
        <f t="shared" si="66"/>
        <v>12.929589911759775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67.026195800006334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67.026195800006334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67.026195800006334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67.026195800006334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67.026195800006334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67.026195800006334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4.45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16.316666666666666</v>
      </c>
      <c r="H119" s="66">
        <f t="shared" si="56"/>
        <v>191.4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67.077784654446035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-5.6843418860808015E-14</v>
      </c>
      <c r="O119" s="13">
        <f>N119*VLOOKUP('Données projet'!$B$9,Paramètres!$A$1:$I$89,3,0)*VLOOKUP('Données projet'!$B$9,Paramètres!$A$1:$I$89,5,0)</f>
        <v>-2.5006556825246661E-14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129.89493875503857</v>
      </c>
      <c r="T119" s="59">
        <f t="shared" si="88"/>
        <v>318.19554842399577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9.6990020052716801</v>
      </c>
      <c r="AA119" s="21">
        <f>EXP(-LN(2)/25)*AA118+(1-EXP(-LN(2)/25))/(LN(2)/25)*Calculateur!V119*Calculateur!X119*VLOOKUP('Données projet'!$B$9,Paramètres!$A$1:$I$89,3,0)*0.475*44/12</f>
        <v>1.2122401539989869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10.911242159270667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67.077784654446035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96.263123361643096</v>
      </c>
      <c r="AO119" s="59">
        <f t="shared" si="90"/>
        <v>291.35824366856377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8.4964621022611109</v>
      </c>
      <c r="AV119" s="21">
        <f>EXP(-LN(2)/25)*AV118+(1-EXP(-LN(2)/25))/(LN(2)/25)*Calculateur!AQ119*Calculateur!AS119*VLOOKUP('Données projet'!$B$10,Paramètres!$A$1:$I$89,3,0)*0.475*44/12</f>
        <v>1.0369998951288661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9.5334619973899777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67.077784654446035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103.69736557010637</v>
      </c>
      <c r="BJ119" s="59">
        <f t="shared" si="92"/>
        <v>312.86697521864392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9.1894359616653869</v>
      </c>
      <c r="BQ119" s="21">
        <f>EXP(-LN(2)/25)*BQ118+(1-EXP(-LN(2)/25))/(LN(2)/25)*Calculateur!BL119*Calculateur!BN119*VLOOKUP('Données projet'!$B$11,Paramètres!$A$1:$I$89,3,0)*0.475*44/12</f>
        <v>1.1215779007599431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10.31101386242533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67.077784654446035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>
        <f>BY119*VLOOKUP('Données projet'!$B$12,Paramètres!$A$1:$I$89,3,0)*VLOOKUP('Données projet'!$B$12,Paramètres!$A$1:$I$89,5,0)</f>
        <v>0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189.55118397415424</v>
      </c>
      <c r="CE119" s="59">
        <f t="shared" si="94"/>
        <v>456.28719984856014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12.576029595685116</v>
      </c>
      <c r="CM119" s="21">
        <f>EXP(-LN(2)/2)*CM118+(1-EXP(-LN(2)/2))/(LN(2)/2)*CG119*CJ119*VLOOKUP('Données projet'!$B$12,Paramètres!$A$1:$I$89,3,0)*0.475*44/12</f>
        <v>5.1115882800507839E-15</v>
      </c>
      <c r="CN119" s="22">
        <f t="shared" si="66"/>
        <v>12.576029595685121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67.077784654446035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67.077784654446035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67.077784654446035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67.077784654446035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67.077784654446035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67.077784654446035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4.45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16.316666666666666</v>
      </c>
      <c r="H120" s="66">
        <f t="shared" si="56"/>
        <v>191.4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67.128478557596608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-5.6843418860808015E-14</v>
      </c>
      <c r="O120" s="13">
        <f>N120*VLOOKUP('Données projet'!$B$9,Paramètres!$A$1:$I$89,3,0)*VLOOKUP('Données projet'!$B$9,Paramètres!$A$1:$I$89,5,0)</f>
        <v>-2.5006556825246661E-14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129.89493875503857</v>
      </c>
      <c r="T120" s="59">
        <f t="shared" si="88"/>
        <v>318.19554842399577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9.5088104917553888</v>
      </c>
      <c r="AA120" s="21">
        <f>EXP(-LN(2)/25)*AA119+(1-EXP(-LN(2)/25))/(LN(2)/25)*Calculateur!V120*Calculateur!X120*VLOOKUP('Données projet'!$B$9,Paramètres!$A$1:$I$89,3,0)*0.475*44/12</f>
        <v>1.1790913832389456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10.687901874994335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67.128478557596608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96.263123361643096</v>
      </c>
      <c r="AO120" s="59">
        <f t="shared" si="90"/>
        <v>291.35824366856377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8.3298516627659396</v>
      </c>
      <c r="AV120" s="21">
        <f>EXP(-LN(2)/25)*AV119+(1-EXP(-LN(2)/25))/(LN(2)/25)*Calculateur!AQ120*Calculateur!AS120*VLOOKUP('Données projet'!$B$10,Paramètres!$A$1:$I$89,3,0)*0.475*44/12</f>
        <v>1.0086430784631129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9.3384947412290522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67.128478557596608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103.69736557010637</v>
      </c>
      <c r="BJ120" s="59">
        <f t="shared" si="92"/>
        <v>312.86697521864392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9.0092367274596175</v>
      </c>
      <c r="BQ120" s="21">
        <f>EXP(-LN(2)/25)*BQ119+(1-EXP(-LN(2)/25))/(LN(2)/25)*Calculateur!BL120*Calculateur!BN120*VLOOKUP('Données projet'!$B$11,Paramètres!$A$1:$I$89,3,0)*0.475*44/12</f>
        <v>1.0909082940824442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10.100145021542062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67.128478557596608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>
        <f>BY120*VLOOKUP('Données projet'!$B$12,Paramètres!$A$1:$I$89,3,0)*VLOOKUP('Données projet'!$B$12,Paramètres!$A$1:$I$89,5,0)</f>
        <v>0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189.55118397415424</v>
      </c>
      <c r="CE120" s="59">
        <f t="shared" si="94"/>
        <v>456.28719984856014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12.232137405046453</v>
      </c>
      <c r="CM120" s="21">
        <f>EXP(-LN(2)/2)*CM119+(1-EXP(-LN(2)/2))/(LN(2)/2)*CG120*CJ120*VLOOKUP('Données projet'!$B$12,Paramètres!$A$1:$I$89,3,0)*0.475*44/12</f>
        <v>3.6144387354575905E-15</v>
      </c>
      <c r="CN120" s="22">
        <f t="shared" si="66"/>
        <v>12.232137405046457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67.128478557596608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67.128478557596608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67.128478557596608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67.128478557596608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67.128478557596608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67.128478557596608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4.45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16.316666666666666</v>
      </c>
      <c r="H121" s="66">
        <f t="shared" si="56"/>
        <v>191.4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67.178293034862108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-5.6843418860808015E-14</v>
      </c>
      <c r="O121" s="13">
        <f>N121*VLOOKUP('Données projet'!$B$9,Paramètres!$A$1:$I$89,3,0)*VLOOKUP('Données projet'!$B$9,Paramètres!$A$1:$I$89,5,0)</f>
        <v>-2.5006556825246661E-14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129.89493875503857</v>
      </c>
      <c r="T121" s="59">
        <f t="shared" si="88"/>
        <v>318.19554842399577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9.3223485178137828</v>
      </c>
      <c r="AA121" s="21">
        <f>EXP(-LN(2)/25)*AA120+(1-EXP(-LN(2)/25))/(LN(2)/25)*Calculateur!V121*Calculateur!X121*VLOOKUP('Données projet'!$B$9,Paramètres!$A$1:$I$89,3,0)*0.475*44/12</f>
        <v>1.1468490673585556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10.469197585172338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67.178293034862108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96.263123361643096</v>
      </c>
      <c r="AO121" s="59">
        <f t="shared" si="90"/>
        <v>291.35824366856377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8.166508352366936</v>
      </c>
      <c r="AV121" s="21">
        <f>EXP(-LN(2)/25)*AV120+(1-EXP(-LN(2)/25))/(LN(2)/25)*Calculateur!AQ121*Calculateur!AS121*VLOOKUP('Données projet'!$B$10,Paramètres!$A$1:$I$89,3,0)*0.475*44/12</f>
        <v>0.98106168044030484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9.1475700328072413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67.178293034862108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103.69736557010637</v>
      </c>
      <c r="BJ121" s="59">
        <f t="shared" si="92"/>
        <v>312.86697521864392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8.832571090325942</v>
      </c>
      <c r="BQ121" s="21">
        <f>EXP(-LN(2)/25)*BQ120+(1-EXP(-LN(2)/25))/(LN(2)/25)*Calculateur!BL121*Calculateur!BN121*VLOOKUP('Données projet'!$B$11,Paramètres!$A$1:$I$89,3,0)*0.475*44/12</f>
        <v>1.0610773494123857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9.8936484397383282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67.178293034862108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>
        <f>BY121*VLOOKUP('Données projet'!$B$12,Paramètres!$A$1:$I$89,3,0)*VLOOKUP('Données projet'!$B$12,Paramètres!$A$1:$I$89,5,0)</f>
        <v>0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189.55118397415424</v>
      </c>
      <c r="CE121" s="59">
        <f t="shared" si="94"/>
        <v>456.28719984856014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11.897648964445308</v>
      </c>
      <c r="CM121" s="21">
        <f>EXP(-LN(2)/2)*CM120+(1-EXP(-LN(2)/2))/(LN(2)/2)*CG121*CJ121*VLOOKUP('Données projet'!$B$12,Paramètres!$A$1:$I$89,3,0)*0.475*44/12</f>
        <v>2.555794140025392E-15</v>
      </c>
      <c r="CN121" s="22">
        <f t="shared" si="66"/>
        <v>11.89764896444531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67.178293034862108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67.178293034862108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67.178293034862108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67.178293034862108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67.178293034862108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67.178293034862108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4.45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16.316666666666666</v>
      </c>
      <c r="H122" s="66">
        <f t="shared" si="56"/>
        <v>191.4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67.227243342315532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-5.6843418860808015E-14</v>
      </c>
      <c r="O122" s="13">
        <f>N122*VLOOKUP('Données projet'!$B$9,Paramètres!$A$1:$I$89,3,0)*VLOOKUP('Données projet'!$B$9,Paramètres!$A$1:$I$89,5,0)</f>
        <v>-2.5006556825246661E-14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129.89493875503857</v>
      </c>
      <c r="T122" s="59">
        <f t="shared" si="88"/>
        <v>318.19554842399577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9.1395429494505969</v>
      </c>
      <c r="AA122" s="21">
        <f>EXP(-LN(2)/25)*AA121+(1-EXP(-LN(2)/25))/(LN(2)/25)*Calculateur!V122*Calculateur!X122*VLOOKUP('Données projet'!$B$9,Paramètres!$A$1:$I$89,3,0)*0.475*44/12</f>
        <v>1.1154884193014647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10.255031368752061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67.227243342315532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96.263123361643096</v>
      </c>
      <c r="AO122" s="59">
        <f t="shared" si="90"/>
        <v>291.35824366856377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8.0063681046552748</v>
      </c>
      <c r="AV122" s="21">
        <f>EXP(-LN(2)/25)*AV121+(1-EXP(-LN(2)/25))/(LN(2)/25)*Calculateur!AQ122*Calculateur!AS122*VLOOKUP('Données projet'!$B$10,Paramètres!$A$1:$I$89,3,0)*0.475*44/12</f>
        <v>0.95423449719687314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8.9606026018521483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67.227243342315532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103.69736557010637</v>
      </c>
      <c r="BJ122" s="59">
        <f t="shared" si="92"/>
        <v>312.86697521864392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8.6593697585810609</v>
      </c>
      <c r="BQ122" s="21">
        <f>EXP(-LN(2)/25)*BQ121+(1-EXP(-LN(2)/25))/(LN(2)/25)*Calculateur!BL122*Calculateur!BN122*VLOOKUP('Données projet'!$B$11,Paramètres!$A$1:$I$89,3,0)*0.475*44/12</f>
        <v>1.0320621334930713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9.6914318920741316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67.227243342315532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>
        <f>BY122*VLOOKUP('Données projet'!$B$12,Paramètres!$A$1:$I$89,3,0)*VLOOKUP('Données projet'!$B$12,Paramètres!$A$1:$I$89,5,0)</f>
        <v>0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189.55118397415424</v>
      </c>
      <c r="CE122" s="59">
        <f t="shared" si="94"/>
        <v>456.28719984856014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11.572307127842384</v>
      </c>
      <c r="CM122" s="21">
        <f>EXP(-LN(2)/2)*CM121+(1-EXP(-LN(2)/2))/(LN(2)/2)*CG122*CJ122*VLOOKUP('Données projet'!$B$12,Paramètres!$A$1:$I$89,3,0)*0.475*44/12</f>
        <v>1.8072193677287952E-15</v>
      </c>
      <c r="CN122" s="22">
        <f t="shared" si="66"/>
        <v>11.572307127842386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67.227243342315532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67.227243342315532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67.227243342315532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67.227243342315532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67.227243342315532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67.227243342315532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4.45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16.316666666666666</v>
      </c>
      <c r="H123" s="66">
        <f t="shared" si="56"/>
        <v>191.4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67.275344471371156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-5.6843418860808015E-14</v>
      </c>
      <c r="O123" s="13">
        <f>N123*VLOOKUP('Données projet'!$B$9,Paramètres!$A$1:$I$89,3,0)*VLOOKUP('Données projet'!$B$9,Paramètres!$A$1:$I$89,5,0)</f>
        <v>-2.5006556825246661E-14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129.89493875503857</v>
      </c>
      <c r="T123" s="59">
        <f t="shared" si="88"/>
        <v>318.19554842399577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8.960322086782627</v>
      </c>
      <c r="AA123" s="21">
        <f>EXP(-LN(2)/25)*AA122+(1-EXP(-LN(2)/25))/(LN(2)/25)*Calculateur!V123*Calculateur!X123*VLOOKUP('Données projet'!$B$9,Paramètres!$A$1:$I$89,3,0)*0.475*44/12</f>
        <v>1.0849853298146797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10.045307416597307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67.275344471371156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96.263123361643096</v>
      </c>
      <c r="AO123" s="59">
        <f t="shared" si="90"/>
        <v>291.35824366856377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7.8493681095253329</v>
      </c>
      <c r="AV123" s="21">
        <f>EXP(-LN(2)/25)*AV122+(1-EXP(-LN(2)/25))/(LN(2)/25)*Calculateur!AQ123*Calculateur!AS123*VLOOKUP('Données projet'!$B$10,Paramètres!$A$1:$I$89,3,0)*0.475*44/12</f>
        <v>0.92814090469001342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8.7775090142153456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67.275344471371156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103.69736557010637</v>
      </c>
      <c r="BJ123" s="59">
        <f t="shared" si="92"/>
        <v>312.86697521864392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8.4895647993093153</v>
      </c>
      <c r="BQ123" s="21">
        <f>EXP(-LN(2)/25)*BQ122+(1-EXP(-LN(2)/25))/(LN(2)/25)*Calculateur!BL123*Calculateur!BN123*VLOOKUP('Données projet'!$B$11,Paramètres!$A$1:$I$89,3,0)*0.475*44/12</f>
        <v>1.0038403401789144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9.4934051394882299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67.275344471371156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>
        <f>BY123*VLOOKUP('Données projet'!$B$12,Paramètres!$A$1:$I$89,3,0)*VLOOKUP('Données projet'!$B$12,Paramètres!$A$1:$I$89,5,0)</f>
        <v>0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189.55118397415424</v>
      </c>
      <c r="CE123" s="59">
        <f t="shared" si="94"/>
        <v>456.28719984856014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11.255861780870351</v>
      </c>
      <c r="CM123" s="21">
        <f>EXP(-LN(2)/2)*CM122+(1-EXP(-LN(2)/2))/(LN(2)/2)*CG123*CJ123*VLOOKUP('Données projet'!$B$12,Paramètres!$A$1:$I$89,3,0)*0.475*44/12</f>
        <v>1.277897070012696E-15</v>
      </c>
      <c r="CN123" s="22">
        <f t="shared" si="66"/>
        <v>11.255861780870353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67.275344471371156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67.275344471371156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67.275344471371156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67.275344471371156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67.275344471371156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67.275344471371156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4.45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16.316666666666666</v>
      </c>
      <c r="H124" s="66">
        <f t="shared" si="56"/>
        <v>191.4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67.322611153375661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-5.6843418860808015E-14</v>
      </c>
      <c r="O124" s="13">
        <f>N124*VLOOKUP('Données projet'!$B$9,Paramètres!$A$1:$I$89,3,0)*VLOOKUP('Données projet'!$B$9,Paramètres!$A$1:$I$89,5,0)</f>
        <v>-2.5006556825246661E-14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129.89493875503857</v>
      </c>
      <c r="T124" s="59">
        <f t="shared" si="88"/>
        <v>318.19554842399577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8.7846156359176426</v>
      </c>
      <c r="AA124" s="21">
        <f>EXP(-LN(2)/25)*AA123+(1-EXP(-LN(2)/25))/(LN(2)/25)*Calculateur!V124*Calculateur!X124*VLOOKUP('Données projet'!$B$9,Paramètres!$A$1:$I$89,3,0)*0.475*44/12</f>
        <v>1.0553163489139985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9.8399319848316402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67.322611153375661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96.263123361643096</v>
      </c>
      <c r="AO124" s="59">
        <f t="shared" si="90"/>
        <v>291.35824366856377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7.6954467885393472</v>
      </c>
      <c r="AV124" s="21">
        <f>EXP(-LN(2)/25)*AV123+(1-EXP(-LN(2)/25))/(LN(2)/25)*Calculateur!AQ124*Calculateur!AS124*VLOOKUP('Données projet'!$B$10,Paramètres!$A$1:$I$89,3,0)*0.475*44/12</f>
        <v>0.90276084284245617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8.5982076313818041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67.322611153375661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103.69736557010637</v>
      </c>
      <c r="BJ124" s="59">
        <f t="shared" si="92"/>
        <v>312.86697521864392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8.3230896117180908</v>
      </c>
      <c r="BQ124" s="21">
        <f>EXP(-LN(2)/25)*BQ123+(1-EXP(-LN(2)/25))/(LN(2)/25)*Calculateur!BL124*Calculateur!BN124*VLOOKUP('Données projet'!$B$11,Paramètres!$A$1:$I$89,3,0)*0.475*44/12</f>
        <v>0.97639027328705286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9.2994798850051446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67.322611153375661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189.55118397415424</v>
      </c>
      <c r="CE124" s="59">
        <f t="shared" si="94"/>
        <v>456.28719984856014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10.948069648552405</v>
      </c>
      <c r="CM124" s="21">
        <f>EXP(-LN(2)/2)*CM123+(1-EXP(-LN(2)/2))/(LN(2)/2)*CG124*CJ124*VLOOKUP('Données projet'!$B$12,Paramètres!$A$1:$I$89,3,0)*0.475*44/12</f>
        <v>9.0360968386439761E-16</v>
      </c>
      <c r="CN124" s="22">
        <f t="shared" si="66"/>
        <v>10.948069648552407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67.322611153375661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67.322611153375661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67.322611153375661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67.322611153375661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67.322611153375661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67.322611153375661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4.45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16.316666666666666</v>
      </c>
      <c r="H125" s="66">
        <f t="shared" si="56"/>
        <v>191.4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67.369057864119867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-5.6843418860808015E-14</v>
      </c>
      <c r="O125" s="13">
        <f>N125*VLOOKUP('Données projet'!$B$9,Paramètres!$A$1:$I$89,3,0)*VLOOKUP('Données projet'!$B$9,Paramètres!$A$1:$I$89,5,0)</f>
        <v>-2.5006556825246661E-14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129.89493875503857</v>
      </c>
      <c r="T125" s="59">
        <f t="shared" si="88"/>
        <v>318.19554842399577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8.6123546813837688</v>
      </c>
      <c r="AA125" s="21">
        <f>EXP(-LN(2)/25)*AA124+(1-EXP(-LN(2)/25))/(LN(2)/25)*Calculateur!V125*Calculateur!X125*VLOOKUP('Données projet'!$B$9,Paramètres!$A$1:$I$89,3,0)*0.475*44/12</f>
        <v>1.0264586678562704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9.6388133492400385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67.369057864119867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96.263123361643096</v>
      </c>
      <c r="AO125" s="59">
        <f t="shared" si="90"/>
        <v>291.35824366856377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7.544543770775161</v>
      </c>
      <c r="AV125" s="21">
        <f>EXP(-LN(2)/25)*AV124+(1-EXP(-LN(2)/25))/(LN(2)/25)*Calculateur!AQ125*Calculateur!AS125*VLOOKUP('Données projet'!$B$10,Paramètres!$A$1:$I$89,3,0)*0.475*44/12</f>
        <v>0.87807480012079975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8.4226185708959616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67.369057864119867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103.69736557010637</v>
      </c>
      <c r="BJ125" s="59">
        <f t="shared" si="92"/>
        <v>312.86697521864392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8.1598789010156914</v>
      </c>
      <c r="BQ125" s="21">
        <f>EXP(-LN(2)/25)*BQ124+(1-EXP(-LN(2)/25))/(LN(2)/25)*Calculateur!BL125*Calculateur!BN125*VLOOKUP('Données projet'!$B$11,Paramètres!$A$1:$I$89,3,0)*0.475*44/12</f>
        <v>0.94969082991788545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9.1095697309335772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67.369057864119867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189.55118397415424</v>
      </c>
      <c r="CE125" s="59">
        <f t="shared" si="94"/>
        <v>456.28719984856014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10.648694108278779</v>
      </c>
      <c r="CM125" s="21">
        <f>EXP(-LN(2)/2)*CM124+(1-EXP(-LN(2)/2))/(LN(2)/2)*CG125*CJ125*VLOOKUP('Données projet'!$B$12,Paramètres!$A$1:$I$89,3,0)*0.475*44/12</f>
        <v>6.3894853500634799E-16</v>
      </c>
      <c r="CN125" s="22">
        <f t="shared" si="66"/>
        <v>10.648694108278779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67.369057864119867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67.369057864119867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67.369057864119867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67.369057864119867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67.369057864119867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67.369057864119867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4.45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16.316666666666666</v>
      </c>
      <c r="H126" s="66">
        <f t="shared" si="56"/>
        <v>191.4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67.414698828271938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-5.6843418860808015E-14</v>
      </c>
      <c r="O126" s="13">
        <f>N126*VLOOKUP('Données projet'!$B$9,Paramètres!$A$1:$I$89,3,0)*VLOOKUP('Données projet'!$B$9,Paramètres!$A$1:$I$89,5,0)</f>
        <v>-2.5006556825246661E-14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129.89493875503857</v>
      </c>
      <c r="T126" s="59">
        <f t="shared" si="88"/>
        <v>318.19554842399577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8.4434716590994956</v>
      </c>
      <c r="AA126" s="21">
        <f>EXP(-LN(2)/25)*AA125+(1-EXP(-LN(2)/25))/(LN(2)/25)*Calculateur!V126*Calculateur!X126*VLOOKUP('Données projet'!$B$9,Paramètres!$A$1:$I$89,3,0)*0.475*44/12</f>
        <v>0.99839010160462538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9.4418617607041213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67.414698828271938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96.263123361643096</v>
      </c>
      <c r="AO126" s="59">
        <f t="shared" si="90"/>
        <v>291.35824366856377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7.3965998691475781</v>
      </c>
      <c r="AV126" s="21">
        <f>EXP(-LN(2)/25)*AV125+(1-EXP(-LN(2)/25))/(LN(2)/25)*Calculateur!AQ126*Calculateur!AS126*VLOOKUP('Données projet'!$B$10,Paramètres!$A$1:$I$89,3,0)*0.475*44/12</f>
        <v>0.85406379853554959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8.2506636676831278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67.414698828271938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103.69736557010637</v>
      </c>
      <c r="BJ126" s="59">
        <f t="shared" si="92"/>
        <v>312.86697521864392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7.999868652801462</v>
      </c>
      <c r="BQ126" s="21">
        <f>EXP(-LN(2)/25)*BQ125+(1-EXP(-LN(2)/25))/(LN(2)/25)*Calculateur!BL126*Calculateur!BN126*VLOOKUP('Données projet'!$B$11,Paramètres!$A$1:$I$89,3,0)*0.475*44/12</f>
        <v>0.92372148423171063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8.9235901370331732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67.414698828271938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189.55118397415424</v>
      </c>
      <c r="CE126" s="59">
        <f t="shared" si="94"/>
        <v>456.28719984856014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10.35750500789741</v>
      </c>
      <c r="CM126" s="21">
        <f>EXP(-LN(2)/2)*CM125+(1-EXP(-LN(2)/2))/(LN(2)/2)*CG126*CJ126*VLOOKUP('Données projet'!$B$12,Paramètres!$A$1:$I$89,3,0)*0.475*44/12</f>
        <v>4.5180484193219881E-16</v>
      </c>
      <c r="CN126" s="22">
        <f t="shared" si="66"/>
        <v>10.35750500789741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67.414698828271938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67.414698828271938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67.414698828271938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67.414698828271938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67.414698828271938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67.414698828271938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4.45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16.316666666666666</v>
      </c>
      <c r="H127" s="66">
        <f t="shared" si="56"/>
        <v>191.4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67.459548023733888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-5.6843418860808015E-14</v>
      </c>
      <c r="O127" s="13">
        <f>N127*VLOOKUP('Données projet'!$B$9,Paramètres!$A$1:$I$89,3,0)*VLOOKUP('Données projet'!$B$9,Paramètres!$A$1:$I$89,5,0)</f>
        <v>-2.5006556825246661E-14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129.89493875503857</v>
      </c>
      <c r="T127" s="59">
        <f t="shared" si="88"/>
        <v>318.19554842399577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8.277900329873745</v>
      </c>
      <c r="AA127" s="21">
        <f>EXP(-LN(2)/25)*AA126+(1-EXP(-LN(2)/25))/(LN(2)/25)*Calculateur!V127*Calculateur!X127*VLOOKUP('Données projet'!$B$9,Paramètres!$A$1:$I$89,3,0)*0.475*44/12</f>
        <v>0.97108907177319326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9.2489894016469378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67.459548023733888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96.263123361643096</v>
      </c>
      <c r="AO127" s="59">
        <f t="shared" si="90"/>
        <v>291.35824366856377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7.2515570571940424</v>
      </c>
      <c r="AV127" s="21">
        <f>EXP(-LN(2)/25)*AV126+(1-EXP(-LN(2)/25))/(LN(2)/25)*Calculateur!AQ127*Calculateur!AS127*VLOOKUP('Données projet'!$B$10,Paramètres!$A$1:$I$89,3,0)*0.475*44/12</f>
        <v>0.8307093790513318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8.0822664362453747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67.459548023733888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103.69736557010637</v>
      </c>
      <c r="BJ127" s="59">
        <f t="shared" si="92"/>
        <v>312.86697521864392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7.8429961079580988</v>
      </c>
      <c r="BQ127" s="21">
        <f>EXP(-LN(2)/25)*BQ126+(1-EXP(-LN(2)/25))/(LN(2)/25)*Calculateur!BL127*Calculateur!BN127*VLOOKUP('Données projet'!$B$11,Paramètres!$A$1:$I$89,3,0)*0.475*44/12</f>
        <v>0.89846227166899284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8.7414583796270922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67.459548023733888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189.55118397415424</v>
      </c>
      <c r="CE127" s="59">
        <f t="shared" si="94"/>
        <v>456.28719984856014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10.07427848877894</v>
      </c>
      <c r="CM127" s="21">
        <f>EXP(-LN(2)/2)*CM126+(1-EXP(-LN(2)/2))/(LN(2)/2)*CG127*CJ127*VLOOKUP('Données projet'!$B$12,Paramètres!$A$1:$I$89,3,0)*0.475*44/12</f>
        <v>3.1947426750317399E-16</v>
      </c>
      <c r="CN127" s="22">
        <f t="shared" si="66"/>
        <v>10.07427848877894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67.459548023733888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67.459548023733888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67.459548023733888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67.459548023733888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67.459548023733888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67.459548023733888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4.45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16.316666666666666</v>
      </c>
      <c r="H128" s="66">
        <f t="shared" si="56"/>
        <v>191.4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67.503619185922346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-5.6843418860808015E-14</v>
      </c>
      <c r="O128" s="13">
        <f>N128*VLOOKUP('Données projet'!$B$9,Paramètres!$A$1:$I$89,3,0)*VLOOKUP('Données projet'!$B$9,Paramètres!$A$1:$I$89,5,0)</f>
        <v>-2.5006556825246661E-14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129.89493875503857</v>
      </c>
      <c r="T128" s="59">
        <f t="shared" si="88"/>
        <v>318.19554842399577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8.1155757534255724</v>
      </c>
      <c r="AA128" s="21">
        <f>EXP(-LN(2)/25)*AA127+(1-EXP(-LN(2)/25))/(LN(2)/25)*Calculateur!V128*Calculateur!X128*VLOOKUP('Données projet'!$B$9,Paramètres!$A$1:$I$89,3,0)*0.475*44/12</f>
        <v>0.94453459003820051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9.0601103434637729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67.503619185922346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96.263123361643096</v>
      </c>
      <c r="AO128" s="59">
        <f t="shared" si="90"/>
        <v>291.35824366856377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7.1093584463155359</v>
      </c>
      <c r="AV128" s="21">
        <f>EXP(-LN(2)/25)*AV127+(1-EXP(-LN(2)/25))/(LN(2)/25)*Calculateur!AQ128*Calculateur!AS128*VLOOKUP('Données projet'!$B$10,Paramètres!$A$1:$I$89,3,0)*0.475*44/12</f>
        <v>0.80799358739606553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7.9173520337116017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67.503619185922346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103.69736557010637</v>
      </c>
      <c r="BJ128" s="59">
        <f t="shared" si="92"/>
        <v>312.86697521864392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7.6891997380363097</v>
      </c>
      <c r="BQ128" s="21">
        <f>EXP(-LN(2)/25)*BQ127+(1-EXP(-LN(2)/25))/(LN(2)/25)*Calculateur!BL128*Calculateur!BN128*VLOOKUP('Données projet'!$B$11,Paramètres!$A$1:$I$89,3,0)*0.475*44/12</f>
        <v>0.87389377360212683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8.5630935116384368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67.503619185922346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189.55118397415424</v>
      </c>
      <c r="CE128" s="59">
        <f t="shared" si="94"/>
        <v>456.28719984856014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9.7987968137199992</v>
      </c>
      <c r="CM128" s="21">
        <f>EXP(-LN(2)/2)*CM127+(1-EXP(-LN(2)/2))/(LN(2)/2)*CG128*CJ128*VLOOKUP('Données projet'!$B$12,Paramètres!$A$1:$I$89,3,0)*0.475*44/12</f>
        <v>2.259024209660994E-16</v>
      </c>
      <c r="CN128" s="22">
        <f t="shared" si="66"/>
        <v>9.7987968137199992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67.503619185922346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67.503619185922346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67.503619185922346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67.503619185922346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67.503619185922346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67.503619185922346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4.45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16.316666666666666</v>
      </c>
      <c r="H129" s="66">
        <f t="shared" si="56"/>
        <v>191.4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67.5469258119752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-5.6843418860808015E-14</v>
      </c>
      <c r="O129" s="13">
        <f>N129*VLOOKUP('Données projet'!$B$9,Paramètres!$A$1:$I$89,3,0)*VLOOKUP('Données projet'!$B$9,Paramètres!$A$1:$I$89,5,0)</f>
        <v>-2.5006556825246661E-14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129.89493875503857</v>
      </c>
      <c r="T129" s="59">
        <f t="shared" si="88"/>
        <v>318.19554842399577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7.9564342629133336</v>
      </c>
      <c r="AA129" s="21">
        <f>EXP(-LN(2)/25)*AA128+(1-EXP(-LN(2)/25))/(LN(2)/25)*Calculateur!V129*Calculateur!X129*VLOOKUP('Données projet'!$B$9,Paramètres!$A$1:$I$89,3,0)*0.475*44/12</f>
        <v>0.91870624200269058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8.8751405049160237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67.5469258119752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96.263123361643096</v>
      </c>
      <c r="AO129" s="59">
        <f t="shared" si="90"/>
        <v>291.35824366856377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6.9699482634637686</v>
      </c>
      <c r="AV129" s="21">
        <f>EXP(-LN(2)/25)*AV128+(1-EXP(-LN(2)/25))/(LN(2)/25)*Calculateur!AQ129*Calculateur!AS129*VLOOKUP('Données projet'!$B$10,Paramètres!$A$1:$I$89,3,0)*0.475*44/12</f>
        <v>0.78589896025818406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7.7558472237219522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67.5469258119752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103.69736557010637</v>
      </c>
      <c r="BJ129" s="59">
        <f t="shared" si="92"/>
        <v>312.86697521864392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7.5384192211221643</v>
      </c>
      <c r="BQ129" s="21">
        <f>EXP(-LN(2)/25)*BQ128+(1-EXP(-LN(2)/25))/(LN(2)/25)*Calculateur!BL129*Calculateur!BN129*VLOOKUP('Données projet'!$B$11,Paramètres!$A$1:$I$89,3,0)*0.475*44/12</f>
        <v>0.84999710240690041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8.3884163235290643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67.5469258119752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189.55118397415424</v>
      </c>
      <c r="CE129" s="59">
        <f t="shared" si="94"/>
        <v>456.28719984856014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9.5308481995524961</v>
      </c>
      <c r="CM129" s="21">
        <f>EXP(-LN(2)/2)*CM128+(1-EXP(-LN(2)/2))/(LN(2)/2)*CG129*CJ129*VLOOKUP('Données projet'!$B$12,Paramètres!$A$1:$I$89,3,0)*0.475*44/12</f>
        <v>1.59737133751587E-16</v>
      </c>
      <c r="CN129" s="22">
        <f t="shared" si="66"/>
        <v>9.5308481995524961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67.5469258119752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67.5469258119752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67.5469258119752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67.5469258119752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67.5469258119752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67.5469258119752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4.45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16.316666666666666</v>
      </c>
      <c r="H130" s="66">
        <f t="shared" si="56"/>
        <v>191.4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67.589481164885143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-5.6843418860808015E-14</v>
      </c>
      <c r="O130" s="13">
        <f>N130*VLOOKUP('Données projet'!$B$9,Paramètres!$A$1:$I$89,3,0)*VLOOKUP('Données projet'!$B$9,Paramètres!$A$1:$I$89,5,0)</f>
        <v>-2.5006556825246661E-14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129.89493875503857</v>
      </c>
      <c r="T130" s="59">
        <f t="shared" si="88"/>
        <v>318.19554842399577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7.8004134399633145</v>
      </c>
      <c r="AA130" s="21">
        <f>EXP(-LN(2)/25)*AA129+(1-EXP(-LN(2)/25))/(LN(2)/25)*Calculateur!V130*Calculateur!X130*VLOOKUP('Données projet'!$B$9,Paramètres!$A$1:$I$89,3,0)*0.475*44/12</f>
        <v>0.8935841715024655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8.6939976114657807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67.589481164885143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96.263123361643096</v>
      </c>
      <c r="AO130" s="59">
        <f t="shared" si="90"/>
        <v>291.35824366856377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6.8332718292659091</v>
      </c>
      <c r="AV130" s="21">
        <f>EXP(-LN(2)/25)*AV129+(1-EXP(-LN(2)/25))/(LN(2)/25)*Calculateur!AQ130*Calculateur!AS130*VLOOKUP('Données projet'!$B$10,Paramètres!$A$1:$I$89,3,0)*0.475*44/12</f>
        <v>0.76440851186129388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7.5976803411272034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67.589481164885143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103.69736557010637</v>
      </c>
      <c r="BJ130" s="59">
        <f t="shared" si="92"/>
        <v>312.86697521864392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7.3905954181776705</v>
      </c>
      <c r="BQ130" s="21">
        <f>EXP(-LN(2)/25)*BQ129+(1-EXP(-LN(2)/25))/(LN(2)/25)*Calculateur!BL130*Calculateur!BN130*VLOOKUP('Données projet'!$B$11,Paramètres!$A$1:$I$89,3,0)*0.475*44/12</f>
        <v>0.82675388694217877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8.2173493051198498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67.589481164885143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189.55118397415424</v>
      </c>
      <c r="CE130" s="59">
        <f t="shared" si="94"/>
        <v>456.28719984856014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9.2702266543302088</v>
      </c>
      <c r="CM130" s="21">
        <f>EXP(-LN(2)/2)*CM129+(1-EXP(-LN(2)/2))/(LN(2)/2)*CG130*CJ130*VLOOKUP('Données projet'!$B$12,Paramètres!$A$1:$I$89,3,0)*0.475*44/12</f>
        <v>1.129512104830497E-16</v>
      </c>
      <c r="CN130" s="22">
        <f t="shared" si="66"/>
        <v>9.2702266543302088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67.589481164885143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67.589481164885143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67.589481164885143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67.589481164885143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67.589481164885143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67.589481164885143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4.45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16.316666666666666</v>
      </c>
      <c r="H131" s="66">
        <f t="shared" si="56"/>
        <v>191.4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67.631298277561626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-5.6843418860808015E-14</v>
      </c>
      <c r="O131" s="13">
        <f>N131*VLOOKUP('Données projet'!$B$9,Paramètres!$A$1:$I$89,3,0)*VLOOKUP('Données projet'!$B$9,Paramètres!$A$1:$I$89,5,0)</f>
        <v>-2.5006556825246661E-14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129.89493875503857</v>
      </c>
      <c r="T131" s="59">
        <f t="shared" si="88"/>
        <v>318.19554842399577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7.6474520901880405</v>
      </c>
      <c r="AA131" s="21">
        <f>EXP(-LN(2)/25)*AA130+(1-EXP(-LN(2)/25))/(LN(2)/25)*Calculateur!V131*Calculateur!X131*VLOOKUP('Données projet'!$B$9,Paramètres!$A$1:$I$89,3,0)*0.475*44/12</f>
        <v>0.8691490653411813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8.5166011555292211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67.631298277561626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96.263123361643096</v>
      </c>
      <c r="AO131" s="59">
        <f t="shared" si="90"/>
        <v>291.35824366856377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6.6992755365782761</v>
      </c>
      <c r="AV131" s="21">
        <f>EXP(-LN(2)/25)*AV130+(1-EXP(-LN(2)/25))/(LN(2)/25)*Calculateur!AQ131*Calculateur!AS131*VLOOKUP('Données projet'!$B$10,Paramètres!$A$1:$I$89,3,0)*0.475*44/12</f>
        <v>0.74350572090595024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7.442781257484226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67.631298277561626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103.69736557010637</v>
      </c>
      <c r="BJ131" s="59">
        <f t="shared" si="92"/>
        <v>312.86697521864392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7.2456703498453017</v>
      </c>
      <c r="BQ131" s="21">
        <f>EXP(-LN(2)/25)*BQ130+(1-EXP(-LN(2)/25))/(LN(2)/25)*Calculateur!BL131*Calculateur!BN131*VLOOKUP('Données projet'!$B$11,Paramètres!$A$1:$I$89,3,0)*0.475*44/12</f>
        <v>0.80414625842664755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8.04981660827195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67.631298277561626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189.55118397415424</v>
      </c>
      <c r="CE131" s="59">
        <f t="shared" si="94"/>
        <v>456.28719984856014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9.0167318189675161</v>
      </c>
      <c r="CM131" s="21">
        <f>EXP(-LN(2)/2)*CM130+(1-EXP(-LN(2)/2))/(LN(2)/2)*CG131*CJ131*VLOOKUP('Données projet'!$B$12,Paramètres!$A$1:$I$89,3,0)*0.475*44/12</f>
        <v>7.9868566875793499E-17</v>
      </c>
      <c r="CN131" s="22">
        <f t="shared" si="66"/>
        <v>9.0167318189675161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67.631298277561626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67.631298277561626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67.631298277561626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67.631298277561626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67.631298277561626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67.631298277561626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4.45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16.316666666666666</v>
      </c>
      <c r="H132" s="66">
        <f t="shared" ref="H132:H195" si="110">(B132+E132+F132)*44/12+(C132+D132)*0.475*44/12</f>
        <v>191.4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67.672389956822229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-5.6843418860808015E-14</v>
      </c>
      <c r="O132" s="13">
        <f>N132*VLOOKUP('Données projet'!$B$9,Paramètres!$A$1:$I$89,3,0)*VLOOKUP('Données projet'!$B$9,Paramètres!$A$1:$I$89,5,0)</f>
        <v>-2.5006556825246661E-14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129.89493875503857</v>
      </c>
      <c r="T132" s="59">
        <f t="shared" si="88"/>
        <v>318.19554842399577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7.4974902191846482</v>
      </c>
      <c r="AA132" s="21">
        <f>EXP(-LN(2)/25)*AA131+(1-EXP(-LN(2)/25))/(LN(2)/25)*Calculateur!V132*Calculateur!X132*VLOOKUP('Données projet'!$B$9,Paramètres!$A$1:$I$89,3,0)*0.475*44/12</f>
        <v>0.84538213844286381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8.3428723576275114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67.672389956822229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96.263123361643096</v>
      </c>
      <c r="AO132" s="59">
        <f t="shared" si="90"/>
        <v>291.35824366856377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6.5679068294605791</v>
      </c>
      <c r="AV132" s="21">
        <f>EXP(-LN(2)/25)*AV131+(1-EXP(-LN(2)/25))/(LN(2)/25)*Calculateur!AQ132*Calculateur!AS132*VLOOKUP('Données projet'!$B$10,Paramètres!$A$1:$I$89,3,0)*0.475*44/12</f>
        <v>0.7231745178685105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7.2910813473290901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67.672389956822229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103.69736557010637</v>
      </c>
      <c r="BJ132" s="59">
        <f t="shared" si="92"/>
        <v>312.86697521864392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7.1035871737073668</v>
      </c>
      <c r="BQ132" s="21">
        <f>EXP(-LN(2)/25)*BQ131+(1-EXP(-LN(2)/25))/(LN(2)/25)*Calculateur!BL132*Calculateur!BN132*VLOOKUP('Données projet'!$B$11,Paramètres!$A$1:$I$89,3,0)*0.475*44/12</f>
        <v>0.78215683670175706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7.8857440104091241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67.672389956822229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189.55118397415424</v>
      </c>
      <c r="CE132" s="59">
        <f t="shared" si="94"/>
        <v>456.28719984856014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8.7701688132085316</v>
      </c>
      <c r="CM132" s="21">
        <f>EXP(-LN(2)/2)*CM131+(1-EXP(-LN(2)/2))/(LN(2)/2)*CG132*CJ132*VLOOKUP('Données projet'!$B$12,Paramètres!$A$1:$I$89,3,0)*0.475*44/12</f>
        <v>5.6475605241524851E-17</v>
      </c>
      <c r="CN132" s="22">
        <f t="shared" ref="CN132:CN153" si="120">SUM(CK132:CM132)</f>
        <v>8.7701688132085316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67.672389956822229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67.672389956822229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67.672389956822229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67.672389956822229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67.672389956822229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67.672389956822229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4.45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16.316666666666666</v>
      </c>
      <c r="H133" s="66">
        <f t="shared" si="110"/>
        <v>191.4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67.712768787314886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-5.6843418860808015E-14</v>
      </c>
      <c r="O133" s="13">
        <f>N133*VLOOKUP('Données projet'!$B$9,Paramètres!$A$1:$I$89,3,0)*VLOOKUP('Données projet'!$B$9,Paramètres!$A$1:$I$89,5,0)</f>
        <v>-2.5006556825246661E-14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129.89493875503857</v>
      </c>
      <c r="T133" s="59">
        <f t="shared" ref="T133:T196" si="142">$T$3</f>
        <v>318.19554842399577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7.3504690090039233</v>
      </c>
      <c r="AA133" s="21">
        <f>EXP(-LN(2)/25)*AA132+(1-EXP(-LN(2)/25))/(LN(2)/25)*Calculateur!V133*Calculateur!X133*VLOOKUP('Données projet'!$B$9,Paramètres!$A$1:$I$89,3,0)*0.475*44/12</f>
        <v>0.82226511941042923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8.1727341284143531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67.712768787314886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96.263123361643096</v>
      </c>
      <c r="AO133" s="59">
        <f t="shared" ref="AO133:AO196" si="144">$AO$3</f>
        <v>291.35824366856377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6.4391141825624612</v>
      </c>
      <c r="AV133" s="21">
        <f>EXP(-LN(2)/25)*AV132+(1-EXP(-LN(2)/25))/(LN(2)/25)*Calculateur!AQ133*Calculateur!AS133*VLOOKUP('Données projet'!$B$10,Paramètres!$A$1:$I$89,3,0)*0.475*44/12</f>
        <v>0.70339927264730107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7.1425134552097624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67.712768787314886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103.69736557010637</v>
      </c>
      <c r="BJ133" s="59">
        <f t="shared" ref="BJ133:BJ196" si="146">$BJ$3</f>
        <v>312.86697521864392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6.9642901619913165</v>
      </c>
      <c r="BQ133" s="21">
        <f>EXP(-LN(2)/25)*BQ132+(1-EXP(-LN(2)/25))/(LN(2)/25)*Calculateur!BL133*Calculateur!BN133*VLOOKUP('Données projet'!$B$11,Paramètres!$A$1:$I$89,3,0)*0.475*44/12</f>
        <v>0.76076871687030712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7.7250588788616232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67.712768787314886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189.55118397415424</v>
      </c>
      <c r="CE133" s="59">
        <f t="shared" ref="CE133:CE196" si="148">$CE$3</f>
        <v>456.28719984856014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8.5303480858082104</v>
      </c>
      <c r="CM133" s="21">
        <f>EXP(-LN(2)/2)*CM132+(1-EXP(-LN(2)/2))/(LN(2)/2)*CG133*CJ133*VLOOKUP('Données projet'!$B$12,Paramètres!$A$1:$I$89,3,0)*0.475*44/12</f>
        <v>3.9934283437896749E-17</v>
      </c>
      <c r="CN133" s="22">
        <f t="shared" si="120"/>
        <v>8.5303480858082104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67.712768787314886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67.712768787314886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67.712768787314886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67.712768787314886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67.712768787314886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67.712768787314886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4.45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16.316666666666666</v>
      </c>
      <c r="H134" s="66">
        <f t="shared" si="110"/>
        <v>191.4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67.752447135372037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-5.6843418860808015E-14</v>
      </c>
      <c r="O134" s="13">
        <f>N134*VLOOKUP('Données projet'!$B$9,Paramètres!$A$1:$I$89,3,0)*VLOOKUP('Données projet'!$B$9,Paramètres!$A$1:$I$89,5,0)</f>
        <v>-2.5006556825246661E-14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129.89493875503857</v>
      </c>
      <c r="T134" s="59">
        <f t="shared" si="142"/>
        <v>318.19554842399577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7.2063307950807589</v>
      </c>
      <c r="AA134" s="21">
        <f>EXP(-LN(2)/25)*AA133+(1-EXP(-LN(2)/25))/(LN(2)/25)*Calculateur!V134*Calculateur!X134*VLOOKUP('Données projet'!$B$9,Paramètres!$A$1:$I$89,3,0)*0.475*44/12</f>
        <v>0.79978023647910768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8.0061110315598665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67.752447135372037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96.263123361643096</v>
      </c>
      <c r="AO134" s="59">
        <f t="shared" si="144"/>
        <v>291.35824366856377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6.3128470809142572</v>
      </c>
      <c r="AV134" s="21">
        <f>EXP(-LN(2)/25)*AV133+(1-EXP(-LN(2)/25))/(LN(2)/25)*Calculateur!AQ134*Calculateur!AS134*VLOOKUP('Données projet'!$B$10,Paramètres!$A$1:$I$89,3,0)*0.475*44/12</f>
        <v>0.68416478254660051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6.997011863460858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67.752447135372037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103.69736557010637</v>
      </c>
      <c r="BJ134" s="59">
        <f t="shared" si="146"/>
        <v>312.86697521864392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6.8277246797122304</v>
      </c>
      <c r="BQ134" s="21">
        <f>EXP(-LN(2)/25)*BQ133+(1-EXP(-LN(2)/25))/(LN(2)/25)*Calculateur!BL134*Calculateur!BN134*VLOOKUP('Données projet'!$B$11,Paramètres!$A$1:$I$89,3,0)*0.475*44/12</f>
        <v>0.73996545630040056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7.5676901360126312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67.752447135372037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189.55118397415424</v>
      </c>
      <c r="CE134" s="59">
        <f t="shared" si="148"/>
        <v>456.28719984856014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8.2970852688102745</v>
      </c>
      <c r="CM134" s="21">
        <f>EXP(-LN(2)/2)*CM133+(1-EXP(-LN(2)/2))/(LN(2)/2)*CG134*CJ134*VLOOKUP('Données projet'!$B$12,Paramètres!$A$1:$I$89,3,0)*0.475*44/12</f>
        <v>2.8237802620762425E-17</v>
      </c>
      <c r="CN134" s="22">
        <f t="shared" si="120"/>
        <v>8.2970852688102745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67.752447135372037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67.752447135372037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67.752447135372037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67.752447135372037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67.752447135372037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67.752447135372037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4.45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16.316666666666666</v>
      </c>
      <c r="H135" s="66">
        <f t="shared" si="110"/>
        <v>191.4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67.791437152797883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-5.6843418860808015E-14</v>
      </c>
      <c r="O135" s="13">
        <f>N135*VLOOKUP('Données projet'!$B$9,Paramètres!$A$1:$I$89,3,0)*VLOOKUP('Données projet'!$B$9,Paramètres!$A$1:$I$89,5,0)</f>
        <v>-2.5006556825246661E-14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129.89493875503857</v>
      </c>
      <c r="T135" s="59">
        <f t="shared" si="142"/>
        <v>318.19554842399577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7.0650190436169975</v>
      </c>
      <c r="AA135" s="21">
        <f>EXP(-LN(2)/25)*AA134+(1-EXP(-LN(2)/25))/(LN(2)/25)*Calculateur!V135*Calculateur!X135*VLOOKUP('Données projet'!$B$9,Paramètres!$A$1:$I$89,3,0)*0.475*44/12</f>
        <v>0.7779102038539718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7.8429292474709698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67.791437152797883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96.263123361643096</v>
      </c>
      <c r="AO135" s="59">
        <f t="shared" si="144"/>
        <v>291.35824366856377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6.1890560001140473</v>
      </c>
      <c r="AV135" s="21">
        <f>EXP(-LN(2)/25)*AV134+(1-EXP(-LN(2)/25))/(LN(2)/25)*Calculateur!AQ135*Calculateur!AS135*VLOOKUP('Données projet'!$B$10,Paramètres!$A$1:$I$89,3,0)*0.475*44/12</f>
        <v>0.66545626058920149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6.8545122607032489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67.791437152797883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103.69736557010637</v>
      </c>
      <c r="BJ135" s="59">
        <f t="shared" si="146"/>
        <v>312.86697521864392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6.6938371632439182</v>
      </c>
      <c r="BQ135" s="21">
        <f>EXP(-LN(2)/25)*BQ134+(1-EXP(-LN(2)/25))/(LN(2)/25)*Calculateur!BL135*Calculateur!BN135*VLOOKUP('Données projet'!$B$11,Paramètres!$A$1:$I$89,3,0)*0.475*44/12</f>
        <v>0.71973106198477399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7.4135682252286923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67.791437152797883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189.55118397415424</v>
      </c>
      <c r="CE135" s="59">
        <f t="shared" si="148"/>
        <v>456.28719984856014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8.070201035809907</v>
      </c>
      <c r="CM135" s="21">
        <f>EXP(-LN(2)/2)*CM134+(1-EXP(-LN(2)/2))/(LN(2)/2)*CG135*CJ135*VLOOKUP('Données projet'!$B$12,Paramètres!$A$1:$I$89,3,0)*0.475*44/12</f>
        <v>1.9967141718948375E-17</v>
      </c>
      <c r="CN135" s="22">
        <f t="shared" si="120"/>
        <v>8.070201035809907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67.791437152797883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67.791437152797883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67.791437152797883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67.791437152797883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67.791437152797883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67.791437152797883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4.45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16.316666666666666</v>
      </c>
      <c r="H136" s="66">
        <f t="shared" si="110"/>
        <v>191.4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67.829750780590018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-5.6843418860808015E-14</v>
      </c>
      <c r="O136" s="13">
        <f>N136*VLOOKUP('Données projet'!$B$9,Paramètres!$A$1:$I$89,3,0)*VLOOKUP('Données projet'!$B$9,Paramètres!$A$1:$I$89,5,0)</f>
        <v>-2.5006556825246661E-14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129.89493875503857</v>
      </c>
      <c r="T136" s="59">
        <f t="shared" si="142"/>
        <v>318.19554842399577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6.9264783294077832</v>
      </c>
      <c r="AA136" s="21">
        <f>EXP(-LN(2)/25)*AA135+(1-EXP(-LN(2)/25))/(LN(2)/25)*Calculateur!V136*Calculateur!X136*VLOOKUP('Données projet'!$B$9,Paramètres!$A$1:$I$89,3,0)*0.475*44/12</f>
        <v>0.75663820842106522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7.6831165378288482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67.829750780590018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96.263123361643096</v>
      </c>
      <c r="AO136" s="59">
        <f t="shared" si="144"/>
        <v>291.35824366856377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6.0676923869032251</v>
      </c>
      <c r="AV136" s="21">
        <f>EXP(-LN(2)/25)*AV135+(1-EXP(-LN(2)/25))/(LN(2)/25)*Calculateur!AQ136*Calculateur!AS136*VLOOKUP('Données projet'!$B$10,Paramètres!$A$1:$I$89,3,0)*0.475*44/12</f>
        <v>0.64725932414856591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6.7149517110517909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67.829750780590018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103.69736557010637</v>
      </c>
      <c r="BJ136" s="59">
        <f t="shared" si="146"/>
        <v>312.86697521864392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6.5625750993102274</v>
      </c>
      <c r="BQ136" s="21">
        <f>EXP(-LN(2)/25)*BQ135+(1-EXP(-LN(2)/25))/(LN(2)/25)*Calculateur!BL136*Calculateur!BN136*VLOOKUP('Données projet'!$B$11,Paramètres!$A$1:$I$89,3,0)*0.475*44/12</f>
        <v>0.70004997824578874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7.2626250775560166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67.829750780590018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189.55118397415424</v>
      </c>
      <c r="CE136" s="59">
        <f t="shared" si="148"/>
        <v>456.28719984856014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7.8495209640922576</v>
      </c>
      <c r="CM136" s="21">
        <f>EXP(-LN(2)/2)*CM135+(1-EXP(-LN(2)/2))/(LN(2)/2)*CG136*CJ136*VLOOKUP('Données projet'!$B$12,Paramètres!$A$1:$I$89,3,0)*0.475*44/12</f>
        <v>1.4118901310381213E-17</v>
      </c>
      <c r="CN136" s="22">
        <f t="shared" si="120"/>
        <v>7.8495209640922576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67.829750780590018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67.829750780590018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67.829750780590018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67.829750780590018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67.829750780590018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67.829750780590018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4.45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16.316666666666666</v>
      </c>
      <c r="H137" s="66">
        <f t="shared" si="110"/>
        <v>191.4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67.867399752596398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-5.6843418860808015E-14</v>
      </c>
      <c r="O137" s="13">
        <f>N137*VLOOKUP('Données projet'!$B$9,Paramètres!$A$1:$I$89,3,0)*VLOOKUP('Données projet'!$B$9,Paramètres!$A$1:$I$89,5,0)</f>
        <v>-2.5006556825246661E-14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129.89493875503857</v>
      </c>
      <c r="T137" s="59">
        <f t="shared" si="142"/>
        <v>318.19554842399577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6.7906543141027198</v>
      </c>
      <c r="AA137" s="21">
        <f>EXP(-LN(2)/25)*AA136+(1-EXP(-LN(2)/25))/(LN(2)/25)*Calculateur!V137*Calculateur!X137*VLOOKUP('Données projet'!$B$9,Paramètres!$A$1:$I$89,3,0)*0.475*44/12</f>
        <v>0.73594789682191708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7.5266022109246364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67.867399752596398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96.263123361643096</v>
      </c>
      <c r="AO137" s="59">
        <f t="shared" si="144"/>
        <v>291.35824366856377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5.9487086401229723</v>
      </c>
      <c r="AV137" s="21">
        <f>EXP(-LN(2)/25)*AV136+(1-EXP(-LN(2)/25))/(LN(2)/25)*Calculateur!AQ137*Calculateur!AS137*VLOOKUP('Données projet'!$B$10,Paramètres!$A$1:$I$89,3,0)*0.475*44/12</f>
        <v>0.62955998389183487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6.5782686240148074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67.867399752596398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103.69736557010637</v>
      </c>
      <c r="BJ137" s="59">
        <f t="shared" si="146"/>
        <v>312.86697521864392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6.4338870043883229</v>
      </c>
      <c r="BQ137" s="21">
        <f>EXP(-LN(2)/25)*BQ136+(1-EXP(-LN(2)/25))/(LN(2)/25)*Calculateur!BL137*Calculateur!BN137*VLOOKUP('Données projet'!$B$11,Paramètres!$A$1:$I$89,3,0)*0.475*44/12</f>
        <v>0.68090707477662926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7.1147940791649518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67.867399752596398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189.55118397415424</v>
      </c>
      <c r="CE137" s="59">
        <f t="shared" si="148"/>
        <v>456.28719984856014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7.6348754005407873</v>
      </c>
      <c r="CM137" s="21">
        <f>EXP(-LN(2)/2)*CM136+(1-EXP(-LN(2)/2))/(LN(2)/2)*CG137*CJ137*VLOOKUP('Données projet'!$B$12,Paramètres!$A$1:$I$89,3,0)*0.475*44/12</f>
        <v>9.9835708594741873E-18</v>
      </c>
      <c r="CN137" s="22">
        <f t="shared" si="120"/>
        <v>7.6348754005407873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67.867399752596398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67.867399752596398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67.867399752596398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67.867399752596398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67.867399752596398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67.867399752596398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4.45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16.316666666666666</v>
      </c>
      <c r="H138" s="66">
        <f t="shared" si="110"/>
        <v>191.4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67.904395599108966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-5.6843418860808015E-14</v>
      </c>
      <c r="O138" s="13">
        <f>N138*VLOOKUP('Données projet'!$B$9,Paramètres!$A$1:$I$89,3,0)*VLOOKUP('Données projet'!$B$9,Paramètres!$A$1:$I$89,5,0)</f>
        <v>-2.5006556825246661E-14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129.89493875503857</v>
      </c>
      <c r="T138" s="59">
        <f t="shared" si="142"/>
        <v>318.19554842399577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6.6574937248933193</v>
      </c>
      <c r="AA138" s="21">
        <f>EXP(-LN(2)/25)*AA137+(1-EXP(-LN(2)/25))/(LN(2)/25)*Calculateur!V138*Calculateur!X138*VLOOKUP('Données projet'!$B$9,Paramètres!$A$1:$I$89,3,0)*0.475*44/12</f>
        <v>0.71582336288150394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7.3733170877748231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67.904395599108966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96.263123361643096</v>
      </c>
      <c r="AO138" s="59">
        <f t="shared" si="144"/>
        <v>291.35824366856377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5.8320580920441607</v>
      </c>
      <c r="AV138" s="21">
        <f>EXP(-LN(2)/25)*AV137+(1-EXP(-LN(2)/25))/(LN(2)/25)*Calculateur!AQ138*Calculateur!AS138*VLOOKUP('Données projet'!$B$10,Paramètres!$A$1:$I$89,3,0)*0.475*44/12</f>
        <v>0.61234463302519193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6.4444027250693523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67.904395599108966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103.69736557010637</v>
      </c>
      <c r="BJ138" s="59">
        <f t="shared" si="146"/>
        <v>312.86697521864392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6.3077224045158502</v>
      </c>
      <c r="BQ138" s="21">
        <f>EXP(-LN(2)/25)*BQ137+(1-EXP(-LN(2)/25))/(LN(2)/25)*Calculateur!BL138*Calculateur!BN138*VLOOKUP('Données projet'!$B$11,Paramètres!$A$1:$I$89,3,0)*0.475*44/12</f>
        <v>0.66228763500951549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6.9700100395253655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67.904395599108966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189.55118397415424</v>
      </c>
      <c r="CE138" s="59">
        <f t="shared" si="148"/>
        <v>456.28719984856014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7.4260993312123516</v>
      </c>
      <c r="CM138" s="21">
        <f>EXP(-LN(2)/2)*CM137+(1-EXP(-LN(2)/2))/(LN(2)/2)*CG138*CJ138*VLOOKUP('Données projet'!$B$12,Paramètres!$A$1:$I$89,3,0)*0.475*44/12</f>
        <v>7.0594506551906064E-18</v>
      </c>
      <c r="CN138" s="22">
        <f t="shared" si="120"/>
        <v>7.4260993312123516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67.904395599108966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67.904395599108966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67.904395599108966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67.904395599108966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67.904395599108966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67.904395599108966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4.45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16.316666666666666</v>
      </c>
      <c r="H139" s="66">
        <f t="shared" si="110"/>
        <v>191.4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67.940749650394864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-5.6843418860808015E-14</v>
      </c>
      <c r="O139" s="13">
        <f>N139*VLOOKUP('Données projet'!$B$9,Paramètres!$A$1:$I$89,3,0)*VLOOKUP('Données projet'!$B$9,Paramètres!$A$1:$I$89,5,0)</f>
        <v>-2.5006556825246661E-14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129.89493875503857</v>
      </c>
      <c r="T139" s="59">
        <f t="shared" si="142"/>
        <v>318.19554842399577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6.5269443336183759</v>
      </c>
      <c r="AA139" s="21">
        <f>EXP(-LN(2)/25)*AA138+(1-EXP(-LN(2)/25))/(LN(2)/25)*Calculateur!V139*Calculateur!X139*VLOOKUP('Données projet'!$B$9,Paramètres!$A$1:$I$89,3,0)*0.475*44/12</f>
        <v>0.69624913537999455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7.2231934689983701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67.940749650394864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96.263123361643096</v>
      </c>
      <c r="AO139" s="59">
        <f t="shared" si="144"/>
        <v>291.35824366856377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5.7176949900633662</v>
      </c>
      <c r="AV139" s="21">
        <f>EXP(-LN(2)/25)*AV138+(1-EXP(-LN(2)/25))/(LN(2)/25)*Calculateur!AQ139*Calculateur!AS139*VLOOKUP('Données projet'!$B$10,Paramètres!$A$1:$I$89,3,0)*0.475*44/12</f>
        <v>0.59560003683331331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6.3132950268966797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67.940749650394864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103.69736557010637</v>
      </c>
      <c r="BJ139" s="59">
        <f t="shared" si="146"/>
        <v>312.86697521864392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6.1840318154940688</v>
      </c>
      <c r="BQ139" s="21">
        <f>EXP(-LN(2)/25)*BQ138+(1-EXP(-LN(2)/25))/(LN(2)/25)*Calculateur!BL139*Calculateur!BN139*VLOOKUP('Données projet'!$B$11,Paramètres!$A$1:$I$89,3,0)*0.475*44/12</f>
        <v>0.64417734480198718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6.8282091602960557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67.940749650394864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189.55118397415424</v>
      </c>
      <c r="CE139" s="59">
        <f t="shared" si="148"/>
        <v>456.28719984856014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7.2230322544787589</v>
      </c>
      <c r="CM139" s="21">
        <f>EXP(-LN(2)/2)*CM138+(1-EXP(-LN(2)/2))/(LN(2)/2)*CG139*CJ139*VLOOKUP('Données projet'!$B$12,Paramètres!$A$1:$I$89,3,0)*0.475*44/12</f>
        <v>4.9917854297370937E-18</v>
      </c>
      <c r="CN139" s="22">
        <f t="shared" si="120"/>
        <v>7.2230322544787589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67.940749650394864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67.940749650394864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67.940749650394864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67.940749650394864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67.940749650394864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67.940749650394864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4.45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16.316666666666666</v>
      </c>
      <c r="H140" s="66">
        <f t="shared" si="110"/>
        <v>191.4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67.976473040166425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-5.6843418860808015E-14</v>
      </c>
      <c r="O140" s="13">
        <f>N140*VLOOKUP('Données projet'!$B$9,Paramètres!$A$1:$I$89,3,0)*VLOOKUP('Données projet'!$B$9,Paramètres!$A$1:$I$89,5,0)</f>
        <v>-2.5006556825246661E-14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129.89493875503857</v>
      </c>
      <c r="T140" s="59">
        <f t="shared" si="142"/>
        <v>318.19554842399577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6.3989549362790674</v>
      </c>
      <c r="AA140" s="21">
        <f>EXP(-LN(2)/25)*AA139+(1-EXP(-LN(2)/25))/(LN(2)/25)*Calculateur!V140*Calculateur!X140*VLOOKUP('Données projet'!$B$9,Paramètres!$A$1:$I$89,3,0)*0.475*44/12</f>
        <v>0.67721016615887786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7.0761651024379457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67.976473040166425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96.263123361643096</v>
      </c>
      <c r="AO140" s="59">
        <f t="shared" si="144"/>
        <v>291.35824366856377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5.6055744787578101</v>
      </c>
      <c r="AV140" s="21">
        <f>EXP(-LN(2)/25)*AV139+(1-EXP(-LN(2)/25))/(LN(2)/25)*Calculateur!AQ140*Calculateur!AS140*VLOOKUP('Données projet'!$B$10,Paramètres!$A$1:$I$89,3,0)*0.475*44/12</f>
        <v>0.57931332250486167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6.184887801262672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67.976473040166425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103.69736557010637</v>
      </c>
      <c r="BJ140" s="59">
        <f t="shared" si="146"/>
        <v>312.86697521864392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6.0627667234791947</v>
      </c>
      <c r="BQ140" s="21">
        <f>EXP(-LN(2)/25)*BQ139+(1-EXP(-LN(2)/25))/(LN(2)/25)*Calculateur!BL140*Calculateur!BN140*VLOOKUP('Données projet'!$B$11,Paramètres!$A$1:$I$89,3,0)*0.475*44/12</f>
        <v>0.62656228143256254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6.6893290049117571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67.976473040166425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189.55118397415424</v>
      </c>
      <c r="CE140" s="59">
        <f t="shared" si="148"/>
        <v>456.28719984856014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7.0255180576372798</v>
      </c>
      <c r="CM140" s="21">
        <f>EXP(-LN(2)/2)*CM139+(1-EXP(-LN(2)/2))/(LN(2)/2)*CG140*CJ140*VLOOKUP('Données projet'!$B$12,Paramètres!$A$1:$I$89,3,0)*0.475*44/12</f>
        <v>3.5297253275953032E-18</v>
      </c>
      <c r="CN140" s="22">
        <f t="shared" si="120"/>
        <v>7.0255180576372798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67.976473040166425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67.976473040166425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67.976473040166425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67.976473040166425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67.976473040166425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67.976473040166425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4.45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16.316666666666666</v>
      </c>
      <c r="H141" s="66">
        <f t="shared" si="110"/>
        <v>191.4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68.011576708990987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-5.6843418860808015E-14</v>
      </c>
      <c r="O141" s="13">
        <f>N141*VLOOKUP('Données projet'!$B$9,Paramètres!$A$1:$I$89,3,0)*VLOOKUP('Données projet'!$B$9,Paramètres!$A$1:$I$89,5,0)</f>
        <v>-2.5006556825246661E-14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129.89493875503857</v>
      </c>
      <c r="T141" s="59">
        <f t="shared" si="142"/>
        <v>318.19554842399577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6.2734753329557593</v>
      </c>
      <c r="AA141" s="21">
        <f>EXP(-LN(2)/25)*AA140+(1-EXP(-LN(2)/25))/(LN(2)/25)*Calculateur!V141*Calculateur!X141*VLOOKUP('Données projet'!$B$9,Paramètres!$A$1:$I$89,3,0)*0.475*44/12</f>
        <v>0.6586918185523285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6.9321671515080876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68.011576708990987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96.263123361643096</v>
      </c>
      <c r="AO141" s="59">
        <f t="shared" si="144"/>
        <v>291.35824366856377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5.4956525822921973</v>
      </c>
      <c r="AV141" s="21">
        <f>EXP(-LN(2)/25)*AV140+(1-EXP(-LN(2)/25))/(LN(2)/25)*Calculateur!AQ141*Calculateur!AS141*VLOOKUP('Données projet'!$B$10,Paramètres!$A$1:$I$89,3,0)*0.475*44/12</f>
        <v>0.56347196923620269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6.0591245515284005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68.011576708990987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103.69736557010637</v>
      </c>
      <c r="BJ141" s="59">
        <f t="shared" si="146"/>
        <v>312.86697521864392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5.9438795659543295</v>
      </c>
      <c r="BQ141" s="21">
        <f>EXP(-LN(2)/25)*BQ140+(1-EXP(-LN(2)/25))/(LN(2)/25)*Calculateur!BL141*Calculateur!BN141*VLOOKUP('Données projet'!$B$11,Paramètres!$A$1:$I$89,3,0)*0.475*44/12</f>
        <v>0.60942890289731078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6.5533084688516405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68.011576708990987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189.55118397415424</v>
      </c>
      <c r="CE141" s="59">
        <f t="shared" si="148"/>
        <v>456.28719984856014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6.8334048968952503</v>
      </c>
      <c r="CM141" s="21">
        <f>EXP(-LN(2)/2)*CM140+(1-EXP(-LN(2)/2))/(LN(2)/2)*CG141*CJ141*VLOOKUP('Données projet'!$B$12,Paramètres!$A$1:$I$89,3,0)*0.475*44/12</f>
        <v>2.4958927148685468E-18</v>
      </c>
      <c r="CN141" s="22">
        <f t="shared" si="120"/>
        <v>6.8334048968952503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68.011576708990987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68.011576708990987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68.011576708990987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68.011576708990987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68.011576708990987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68.011576708990987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4.45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16.316666666666666</v>
      </c>
      <c r="H142" s="66">
        <f t="shared" si="110"/>
        <v>191.4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68.046071407641492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-5.6843418860808015E-14</v>
      </c>
      <c r="O142" s="13">
        <f>N142*VLOOKUP('Données projet'!$B$9,Paramètres!$A$1:$I$89,3,0)*VLOOKUP('Données projet'!$B$9,Paramètres!$A$1:$I$89,5,0)</f>
        <v>-2.5006556825246661E-14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129.89493875503857</v>
      </c>
      <c r="T142" s="59">
        <f t="shared" si="142"/>
        <v>318.19554842399577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6.1504563081186205</v>
      </c>
      <c r="AA142" s="21">
        <f>EXP(-LN(2)/25)*AA141+(1-EXP(-LN(2)/25))/(LN(2)/25)*Calculateur!V142*Calculateur!X142*VLOOKUP('Données projet'!$B$9,Paramètres!$A$1:$I$89,3,0)*0.475*44/12</f>
        <v>0.64067985613491785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6.7911361642535386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68.046071407641492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96.263123361643096</v>
      </c>
      <c r="AO142" s="59">
        <f t="shared" si="144"/>
        <v>291.35824366856377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5.3878861871705386</v>
      </c>
      <c r="AV142" s="21">
        <f>EXP(-LN(2)/25)*AV141+(1-EXP(-LN(2)/25))/(LN(2)/25)*Calculateur!AQ142*Calculateur!AS142*VLOOKUP('Données projet'!$B$10,Paramètres!$A$1:$I$89,3,0)*0.475*44/12</f>
        <v>0.54806379860573573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5.9359499857762739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68.046071407641492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103.69736557010637</v>
      </c>
      <c r="BJ142" s="59">
        <f t="shared" si="146"/>
        <v>312.86697521864392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5.827323713074521</v>
      </c>
      <c r="BQ142" s="21">
        <f>EXP(-LN(2)/25)*BQ141+(1-EXP(-LN(2)/25))/(LN(2)/25)*Calculateur!BL142*Calculateur!BN142*VLOOKUP('Données projet'!$B$11,Paramètres!$A$1:$I$89,3,0)*0.475*44/12</f>
        <v>0.59276403749911066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6.4200877505736313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68.046071407641492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189.55118397415424</v>
      </c>
      <c r="CE142" s="59">
        <f t="shared" si="148"/>
        <v>456.28719984856014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6.6465450806365043</v>
      </c>
      <c r="CM142" s="21">
        <f>EXP(-LN(2)/2)*CM141+(1-EXP(-LN(2)/2))/(LN(2)/2)*CG142*CJ142*VLOOKUP('Données projet'!$B$12,Paramètres!$A$1:$I$89,3,0)*0.475*44/12</f>
        <v>1.7648626637976516E-18</v>
      </c>
      <c r="CN142" s="22">
        <f t="shared" si="120"/>
        <v>6.6465450806365043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68.046071407641492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68.046071407641492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68.046071407641492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68.046071407641492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68.046071407641492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68.046071407641492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4.45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16.316666666666666</v>
      </c>
      <c r="H143" s="66">
        <f t="shared" si="110"/>
        <v>191.4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68.079967700389005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-5.6843418860808015E-14</v>
      </c>
      <c r="O143" s="13">
        <f>N143*VLOOKUP('Données projet'!$B$9,Paramètres!$A$1:$I$89,3,0)*VLOOKUP('Données projet'!$B$9,Paramètres!$A$1:$I$89,5,0)</f>
        <v>-2.5006556825246661E-14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129.89493875503857</v>
      </c>
      <c r="T143" s="59">
        <f t="shared" si="142"/>
        <v>318.19554842399577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6.0298496113243418</v>
      </c>
      <c r="AA143" s="21">
        <f>EXP(-LN(2)/25)*AA142+(1-EXP(-LN(2)/25))/(LN(2)/25)*Calculateur!V143*Calculateur!X143*VLOOKUP('Données projet'!$B$9,Paramètres!$A$1:$I$89,3,0)*0.475*44/12</f>
        <v>0.62316043177701919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6.6530100431013608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68.079967700389005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96.263123361643096</v>
      </c>
      <c r="AO143" s="59">
        <f t="shared" si="144"/>
        <v>291.35824366856377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5.2822330253262049</v>
      </c>
      <c r="AV143" s="21">
        <f>EXP(-LN(2)/25)*AV142+(1-EXP(-LN(2)/25))/(LN(2)/25)*Calculateur!AQ143*Calculateur!AS143*VLOOKUP('Données projet'!$B$10,Paramètres!$A$1:$I$89,3,0)*0.475*44/12</f>
        <v>0.53307696521143932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5.815309990537644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68.079967700389005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103.69736557010637</v>
      </c>
      <c r="BJ143" s="59">
        <f t="shared" si="146"/>
        <v>312.86697521864392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5.713053449377635</v>
      </c>
      <c r="BQ143" s="21">
        <f>EXP(-LN(2)/25)*BQ142+(1-EXP(-LN(2)/25))/(LN(2)/25)*Calculateur!BL143*Calculateur!BN143*VLOOKUP('Données projet'!$B$11,Paramètres!$A$1:$I$89,3,0)*0.475*44/12</f>
        <v>0.57655487372159153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6.2896083230992268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68.079967700389005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189.55118397415424</v>
      </c>
      <c r="CE143" s="59">
        <f t="shared" si="148"/>
        <v>456.28719984856014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6.4647949558798841</v>
      </c>
      <c r="CM143" s="21">
        <f>EXP(-LN(2)/2)*CM142+(1-EXP(-LN(2)/2))/(LN(2)/2)*CG143*CJ143*VLOOKUP('Données projet'!$B$12,Paramètres!$A$1:$I$89,3,0)*0.475*44/12</f>
        <v>1.2479463574342734E-18</v>
      </c>
      <c r="CN143" s="22">
        <f t="shared" si="120"/>
        <v>6.4647949558798841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68.079967700389005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68.079967700389005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68.079967700389005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68.079967700389005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68.079967700389005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68.079967700389005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4.45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16.316666666666666</v>
      </c>
      <c r="H144" s="66">
        <f t="shared" si="110"/>
        <v>191.4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68.113275968238099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-5.6843418860808015E-14</v>
      </c>
      <c r="O144" s="13">
        <f>N144*VLOOKUP('Données projet'!$B$9,Paramètres!$A$1:$I$89,3,0)*VLOOKUP('Données projet'!$B$9,Paramètres!$A$1:$I$89,5,0)</f>
        <v>-2.5006556825246661E-14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129.89493875503857</v>
      </c>
      <c r="T144" s="59">
        <f t="shared" si="142"/>
        <v>318.19554842399577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5.9116079382913771</v>
      </c>
      <c r="AA144" s="21">
        <f>EXP(-LN(2)/25)*AA143+(1-EXP(-LN(2)/25))/(LN(2)/25)*Calculateur!V144*Calculateur!X144*VLOOKUP('Données projet'!$B$9,Paramètres!$A$1:$I$89,3,0)*0.475*44/12</f>
        <v>0.60612007699949377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6.5177280152908708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68.113275968238099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96.263123361643096</v>
      </c>
      <c r="AO144" s="59">
        <f t="shared" si="144"/>
        <v>291.35824366856377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5.1786516575435728</v>
      </c>
      <c r="AV144" s="21">
        <f>EXP(-LN(2)/25)*AV143+(1-EXP(-LN(2)/25))/(LN(2)/25)*Calculateur!AQ144*Calculateur!AS144*VLOOKUP('Données projet'!$B$10,Paramètres!$A$1:$I$89,3,0)*0.475*44/12</f>
        <v>0.51849994756443329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5.6971516051080062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68.113275968238099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103.69736557010637</v>
      </c>
      <c r="BJ144" s="59">
        <f t="shared" si="146"/>
        <v>312.86697521864392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5.6010239558538659</v>
      </c>
      <c r="BQ144" s="21">
        <f>EXP(-LN(2)/25)*BQ143+(1-EXP(-LN(2)/25))/(LN(2)/25)*Calculateur!BL144*Calculateur!BN144*VLOOKUP('Données projet'!$B$11,Paramètres!$A$1:$I$89,3,0)*0.475*44/12</f>
        <v>0.56078895037997156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6.1618129062338376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68.113275968238099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189.55118397415424</v>
      </c>
      <c r="CE144" s="59">
        <f t="shared" si="148"/>
        <v>456.28719984856014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6.2880147978425578</v>
      </c>
      <c r="CM144" s="21">
        <f>EXP(-LN(2)/2)*CM143+(1-EXP(-LN(2)/2))/(LN(2)/2)*CG144*CJ144*VLOOKUP('Données projet'!$B$12,Paramètres!$A$1:$I$89,3,0)*0.475*44/12</f>
        <v>8.8243133189882579E-19</v>
      </c>
      <c r="CN144" s="22">
        <f t="shared" si="120"/>
        <v>6.2880147978425578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68.113275968238099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68.113275968238099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68.113275968238099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68.113275968238099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68.113275968238099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68.113275968238099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4.45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16.316666666666666</v>
      </c>
      <c r="H145" s="66">
        <f t="shared" si="110"/>
        <v>191.4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68.146006412106161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-5.6843418860808015E-14</v>
      </c>
      <c r="O145" s="13">
        <f>N145*VLOOKUP('Données projet'!$B$9,Paramètres!$A$1:$I$89,3,0)*VLOOKUP('Données projet'!$B$9,Paramètres!$A$1:$I$89,5,0)</f>
        <v>-2.5006556825246661E-14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129.89493875503857</v>
      </c>
      <c r="T145" s="59">
        <f t="shared" si="142"/>
        <v>318.19554842399577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5.7956849123462897</v>
      </c>
      <c r="AA145" s="21">
        <f>EXP(-LN(2)/25)*AA144+(1-EXP(-LN(2)/25))/(LN(2)/25)*Calculateur!V145*Calculateur!X145*VLOOKUP('Données projet'!$B$9,Paramètres!$A$1:$I$89,3,0)*0.475*44/12</f>
        <v>0.58954569161947312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6.3852306039657627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68.146006412106161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96.263123361643096</v>
      </c>
      <c r="AO145" s="59">
        <f t="shared" si="144"/>
        <v>291.35824366856377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5.0771014572047619</v>
      </c>
      <c r="AV145" s="21">
        <f>EXP(-LN(2)/25)*AV144+(1-EXP(-LN(2)/25))/(LN(2)/25)*Calculateur!AQ145*Calculateur!AS145*VLOOKUP('Données projet'!$B$10,Paramètres!$A$1:$I$89,3,0)*0.475*44/12</f>
        <v>0.50432153923155665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5.5814229964363182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68.146006412106161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103.69736557010637</v>
      </c>
      <c r="BJ145" s="59">
        <f t="shared" si="146"/>
        <v>312.86697521864392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5.491191292366854</v>
      </c>
      <c r="BQ145" s="21">
        <f>EXP(-LN(2)/25)*BQ144+(1-EXP(-LN(2)/25))/(LN(2)/25)*Calculateur!BL145*Calculateur!BN145*VLOOKUP('Données projet'!$B$11,Paramètres!$A$1:$I$89,3,0)*0.475*44/12</f>
        <v>0.54545414704122208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6.0366454394080762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68.146006412106161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189.55118397415424</v>
      </c>
      <c r="CE145" s="59">
        <f t="shared" si="148"/>
        <v>456.28719984856014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6.1160687025232265</v>
      </c>
      <c r="CM145" s="21">
        <f>EXP(-LN(2)/2)*CM144+(1-EXP(-LN(2)/2))/(LN(2)/2)*CG145*CJ145*VLOOKUP('Données projet'!$B$12,Paramètres!$A$1:$I$89,3,0)*0.475*44/12</f>
        <v>6.2397317871713671E-19</v>
      </c>
      <c r="CN145" s="22">
        <f t="shared" si="120"/>
        <v>6.1160687025232265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68.146006412106161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68.146006412106161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68.146006412106161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68.146006412106161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68.146006412106161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68.146006412106161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4.45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16.316666666666666</v>
      </c>
      <c r="H146" s="66">
        <f t="shared" si="110"/>
        <v>191.4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68.178169055947407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-5.6843418860808015E-14</v>
      </c>
      <c r="O146" s="13">
        <f>N146*VLOOKUP('Données projet'!$B$9,Paramètres!$A$1:$I$89,3,0)*VLOOKUP('Données projet'!$B$9,Paramètres!$A$1:$I$89,5,0)</f>
        <v>-2.5006556825246661E-14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129.89493875503857</v>
      </c>
      <c r="T146" s="59">
        <f t="shared" si="142"/>
        <v>318.19554842399577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5.6820350662339214</v>
      </c>
      <c r="AA146" s="21">
        <f>EXP(-LN(2)/25)*AA145+(1-EXP(-LN(2)/25))/(LN(2)/25)*Calculateur!V146*Calculateur!X146*VLOOKUP('Données projet'!$B$9,Paramètres!$A$1:$I$89,3,0)*0.475*44/12</f>
        <v>0.57342453367927815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6.2554595999131992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68.178169055947407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96.263123361643096</v>
      </c>
      <c r="AO146" s="59">
        <f t="shared" si="144"/>
        <v>291.35824366856377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4.9775425943550893</v>
      </c>
      <c r="AV146" s="21">
        <f>EXP(-LN(2)/25)*AV145+(1-EXP(-LN(2)/25))/(LN(2)/25)*Calculateur!AQ146*Calculateur!AS146*VLOOKUP('Données projet'!$B$10,Paramètres!$A$1:$I$89,3,0)*0.475*44/12</f>
        <v>0.49053084022015264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5.468073434575242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68.178169055947407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103.69736557010637</v>
      </c>
      <c r="BJ146" s="59">
        <f t="shared" si="146"/>
        <v>312.86697521864392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5.3835123804195124</v>
      </c>
      <c r="BQ146" s="21">
        <f>EXP(-LN(2)/25)*BQ145+(1-EXP(-LN(2)/25))/(LN(2)/25)*Calculateur!BL146*Calculateur!BN146*VLOOKUP('Données projet'!$B$11,Paramètres!$A$1:$I$89,3,0)*0.475*44/12</f>
        <v>0.53053867470619287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5.9140510551257055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68.178169055947407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189.55118397415424</v>
      </c>
      <c r="CE146" s="59">
        <f t="shared" si="148"/>
        <v>456.28719984856014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5.9488244822226539</v>
      </c>
      <c r="CM146" s="21">
        <f>EXP(-LN(2)/2)*CM145+(1-EXP(-LN(2)/2))/(LN(2)/2)*CG146*CJ146*VLOOKUP('Données projet'!$B$12,Paramètres!$A$1:$I$89,3,0)*0.475*44/12</f>
        <v>4.412156659494129E-19</v>
      </c>
      <c r="CN146" s="22">
        <f t="shared" si="120"/>
        <v>5.9488244822226539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68.178169055947407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68.178169055947407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68.178169055947407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68.178169055947407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68.178169055947407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68.178169055947407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4.45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16.316666666666666</v>
      </c>
      <c r="H147" s="66">
        <f t="shared" si="110"/>
        <v>191.4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68.209773749822915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-5.6843418860808015E-14</v>
      </c>
      <c r="O147" s="13">
        <f>N147*VLOOKUP('Données projet'!$B$9,Paramètres!$A$1:$I$89,3,0)*VLOOKUP('Données projet'!$B$9,Paramètres!$A$1:$I$89,5,0)</f>
        <v>-2.5006556825246661E-14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129.89493875503857</v>
      </c>
      <c r="T147" s="59">
        <f t="shared" si="142"/>
        <v>318.19554842399577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5.5706138242842549</v>
      </c>
      <c r="AA147" s="21">
        <f>EXP(-LN(2)/25)*AA146+(1-EXP(-LN(2)/25))/(LN(2)/25)*Calculateur!V147*Calculateur!X147*VLOOKUP('Données projet'!$B$9,Paramètres!$A$1:$I$89,3,0)*0.475*44/12</f>
        <v>0.55774420965073268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6.1283580339349877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68.209773749822915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96.263123361643096</v>
      </c>
      <c r="AO147" s="59">
        <f t="shared" si="144"/>
        <v>291.35824366856377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4.8799360200809883</v>
      </c>
      <c r="AV147" s="21">
        <f>EXP(-LN(2)/25)*AV146+(1-EXP(-LN(2)/25))/(LN(2)/25)*Calculateur!AQ147*Calculateur!AS147*VLOOKUP('Données projet'!$B$10,Paramètres!$A$1:$I$89,3,0)*0.475*44/12</f>
        <v>0.47711724859843679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5.357053268679425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68.209773749822915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103.69736557010637</v>
      </c>
      <c r="BJ147" s="59">
        <f t="shared" si="146"/>
        <v>312.86697521864392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5.2779449862578076</v>
      </c>
      <c r="BQ147" s="21">
        <f>EXP(-LN(2)/25)*BQ146+(1-EXP(-LN(2)/25))/(LN(2)/25)*Calculateur!BL147*Calculateur!BN147*VLOOKUP('Données projet'!$B$11,Paramètres!$A$1:$I$89,3,0)*0.475*44/12</f>
        <v>0.51603106674653565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5.7939760530043429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68.209773749822915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189.55118397415424</v>
      </c>
      <c r="CE147" s="59">
        <f t="shared" si="148"/>
        <v>456.28719984856014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5.7861535639211921</v>
      </c>
      <c r="CM147" s="21">
        <f>EXP(-LN(2)/2)*CM146+(1-EXP(-LN(2)/2))/(LN(2)/2)*CG147*CJ147*VLOOKUP('Données projet'!$B$12,Paramètres!$A$1:$I$89,3,0)*0.475*44/12</f>
        <v>3.1198658935856835E-19</v>
      </c>
      <c r="CN147" s="22">
        <f t="shared" si="120"/>
        <v>5.7861535639211921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68.209773749822915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68.209773749822915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68.209773749822915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68.209773749822915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68.209773749822915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68.209773749822915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4.45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16.316666666666666</v>
      </c>
      <c r="H148" s="66">
        <f t="shared" si="110"/>
        <v>191.4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68.240830172917171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-5.6843418860808015E-14</v>
      </c>
      <c r="O148" s="13">
        <f>N148*VLOOKUP('Données projet'!$B$9,Paramètres!$A$1:$I$89,3,0)*VLOOKUP('Données projet'!$B$9,Paramètres!$A$1:$I$89,5,0)</f>
        <v>-2.5006556825246661E-14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129.89493875503857</v>
      </c>
      <c r="T148" s="59">
        <f t="shared" si="142"/>
        <v>318.19554842399577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5.4613774849289749</v>
      </c>
      <c r="AA148" s="21">
        <f>EXP(-LN(2)/25)*AA147+(1-EXP(-LN(2)/25))/(LN(2)/25)*Calculateur!V148*Calculateur!X148*VLOOKUP('Données projet'!$B$9,Paramètres!$A$1:$I$89,3,0)*0.475*44/12</f>
        <v>0.54249266490734016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6.003870149836315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68.240830172917171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96.263123361643096</v>
      </c>
      <c r="AO148" s="59">
        <f t="shared" si="144"/>
        <v>291.35824366856377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4.7842434511942704</v>
      </c>
      <c r="AV148" s="21">
        <f>EXP(-LN(2)/25)*AV147+(1-EXP(-LN(2)/25))/(LN(2)/25)*Calculateur!AQ148*Calculateur!AS148*VLOOKUP('Données projet'!$B$10,Paramètres!$A$1:$I$89,3,0)*0.475*44/12</f>
        <v>0.46407045234500688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5.2483139035392776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68.240830172917171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103.69736557010637</v>
      </c>
      <c r="BJ148" s="59">
        <f t="shared" si="146"/>
        <v>312.86697521864392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5.1744477043058614</v>
      </c>
      <c r="BQ148" s="21">
        <f>EXP(-LN(2)/25)*BQ147+(1-EXP(-LN(2)/25))/(LN(2)/25)*Calculateur!BL148*Calculateur!BN148*VLOOKUP('Données projet'!$B$11,Paramètres!$A$1:$I$89,3,0)*0.475*44/12</f>
        <v>0.50192017008945722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5.6763678743953188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68.240830172917171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189.55118397415424</v>
      </c>
      <c r="CE148" s="59">
        <f t="shared" si="148"/>
        <v>456.28719984856014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5.6279308904351755</v>
      </c>
      <c r="CM148" s="21">
        <f>EXP(-LN(2)/2)*CM147+(1-EXP(-LN(2)/2))/(LN(2)/2)*CG148*CJ148*VLOOKUP('Données projet'!$B$12,Paramètres!$A$1:$I$89,3,0)*0.475*44/12</f>
        <v>2.2060783297470645E-19</v>
      </c>
      <c r="CN148" s="22">
        <f t="shared" si="120"/>
        <v>5.6279308904351755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68.240830172917171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68.240830172917171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68.240830172917171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68.240830172917171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68.240830172917171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68.240830172917171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4.45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16.316666666666666</v>
      </c>
      <c r="H149" s="66">
        <f t="shared" si="110"/>
        <v>191.4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68.271347836502528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-5.6843418860808015E-14</v>
      </c>
      <c r="O149" s="13">
        <f>N149*VLOOKUP('Données projet'!$B$9,Paramètres!$A$1:$I$89,3,0)*VLOOKUP('Données projet'!$B$9,Paramètres!$A$1:$I$89,5,0)</f>
        <v>-2.5006556825246661E-14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129.89493875503857</v>
      </c>
      <c r="T149" s="59">
        <f t="shared" si="142"/>
        <v>318.19554842399577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5.3542832035608638</v>
      </c>
      <c r="AA149" s="21">
        <f>EXP(-LN(2)/25)*AA148+(1-EXP(-LN(2)/25))/(LN(2)/25)*Calculateur!V149*Calculateur!X149*VLOOKUP('Données projet'!$B$9,Paramètres!$A$1:$I$89,3,0)*0.475*44/12</f>
        <v>0.52765817445699958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5.8819413780178635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68.271347836502528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96.263123361643096</v>
      </c>
      <c r="AO149" s="59">
        <f t="shared" si="144"/>
        <v>291.35824366856377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4.6904273552167179</v>
      </c>
      <c r="AV149" s="21">
        <f>EXP(-LN(2)/25)*AV148+(1-EXP(-LN(2)/25))/(LN(2)/25)*Calculateur!AQ149*Calculateur!AS149*VLOOKUP('Données projet'!$B$10,Paramètres!$A$1:$I$89,3,0)*0.475*44/12</f>
        <v>0.45138042142122825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5.141807776637946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68.271347836502528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103.69736557010637</v>
      </c>
      <c r="BJ149" s="59">
        <f t="shared" si="146"/>
        <v>312.86697521864392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5.072979940925884</v>
      </c>
      <c r="BQ149" s="21">
        <f>EXP(-LN(2)/25)*BQ148+(1-EXP(-LN(2)/25))/(LN(2)/25)*Calculateur!BL149*Calculateur!BN149*VLOOKUP('Données projet'!$B$11,Paramètres!$A$1:$I$89,3,0)*0.475*44/12</f>
        <v>0.48819513664352643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5.5611750775694109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68.271347836502528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189.55118397415424</v>
      </c>
      <c r="CE149" s="59">
        <f t="shared" si="148"/>
        <v>456.28719984856014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5.4740348242762025</v>
      </c>
      <c r="CM149" s="21">
        <f>EXP(-LN(2)/2)*CM148+(1-EXP(-LN(2)/2))/(LN(2)/2)*CG149*CJ149*VLOOKUP('Données projet'!$B$12,Paramètres!$A$1:$I$89,3,0)*0.475*44/12</f>
        <v>1.5599329467928418E-19</v>
      </c>
      <c r="CN149" s="22">
        <f t="shared" si="120"/>
        <v>5.4740348242762025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68.271347836502528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68.271347836502528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68.271347836502528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68.271347836502528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68.271347836502528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68.271347836502528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4.45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16.316666666666666</v>
      </c>
      <c r="H150" s="66">
        <f t="shared" si="110"/>
        <v>191.4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68.301336086851933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-5.6843418860808015E-14</v>
      </c>
      <c r="O150" s="13">
        <f>N150*VLOOKUP('Données projet'!$B$9,Paramètres!$A$1:$I$89,3,0)*VLOOKUP('Données projet'!$B$9,Paramètres!$A$1:$I$89,5,0)</f>
        <v>-2.5006556825246661E-14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129.89493875503857</v>
      </c>
      <c r="T150" s="59">
        <f t="shared" si="142"/>
        <v>318.19554842399577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5.2492889757293195</v>
      </c>
      <c r="AA150" s="21">
        <f>EXP(-LN(2)/25)*AA149+(1-EXP(-LN(2)/25))/(LN(2)/25)*Calculateur!V150*Calculateur!X150*VLOOKUP('Données projet'!$B$9,Paramètres!$A$1:$I$89,3,0)*0.475*44/12</f>
        <v>0.51322933392813552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5.7625183096574553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68.301336086851933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96.263123361643096</v>
      </c>
      <c r="AO150" s="59">
        <f t="shared" si="144"/>
        <v>291.35824366856377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4.5984509356591161</v>
      </c>
      <c r="AV150" s="21">
        <f>EXP(-LN(2)/25)*AV149+(1-EXP(-LN(2)/25))/(LN(2)/25)*Calculateur!AQ150*Calculateur!AS150*VLOOKUP('Données projet'!$B$10,Paramètres!$A$1:$I$89,3,0)*0.475*44/12</f>
        <v>0.43903740006040004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5.0374883357195159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68.301336086851933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103.69736557010637</v>
      </c>
      <c r="BJ150" s="59">
        <f t="shared" si="146"/>
        <v>312.86697521864392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4.9735018984965631</v>
      </c>
      <c r="BQ150" s="21">
        <f>EXP(-LN(2)/25)*BQ149+(1-EXP(-LN(2)/25))/(LN(2)/25)*Calculateur!BL150*Calculateur!BN150*VLOOKUP('Données projet'!$B$11,Paramètres!$A$1:$I$89,3,0)*0.475*44/12</f>
        <v>0.47484541495894272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5.448347313455506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68.301336086851933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189.55118397415424</v>
      </c>
      <c r="CE150" s="59">
        <f t="shared" si="148"/>
        <v>456.28719984856014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5.3243470541393894</v>
      </c>
      <c r="CM150" s="21">
        <f>EXP(-LN(2)/2)*CM149+(1-EXP(-LN(2)/2))/(LN(2)/2)*CG150*CJ150*VLOOKUP('Données projet'!$B$12,Paramètres!$A$1:$I$89,3,0)*0.475*44/12</f>
        <v>1.1030391648735322E-19</v>
      </c>
      <c r="CN150" s="22">
        <f t="shared" si="120"/>
        <v>5.3243470541393894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68.301336086851933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68.301336086851933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68.301336086851933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68.301336086851933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68.301336086851933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68.301336086851933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4.45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16.316666666666666</v>
      </c>
      <c r="H151" s="66">
        <f t="shared" si="110"/>
        <v>191.4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68.330804108101475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-5.6843418860808015E-14</v>
      </c>
      <c r="O151" s="13">
        <f>N151*VLOOKUP('Données projet'!$B$9,Paramètres!$A$1:$I$89,3,0)*VLOOKUP('Données projet'!$B$9,Paramètres!$A$1:$I$89,5,0)</f>
        <v>-2.5006556825246661E-14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129.89493875503857</v>
      </c>
      <c r="T151" s="59">
        <f t="shared" si="142"/>
        <v>318.19554842399577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5.1463536206653959</v>
      </c>
      <c r="AA151" s="21">
        <f>EXP(-LN(2)/25)*AA150+(1-EXP(-LN(2)/25))/(LN(2)/25)*Calculateur!V151*Calculateur!X151*VLOOKUP('Données projet'!$B$9,Paramètres!$A$1:$I$89,3,0)*0.475*44/12</f>
        <v>0.49919505080231297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5.6455486714677088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68.330804108101475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96.263123361643096</v>
      </c>
      <c r="AO151" s="59">
        <f t="shared" si="144"/>
        <v>291.35824366856377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4.5082781175889624</v>
      </c>
      <c r="AV151" s="21">
        <f>EXP(-LN(2)/25)*AV150+(1-EXP(-LN(2)/25))/(LN(2)/25)*Calculateur!AQ151*Calculateur!AS151*VLOOKUP('Données projet'!$B$10,Paramètres!$A$1:$I$89,3,0)*0.475*44/12</f>
        <v>0.42703189926777496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4.9353100168567376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68.330804108101475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103.69736557010637</v>
      </c>
      <c r="BJ151" s="59">
        <f t="shared" si="146"/>
        <v>312.86697521864392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4.8759745598036668</v>
      </c>
      <c r="BQ151" s="21">
        <f>EXP(-LN(2)/25)*BQ150+(1-EXP(-LN(2)/25))/(LN(2)/25)*Calculateur!BL151*Calculateur!BN151*VLOOKUP('Données projet'!$B$11,Paramètres!$A$1:$I$89,3,0)*0.475*44/12</f>
        <v>0.46186074211585532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5.3378353019195224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68.330804108101475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189.55118397415424</v>
      </c>
      <c r="CE151" s="59">
        <f t="shared" si="148"/>
        <v>456.28719984856014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5.1787525039487052</v>
      </c>
      <c r="CM151" s="21">
        <f>EXP(-LN(2)/2)*CM150+(1-EXP(-LN(2)/2))/(LN(2)/2)*CG151*CJ151*VLOOKUP('Données projet'!$B$12,Paramètres!$A$1:$I$89,3,0)*0.475*44/12</f>
        <v>7.7996647339642089E-20</v>
      </c>
      <c r="CN151" s="22">
        <f t="shared" si="120"/>
        <v>5.1787525039487052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68.330804108101475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68.330804108101475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68.330804108101475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68.330804108101475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68.330804108101475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68.330804108101475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4.45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16.316666666666666</v>
      </c>
      <c r="H152" s="66">
        <f t="shared" si="110"/>
        <v>191.4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68.359760925062957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-5.6843418860808015E-14</v>
      </c>
      <c r="O152" s="13">
        <f>N152*VLOOKUP('Données projet'!$B$9,Paramètres!$A$1:$I$89,3,0)*VLOOKUP('Données projet'!$B$9,Paramètres!$A$1:$I$89,5,0)</f>
        <v>-2.5006556825246661E-14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129.89493875503857</v>
      </c>
      <c r="T152" s="59">
        <f t="shared" si="142"/>
        <v>318.19554842399577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5.0454367651299092</v>
      </c>
      <c r="AA152" s="21">
        <f>EXP(-LN(2)/25)*AA151+(1-EXP(-LN(2)/25))/(LN(2)/25)*Calculateur!V152*Calculateur!X152*VLOOKUP('Données projet'!$B$9,Paramètres!$A$1:$I$89,3,0)*0.475*44/12</f>
        <v>0.48554453588659691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5.5309813010165065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68.359760925062957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96.263123361643096</v>
      </c>
      <c r="AO152" s="59">
        <f t="shared" si="144"/>
        <v>291.35824366856377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4.4198735334811765</v>
      </c>
      <c r="AV152" s="21">
        <f>EXP(-LN(2)/25)*AV151+(1-EXP(-LN(2)/25))/(LN(2)/25)*Calculateur!AQ152*Calculateur!AS152*VLOOKUP('Données projet'!$B$10,Paramètres!$A$1:$I$89,3,0)*0.475*44/12</f>
        <v>0.41535468952566607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4.8352282230068422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68.359760925062957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103.69736557010637</v>
      </c>
      <c r="BJ152" s="59">
        <f t="shared" si="146"/>
        <v>312.86697521864392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4.7803596727367355</v>
      </c>
      <c r="BQ152" s="21">
        <f>EXP(-LN(2)/25)*BQ151+(1-EXP(-LN(2)/25))/(LN(2)/25)*Calculateur!BL152*Calculateur!BN152*VLOOKUP('Données projet'!$B$11,Paramètres!$A$1:$I$89,3,0)*0.475*44/12</f>
        <v>0.44923113583449642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5.2295908085712322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68.359760925062957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189.55118397415424</v>
      </c>
      <c r="CE152" s="59">
        <f t="shared" si="148"/>
        <v>456.28719984856014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5.0371392443894702</v>
      </c>
      <c r="CM152" s="21">
        <f>EXP(-LN(2)/2)*CM151+(1-EXP(-LN(2)/2))/(LN(2)/2)*CG152*CJ152*VLOOKUP('Données projet'!$B$12,Paramètres!$A$1:$I$89,3,0)*0.475*44/12</f>
        <v>5.5151958243676612E-20</v>
      </c>
      <c r="CN152" s="22">
        <f t="shared" si="120"/>
        <v>5.0371392443894702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68.359760925062957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68.359760925062957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68.359760925062957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68.359760925062957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68.359760925062957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68.359760925062957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4.45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16.316666666666666</v>
      </c>
      <c r="H153" s="66">
        <f t="shared" si="110"/>
        <v>191.4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68.388215405987907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-5.6843418860808015E-14</v>
      </c>
      <c r="O153" s="13">
        <f>N153*VLOOKUP('Données projet'!$B$9,Paramètres!$A$1:$I$89,3,0)*VLOOKUP('Données projet'!$B$9,Paramètres!$A$1:$I$89,5,0)</f>
        <v>-2.5006556825246661E-14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129.89493875503857</v>
      </c>
      <c r="T153" s="59">
        <f t="shared" si="142"/>
        <v>318.19554842399577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4.9464988275782691</v>
      </c>
      <c r="AA153" s="21">
        <f>EXP(-LN(2)/25)*AA152+(1-EXP(-LN(2)/25))/(LN(2)/25)*Calculateur!V153*Calculateur!X153*VLOOKUP('Données projet'!$B$9,Paramètres!$A$1:$I$89,3,0)*0.475*44/12</f>
        <v>0.47226729501910047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5.4187661225973693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68.388215405987907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96.263123361643096</v>
      </c>
      <c r="AO153" s="59">
        <f t="shared" si="144"/>
        <v>291.35824366856377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4.3332025093462727</v>
      </c>
      <c r="AV153" s="21">
        <f>EXP(-LN(2)/25)*AV152+(1-EXP(-LN(2)/25))/(LN(2)/25)*Calculateur!AQ153*Calculateur!AS153*VLOOKUP('Données projet'!$B$10,Paramètres!$A$1:$I$89,3,0)*0.475*44/12</f>
        <v>0.40399679369803293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4.7371993030443056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68.388215405987907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103.69736557010637</v>
      </c>
      <c r="BJ153" s="59">
        <f t="shared" si="146"/>
        <v>312.86697521864392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4.6866197352858636</v>
      </c>
      <c r="BQ153" s="21">
        <f>EXP(-LN(2)/25)*BQ152+(1-EXP(-LN(2)/25))/(LN(2)/25)*Calculateur!BL153*Calculateur!BN153*VLOOKUP('Données projet'!$B$11,Paramètres!$A$1:$I$89,3,0)*0.475*44/12</f>
        <v>0.43694688680106342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5.1235666220869271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68.388215405987907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189.55118397415424</v>
      </c>
      <c r="CE153" s="59">
        <f t="shared" si="148"/>
        <v>456.28719984856014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4.8993984068599996</v>
      </c>
      <c r="CM153" s="21">
        <f>EXP(-LN(2)/2)*CM152+(1-EXP(-LN(2)/2))/(LN(2)/2)*CG153*CJ153*VLOOKUP('Données projet'!$B$12,Paramètres!$A$1:$I$89,3,0)*0.475*44/12</f>
        <v>3.8998323669821044E-20</v>
      </c>
      <c r="CN153" s="22">
        <f t="shared" si="120"/>
        <v>4.8993984068599996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68.388215405987907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68.388215405987907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68.388215405987907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68.388215405987907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68.388215405987907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68.388215405987907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4.45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16.316666666666666</v>
      </c>
      <c r="H154" s="66">
        <f t="shared" si="110"/>
        <v>191.4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68.416176265283497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-5.6843418860808015E-14</v>
      </c>
      <c r="O154" s="13">
        <f>N154*VLOOKUP('Données projet'!$B$9,Paramètres!$A$1:$I$89,3,0)*VLOOKUP('Données projet'!$B$9,Paramètres!$A$1:$I$89,5,0)</f>
        <v>-2.5006556825246661E-14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129.89493875503857</v>
      </c>
      <c r="T154" s="59">
        <f t="shared" si="142"/>
        <v>318.19554842399577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4.8495010026358338</v>
      </c>
      <c r="AA154" s="21">
        <f>EXP(-LN(2)/25)*AA153+(1-EXP(-LN(2)/25))/(LN(2)/25)*Calculateur!V154*Calculateur!X154*VLOOKUP('Données projet'!$B$9,Paramètres!$A$1:$I$89,3,0)*0.475*44/12</f>
        <v>0.45935312100134551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5.3088541236371789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68.416176265283497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96.263123361643096</v>
      </c>
      <c r="AO154" s="59">
        <f t="shared" si="144"/>
        <v>291.35824366856377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4.2482310511305492</v>
      </c>
      <c r="AV154" s="21">
        <f>EXP(-LN(2)/25)*AV153+(1-EXP(-LN(2)/25))/(LN(2)/25)*Calculateur!AQ154*Calculateur!AS154*VLOOKUP('Données projet'!$B$10,Paramètres!$A$1:$I$89,3,0)*0.475*44/12</f>
        <v>0.3929494801290922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4.641180531259641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68.416176265283497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103.69736557010637</v>
      </c>
      <c r="BJ154" s="59">
        <f t="shared" si="146"/>
        <v>312.86697521864392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4.5947179808326872</v>
      </c>
      <c r="BQ154" s="21">
        <f>EXP(-LN(2)/25)*BQ153+(1-EXP(-LN(2)/25))/(LN(2)/25)*Calculateur!BL154*Calculateur!BN154*VLOOKUP('Données projet'!$B$11,Paramètres!$A$1:$I$89,3,0)*0.475*44/12</f>
        <v>0.4249985512034502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5.0197165320361377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68.416176265283497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189.55118397415424</v>
      </c>
      <c r="CE154" s="59">
        <f t="shared" si="148"/>
        <v>456.28719984856014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4.765424099776248</v>
      </c>
      <c r="CM154" s="21">
        <f>EXP(-LN(2)/2)*CM153+(1-EXP(-LN(2)/2))/(LN(2)/2)*CG154*CJ154*VLOOKUP('Données projet'!$B$12,Paramètres!$A$1:$I$89,3,0)*0.475*44/12</f>
        <v>2.7575979121838306E-20</v>
      </c>
      <c r="CN154" s="22">
        <f t="shared" ref="CN154:CN203" si="172">SUM(CK154:CM154)</f>
        <v>4.765424099776248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68.416176265283497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68.416176265283497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68.416176265283497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68.416176265283497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68.416176265283497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68.416176265283497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4.45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16.316666666666666</v>
      </c>
      <c r="H155" s="66">
        <f t="shared" si="110"/>
        <v>191.4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68.443652066181414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-5.6843418860808015E-14</v>
      </c>
      <c r="O155" s="13">
        <f>N155*VLOOKUP('Données projet'!$B$9,Paramètres!$A$1:$I$89,3,0)*VLOOKUP('Données projet'!$B$9,Paramètres!$A$1:$I$89,5,0)</f>
        <v>-2.5006556825246661E-14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129.89493875503857</v>
      </c>
      <c r="T155" s="59">
        <f t="shared" si="142"/>
        <v>318.19554842399577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4.7544052458776882</v>
      </c>
      <c r="AA155" s="21">
        <f>EXP(-LN(2)/25)*AA154+(1-EXP(-LN(2)/25))/(LN(2)/25)*Calculateur!V155*Calculateur!X155*VLOOKUP('Données projet'!$B$9,Paramètres!$A$1:$I$89,3,0)*0.475*44/12</f>
        <v>0.44679208575123297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5.2011973316289213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68.443652066181414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96.263123361643096</v>
      </c>
      <c r="AO155" s="59">
        <f t="shared" si="144"/>
        <v>291.35824366856377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4.1649258313829645</v>
      </c>
      <c r="AV155" s="21">
        <f>EXP(-LN(2)/25)*AV154+(1-EXP(-LN(2)/25))/(LN(2)/25)*Calculateur!AQ155*Calculateur!AS155*VLOOKUP('Données projet'!$B$10,Paramètres!$A$1:$I$89,3,0)*0.475*44/12</f>
        <v>0.38220425593064711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4.5471300873136116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68.443652066181414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103.69736557010637</v>
      </c>
      <c r="BJ155" s="59">
        <f t="shared" si="146"/>
        <v>312.86697521864392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4.5046183637298025</v>
      </c>
      <c r="BQ155" s="21">
        <f>EXP(-LN(2)/25)*BQ154+(1-EXP(-LN(2)/25))/(LN(2)/25)*Calculateur!BL155*Calculateur!BN155*VLOOKUP('Données projet'!$B$11,Paramètres!$A$1:$I$89,3,0)*0.475*44/12</f>
        <v>0.41337694347108939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4.9179953072008917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68.443652066181414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189.55118397415424</v>
      </c>
      <c r="CE155" s="59">
        <f t="shared" si="148"/>
        <v>456.28719984856014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4.6351133271651044</v>
      </c>
      <c r="CM155" s="21">
        <f>EXP(-LN(2)/2)*CM154+(1-EXP(-LN(2)/2))/(LN(2)/2)*CG155*CJ155*VLOOKUP('Données projet'!$B$12,Paramètres!$A$1:$I$89,3,0)*0.475*44/12</f>
        <v>1.9499161834910522E-20</v>
      </c>
      <c r="CN155" s="22">
        <f t="shared" si="172"/>
        <v>4.6351133271651044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68.443652066181414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68.443652066181414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68.443652066181414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68.443652066181414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68.443652066181414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68.443652066181414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4.45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16.316666666666666</v>
      </c>
      <c r="H156" s="66">
        <f t="shared" si="110"/>
        <v>191.4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68.470651223360463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-5.6843418860808015E-14</v>
      </c>
      <c r="O156" s="13">
        <f>N156*VLOOKUP('Données projet'!$B$9,Paramètres!$A$1:$I$89,3,0)*VLOOKUP('Données projet'!$B$9,Paramètres!$A$1:$I$89,5,0)</f>
        <v>-2.5006556825246661E-14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129.89493875503857</v>
      </c>
      <c r="T156" s="59">
        <f t="shared" si="142"/>
        <v>318.19554842399577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4.6611742589068852</v>
      </c>
      <c r="AA156" s="21">
        <f>EXP(-LN(2)/25)*AA155+(1-EXP(-LN(2)/25))/(LN(2)/25)*Calculateur!V156*Calculateur!X156*VLOOKUP('Données projet'!$B$9,Paramètres!$A$1:$I$89,3,0)*0.475*44/12</f>
        <v>0.43457453267059087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5.095748791577476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68.470651223360463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96.263123361643096</v>
      </c>
      <c r="AO156" s="59">
        <f t="shared" si="144"/>
        <v>291.35824366856377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4.0832541761834626</v>
      </c>
      <c r="AV156" s="21">
        <f>EXP(-LN(2)/25)*AV155+(1-EXP(-LN(2)/25))/(LN(2)/25)*Calculateur!AQ156*Calculateur!AS156*VLOOKUP('Données projet'!$B$10,Paramètres!$A$1:$I$89,3,0)*0.475*44/12</f>
        <v>0.37175286045297529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4.455007036636438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68.470651223360463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103.69736557010637</v>
      </c>
      <c r="BJ156" s="59">
        <f t="shared" si="146"/>
        <v>312.86697521864392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4.4162855451629657</v>
      </c>
      <c r="BQ156" s="21">
        <f>EXP(-LN(2)/25)*BQ155+(1-EXP(-LN(2)/25))/(LN(2)/25)*Calculateur!BL156*Calculateur!BN156*VLOOKUP('Données projet'!$B$11,Paramètres!$A$1:$I$89,3,0)*0.475*44/12</f>
        <v>0.40207312921332378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4.8183586743762898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68.470651223360463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189.55118397415424</v>
      </c>
      <c r="CE156" s="59">
        <f t="shared" si="148"/>
        <v>456.28719984856014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4.508365909483758</v>
      </c>
      <c r="CM156" s="21">
        <f>EXP(-LN(2)/2)*CM155+(1-EXP(-LN(2)/2))/(LN(2)/2)*CG156*CJ156*VLOOKUP('Données projet'!$B$12,Paramètres!$A$1:$I$89,3,0)*0.475*44/12</f>
        <v>1.3787989560919153E-20</v>
      </c>
      <c r="CN156" s="22">
        <f t="shared" si="172"/>
        <v>4.508365909483758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68.470651223360463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68.470651223360463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68.470651223360463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68.470651223360463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68.470651223360463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68.470651223360463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4.45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16.316666666666666</v>
      </c>
      <c r="H157" s="66">
        <f t="shared" si="110"/>
        <v>191.4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68.497182005523499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-5.6843418860808015E-14</v>
      </c>
      <c r="O157" s="13">
        <f>N157*VLOOKUP('Données projet'!$B$9,Paramètres!$A$1:$I$89,3,0)*VLOOKUP('Données projet'!$B$9,Paramètres!$A$1:$I$89,5,0)</f>
        <v>-2.5006556825246661E-14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129.89493875503857</v>
      </c>
      <c r="T157" s="59">
        <f t="shared" si="142"/>
        <v>318.19554842399577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4.5697714747252931</v>
      </c>
      <c r="AA157" s="21">
        <f>EXP(-LN(2)/25)*AA156+(1-EXP(-LN(2)/25))/(LN(2)/25)*Calculateur!V157*Calculateur!X157*VLOOKUP('Données projet'!$B$9,Paramètres!$A$1:$I$89,3,0)*0.475*44/12</f>
        <v>0.42269106922143213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4.9924625439467256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68.497182005523499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96.263123361643096</v>
      </c>
      <c r="AO157" s="59">
        <f t="shared" si="144"/>
        <v>291.35824366856377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4.0031840523276321</v>
      </c>
      <c r="AV157" s="21">
        <f>EXP(-LN(2)/25)*AV156+(1-EXP(-LN(2)/25))/(LN(2)/25)*Calculateur!AQ157*Calculateur!AS157*VLOOKUP('Données projet'!$B$10,Paramètres!$A$1:$I$89,3,0)*0.475*44/12</f>
        <v>0.36158725893425542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4.3647713112618876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68.497182005523499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103.69736557010637</v>
      </c>
      <c r="BJ157" s="59">
        <f t="shared" si="146"/>
        <v>312.86697521864392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4.3296848792905251</v>
      </c>
      <c r="BQ157" s="21">
        <f>EXP(-LN(2)/25)*BQ156+(1-EXP(-LN(2)/25))/(LN(2)/25)*Calculateur!BL157*Calculateur!BN157*VLOOKUP('Données projet'!$B$11,Paramètres!$A$1:$I$89,3,0)*0.475*44/12</f>
        <v>0.39107841835087853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4.7207632976414038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68.497182005523499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189.55118397415424</v>
      </c>
      <c r="CE157" s="59">
        <f t="shared" si="148"/>
        <v>456.28719984856014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4.3850844066042658</v>
      </c>
      <c r="CM157" s="21">
        <f>EXP(-LN(2)/2)*CM156+(1-EXP(-LN(2)/2))/(LN(2)/2)*CG157*CJ157*VLOOKUP('Données projet'!$B$12,Paramètres!$A$1:$I$89,3,0)*0.475*44/12</f>
        <v>9.7495809174552611E-21</v>
      </c>
      <c r="CN157" s="22">
        <f t="shared" si="172"/>
        <v>4.3850844066042658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68.497182005523499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68.497182005523499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68.497182005523499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68.497182005523499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68.497182005523499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68.497182005523499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4.45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16.316666666666666</v>
      </c>
      <c r="H158" s="66">
        <f t="shared" si="110"/>
        <v>191.4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68.523252537929977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-5.6843418860808015E-14</v>
      </c>
      <c r="O158" s="13">
        <f>N158*VLOOKUP('Données projet'!$B$9,Paramètres!$A$1:$I$89,3,0)*VLOOKUP('Données projet'!$B$9,Paramètres!$A$1:$I$89,5,0)</f>
        <v>-2.5006556825246661E-14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129.89493875503857</v>
      </c>
      <c r="T158" s="59">
        <f t="shared" si="142"/>
        <v>318.19554842399577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4.4801610433913082</v>
      </c>
      <c r="AA158" s="21">
        <f>EXP(-LN(2)/25)*AA157+(1-EXP(-LN(2)/25))/(LN(2)/25)*Calculateur!V158*Calculateur!X158*VLOOKUP('Données projet'!$B$9,Paramètres!$A$1:$I$89,3,0)*0.475*44/12</f>
        <v>0.41113255970521478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4.8912936030965231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68.523252537929977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96.263123361643096</v>
      </c>
      <c r="AO158" s="59">
        <f t="shared" si="144"/>
        <v>291.35824366856377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3.9246840547626611</v>
      </c>
      <c r="AV158" s="21">
        <f>EXP(-LN(2)/25)*AV157+(1-EXP(-LN(2)/25))/(LN(2)/25)*Calculateur!AQ158*Calculateur!AS158*VLOOKUP('Données projet'!$B$10,Paramètres!$A$1:$I$89,3,0)*0.475*44/12</f>
        <v>0.3516996363236507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4.2763836910863118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68.523252537929977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103.69736557010637</v>
      </c>
      <c r="BJ158" s="59">
        <f t="shared" si="146"/>
        <v>312.86697521864392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4.2447823996546523</v>
      </c>
      <c r="BQ158" s="21">
        <f>EXP(-LN(2)/25)*BQ157+(1-EXP(-LN(2)/25))/(LN(2)/25)*Calculateur!BL158*Calculateur!BN158*VLOOKUP('Données projet'!$B$11,Paramètres!$A$1:$I$89,3,0)*0.475*44/12</f>
        <v>0.38038435843515356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4.6251667580898062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68.523252537929977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189.55118397415424</v>
      </c>
      <c r="CE158" s="59">
        <f t="shared" si="148"/>
        <v>456.28719984856014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4.2651740429041052</v>
      </c>
      <c r="CM158" s="21">
        <f>EXP(-LN(2)/2)*CM157+(1-EXP(-LN(2)/2))/(LN(2)/2)*CG158*CJ158*VLOOKUP('Données projet'!$B$12,Paramètres!$A$1:$I$89,3,0)*0.475*44/12</f>
        <v>6.8939947804595765E-21</v>
      </c>
      <c r="CN158" s="22">
        <f t="shared" si="172"/>
        <v>4.2651740429041052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68.523252537929977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68.523252537929977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68.523252537929977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68.523252537929977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68.523252537929977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68.523252537929977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4.45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16.316666666666666</v>
      </c>
      <c r="H159" s="66">
        <f t="shared" si="110"/>
        <v>191.4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68.54887080488416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-5.6843418860808015E-14</v>
      </c>
      <c r="O159" s="13">
        <f>N159*VLOOKUP('Données projet'!$B$9,Paramètres!$A$1:$I$89,3,0)*VLOOKUP('Données projet'!$B$9,Paramètres!$A$1:$I$89,5,0)</f>
        <v>-2.5006556825246661E-14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129.89493875503857</v>
      </c>
      <c r="T159" s="59">
        <f t="shared" si="142"/>
        <v>318.19554842399577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4.3923078179588169</v>
      </c>
      <c r="AA159" s="21">
        <f>EXP(-LN(2)/25)*AA158+(1-EXP(-LN(2)/25))/(LN(2)/25)*Calculateur!V159*Calculateur!X159*VLOOKUP('Données projet'!$B$9,Paramètres!$A$1:$I$89,3,0)*0.475*44/12</f>
        <v>0.399890118239554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4.7921979361983711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68.54887080488416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96.263123361643096</v>
      </c>
      <c r="AO159" s="59">
        <f t="shared" si="144"/>
        <v>291.35824366856377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3.8477233942696687</v>
      </c>
      <c r="AV159" s="21">
        <f>EXP(-LN(2)/25)*AV158+(1-EXP(-LN(2)/25))/(LN(2)/25)*Calculateur!AQ159*Calculateur!AS159*VLOOKUP('Données projet'!$B$10,Paramètres!$A$1:$I$89,3,0)*0.475*44/12</f>
        <v>0.34208239127330042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4.1898057855429691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68.54887080488416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103.69736557010637</v>
      </c>
      <c r="BJ159" s="59">
        <f t="shared" si="146"/>
        <v>312.86697521864392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4.1615448058590401</v>
      </c>
      <c r="BQ159" s="21">
        <f>EXP(-LN(2)/25)*BQ158+(1-EXP(-LN(2)/25))/(LN(2)/25)*Calculateur!BL159*Calculateur!BN159*VLOOKUP('Données projet'!$B$11,Paramètres!$A$1:$I$89,3,0)*0.475*44/12</f>
        <v>0.36998272815020028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4.53152753400924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68.54887080488416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189.55118397415424</v>
      </c>
      <c r="CE159" s="59">
        <f t="shared" si="148"/>
        <v>456.28719984856014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4.1485426344051373</v>
      </c>
      <c r="CM159" s="21">
        <f>EXP(-LN(2)/2)*CM158+(1-EXP(-LN(2)/2))/(LN(2)/2)*CG159*CJ159*VLOOKUP('Données projet'!$B$12,Paramètres!$A$1:$I$89,3,0)*0.475*44/12</f>
        <v>4.8747904587276305E-21</v>
      </c>
      <c r="CN159" s="22">
        <f t="shared" si="172"/>
        <v>4.1485426344051373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68.54887080488416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68.54887080488416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68.54887080488416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68.54887080488416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68.54887080488416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68.54887080488416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4.45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16.316666666666666</v>
      </c>
      <c r="H160" s="66">
        <f t="shared" si="110"/>
        <v>191.4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68.574044652180575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-5.6843418860808015E-14</v>
      </c>
      <c r="O160" s="13">
        <f>N160*VLOOKUP('Données projet'!$B$9,Paramètres!$A$1:$I$89,3,0)*VLOOKUP('Données projet'!$B$9,Paramètres!$A$1:$I$89,5,0)</f>
        <v>-2.5006556825246661E-14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129.89493875503857</v>
      </c>
      <c r="T160" s="59">
        <f t="shared" si="142"/>
        <v>318.19554842399577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4.30617734069188</v>
      </c>
      <c r="AA160" s="21">
        <f>EXP(-LN(2)/25)*AA159+(1-EXP(-LN(2)/25))/(LN(2)/25)*Calculateur!V160*Calculateur!X160*VLOOKUP('Données projet'!$B$9,Paramètres!$A$1:$I$89,3,0)*0.475*44/12</f>
        <v>0.38895510192698607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4.6951324426188661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68.574044652180575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96.263123361643096</v>
      </c>
      <c r="AO160" s="59">
        <f t="shared" si="144"/>
        <v>291.35824366856377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3.7722718853875761</v>
      </c>
      <c r="AV160" s="21">
        <f>EXP(-LN(2)/25)*AV159+(1-EXP(-LN(2)/25))/(LN(2)/25)*Calculateur!AQ160*Calculateur!AS160*VLOOKUP('Données projet'!$B$10,Paramètres!$A$1:$I$89,3,0)*0.475*44/12</f>
        <v>0.33272813029460091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4.1050000156821769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68.574044652180575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103.69736557010637</v>
      </c>
      <c r="BJ160" s="59">
        <f t="shared" si="146"/>
        <v>312.86697521864392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4.0799394505078403</v>
      </c>
      <c r="BQ160" s="21">
        <f>EXP(-LN(2)/25)*BQ159+(1-EXP(-LN(2)/25))/(LN(2)/25)*Calculateur!BL160*Calculateur!BN160*VLOOKUP('Données projet'!$B$11,Paramètres!$A$1:$I$89,3,0)*0.475*44/12</f>
        <v>0.35986553099238699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4.4398049815002274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68.574044652180575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189.55118397415424</v>
      </c>
      <c r="CE160" s="59">
        <f t="shared" si="148"/>
        <v>456.28719984856014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4.0351005179049535</v>
      </c>
      <c r="CM160" s="21">
        <f>EXP(-LN(2)/2)*CM159+(1-EXP(-LN(2)/2))/(LN(2)/2)*CG160*CJ160*VLOOKUP('Données projet'!$B$12,Paramètres!$A$1:$I$89,3,0)*0.475*44/12</f>
        <v>3.4469973902297883E-21</v>
      </c>
      <c r="CN160" s="22">
        <f t="shared" si="172"/>
        <v>4.0351005179049535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68.574044652180575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68.574044652180575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68.574044652180575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68.574044652180575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68.574044652180575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68.574044652180575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4.45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16.316666666666666</v>
      </c>
      <c r="H161" s="66">
        <f t="shared" si="110"/>
        <v>191.4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68.598781789506674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-5.6843418860808015E-14</v>
      </c>
      <c r="O161" s="13">
        <f>N161*VLOOKUP('Données projet'!$B$9,Paramètres!$A$1:$I$89,3,0)*VLOOKUP('Données projet'!$B$9,Paramètres!$A$1:$I$89,5,0)</f>
        <v>-2.5006556825246661E-14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129.89493875503857</v>
      </c>
      <c r="T161" s="59">
        <f t="shared" si="142"/>
        <v>318.19554842399577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4.2217358295497442</v>
      </c>
      <c r="AA161" s="21">
        <f>EXP(-LN(2)/25)*AA160+(1-EXP(-LN(2)/25))/(LN(2)/25)*Calculateur!V161*Calculateur!X161*VLOOKUP('Données projet'!$B$9,Paramètres!$A$1:$I$89,3,0)*0.475*44/12</f>
        <v>0.37831910421053278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4.6000549337602772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68.598781789506674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96.263123361643096</v>
      </c>
      <c r="AO161" s="59">
        <f t="shared" si="144"/>
        <v>291.35824366856377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3.698299934573785</v>
      </c>
      <c r="AV161" s="21">
        <f>EXP(-LN(2)/25)*AV160+(1-EXP(-LN(2)/25))/(LN(2)/25)*Calculateur!AQ161*Calculateur!AS161*VLOOKUP('Données projet'!$B$10,Paramètres!$A$1:$I$89,3,0)*0.475*44/12</f>
        <v>0.32362966207428312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4.0219295966480679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68.598781789506674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103.69736557010637</v>
      </c>
      <c r="BJ161" s="59">
        <f t="shared" si="146"/>
        <v>312.86697521864392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3.9999343264007257</v>
      </c>
      <c r="BQ161" s="21">
        <f>EXP(-LN(2)/25)*BQ160+(1-EXP(-LN(2)/25))/(LN(2)/25)*Calculateur!BL161*Calculateur!BN161*VLOOKUP('Données projet'!$B$11,Paramètres!$A$1:$I$89,3,0)*0.475*44/12</f>
        <v>0.35002498912289437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4.3499593155236198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68.598781789506674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189.55118397415424</v>
      </c>
      <c r="CE161" s="59">
        <f t="shared" si="148"/>
        <v>456.28719984856014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3.9247604820461288</v>
      </c>
      <c r="CM161" s="21">
        <f>EXP(-LN(2)/2)*CM160+(1-EXP(-LN(2)/2))/(LN(2)/2)*CG161*CJ161*VLOOKUP('Données projet'!$B$12,Paramètres!$A$1:$I$89,3,0)*0.475*44/12</f>
        <v>2.4373952293638153E-21</v>
      </c>
      <c r="CN161" s="22">
        <f t="shared" si="172"/>
        <v>3.9247604820461288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68.598781789506674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68.598781789506674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68.598781789506674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68.598781789506674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68.598781789506674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68.598781789506674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4.45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16.316666666666666</v>
      </c>
      <c r="H162" s="66">
        <f t="shared" si="110"/>
        <v>191.4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68.623089792804109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-5.6843418860808015E-14</v>
      </c>
      <c r="O162" s="13">
        <f>N162*VLOOKUP('Données projet'!$B$9,Paramètres!$A$1:$I$89,3,0)*VLOOKUP('Données projet'!$B$9,Paramètres!$A$1:$I$89,5,0)</f>
        <v>-2.5006556825246661E-14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129.89493875503857</v>
      </c>
      <c r="T162" s="59">
        <f t="shared" si="142"/>
        <v>318.19554842399577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4.138950164936869</v>
      </c>
      <c r="AA162" s="21">
        <f>EXP(-LN(2)/25)*AA161+(1-EXP(-LN(2)/25))/(LN(2)/25)*Calculateur!V162*Calculateur!X162*VLOOKUP('Données projet'!$B$9,Paramètres!$A$1:$I$89,3,0)*0.475*44/12</f>
        <v>0.36797394841095871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4.5069241133478277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68.623089792804109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96.263123361643096</v>
      </c>
      <c r="AO162" s="59">
        <f t="shared" si="144"/>
        <v>291.35824366856377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3.6257785285970172</v>
      </c>
      <c r="AV162" s="21">
        <f>EXP(-LN(2)/25)*AV161+(1-EXP(-LN(2)/25))/(LN(2)/25)*Calculateur!AQ162*Calculateur!AS162*VLOOKUP('Données projet'!$B$10,Paramètres!$A$1:$I$89,3,0)*0.475*44/12</f>
        <v>0.3147799919459176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3.9405585205429348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68.623089792804109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103.69736557010637</v>
      </c>
      <c r="BJ162" s="59">
        <f t="shared" si="146"/>
        <v>312.86697521864392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3.9214980539790445</v>
      </c>
      <c r="BQ162" s="21">
        <f>EXP(-LN(2)/25)*BQ161+(1-EXP(-LN(2)/25))/(LN(2)/25)*Calculateur!BL162*Calculateur!BN162*VLOOKUP('Données projet'!$B$11,Paramètres!$A$1:$I$89,3,0)*0.475*44/12</f>
        <v>0.34045353738831463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4.2619515913673593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68.623089792804109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189.55118397415424</v>
      </c>
      <c r="CE162" s="59">
        <f t="shared" si="148"/>
        <v>456.28719984856014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3.8174377002703936</v>
      </c>
      <c r="CM162" s="21">
        <f>EXP(-LN(2)/2)*CM161+(1-EXP(-LN(2)/2))/(LN(2)/2)*CG162*CJ162*VLOOKUP('Données projet'!$B$12,Paramètres!$A$1:$I$89,3,0)*0.475*44/12</f>
        <v>1.7234986951148941E-21</v>
      </c>
      <c r="CN162" s="22">
        <f t="shared" si="172"/>
        <v>3.8174377002703936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68.623089792804109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68.623089792804109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68.623089792804109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68.623089792804109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68.623089792804109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68.623089792804109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4.45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16.316666666666666</v>
      </c>
      <c r="H163" s="66">
        <f t="shared" si="110"/>
        <v>191.4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68.646976106588909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-5.6843418860808015E-14</v>
      </c>
      <c r="O163" s="13">
        <f>N163*VLOOKUP('Données projet'!$B$9,Paramètres!$A$1:$I$89,3,0)*VLOOKUP('Données projet'!$B$9,Paramètres!$A$1:$I$89,5,0)</f>
        <v>-2.5006556825246661E-14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129.89493875503857</v>
      </c>
      <c r="T163" s="59">
        <f t="shared" si="142"/>
        <v>318.19554842399577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4.0577878767127826</v>
      </c>
      <c r="AA163" s="21">
        <f>EXP(-LN(2)/25)*AA162+(1-EXP(-LN(2)/25))/(LN(2)/25)*Calculateur!V163*Calculateur!X163*VLOOKUP('Données projet'!$B$9,Paramètres!$A$1:$I$89,3,0)*0.475*44/12</f>
        <v>0.35791168144075208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4.415699558153535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68.646976106588909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96.263123361643096</v>
      </c>
      <c r="AO163" s="59">
        <f t="shared" si="144"/>
        <v>291.35824366856377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3.554679223157764</v>
      </c>
      <c r="AV163" s="21">
        <f>EXP(-LN(2)/25)*AV162+(1-EXP(-LN(2)/25))/(LN(2)/25)*Calculateur!AQ163*Calculateur!AS163*VLOOKUP('Données projet'!$B$10,Paramètres!$A$1:$I$89,3,0)*0.475*44/12</f>
        <v>0.30617231651259613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3.8608515396703602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68.646976106588909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103.69736557010637</v>
      </c>
      <c r="BJ163" s="59">
        <f t="shared" si="146"/>
        <v>312.86697521864392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3.84459986901815</v>
      </c>
      <c r="BQ163" s="21">
        <f>EXP(-LN(2)/25)*BQ162+(1-EXP(-LN(2)/25))/(LN(2)/25)*Calculateur!BL163*Calculateur!BN163*VLOOKUP('Données projet'!$B$11,Paramètres!$A$1:$I$89,3,0)*0.475*44/12</f>
        <v>0.33114381750475774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4.1757436865229076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68.646976106588909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189.55118397415424</v>
      </c>
      <c r="CE163" s="59">
        <f t="shared" si="148"/>
        <v>456.28719984856014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3.7130496656061758</v>
      </c>
      <c r="CM163" s="21">
        <f>EXP(-LN(2)/2)*CM162+(1-EXP(-LN(2)/2))/(LN(2)/2)*CG163*CJ163*VLOOKUP('Données projet'!$B$12,Paramètres!$A$1:$I$89,3,0)*0.475*44/12</f>
        <v>1.2186976146819076E-21</v>
      </c>
      <c r="CN163" s="22">
        <f t="shared" si="172"/>
        <v>3.7130496656061758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68.646976106588909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68.646976106588909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68.646976106588909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68.646976106588909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68.646976106588909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68.646976106588909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4.45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16.316666666666666</v>
      </c>
      <c r="H164" s="66">
        <f t="shared" si="110"/>
        <v>191.4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68.670448046231328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-5.6843418860808015E-14</v>
      </c>
      <c r="O164" s="13">
        <f>N164*VLOOKUP('Données projet'!$B$9,Paramètres!$A$1:$I$89,3,0)*VLOOKUP('Données projet'!$B$9,Paramètres!$A$1:$I$89,5,0)</f>
        <v>-2.5006556825246661E-14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129.89493875503857</v>
      </c>
      <c r="T164" s="59">
        <f t="shared" si="142"/>
        <v>318.19554842399577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3.9782171314566632</v>
      </c>
      <c r="AA164" s="21">
        <f>EXP(-LN(2)/25)*AA163+(1-EXP(-LN(2)/25))/(LN(2)/25)*Calculateur!V164*Calculateur!X164*VLOOKUP('Données projet'!$B$9,Paramètres!$A$1:$I$89,3,0)*0.475*44/12</f>
        <v>0.34812456768999739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4.3263416991466608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68.670448046231328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96.263123361643096</v>
      </c>
      <c r="AO164" s="59">
        <f t="shared" si="144"/>
        <v>291.35824366856377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3.4849741317318803</v>
      </c>
      <c r="AV164" s="21">
        <f>EXP(-LN(2)/25)*AV163+(1-EXP(-LN(2)/25))/(LN(2)/25)*Calculateur!AQ164*Calculateur!AS164*VLOOKUP('Données projet'!$B$10,Paramètres!$A$1:$I$89,3,0)*0.475*44/12</f>
        <v>0.29780001841665682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3.782774150148537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68.670448046231328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103.69736557010637</v>
      </c>
      <c r="BJ164" s="59">
        <f t="shared" si="146"/>
        <v>312.86697521864392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3.7692096105610773</v>
      </c>
      <c r="BQ164" s="21">
        <f>EXP(-LN(2)/25)*BQ163+(1-EXP(-LN(2)/25))/(LN(2)/25)*Calculateur!BL164*Calculateur!BN164*VLOOKUP('Données projet'!$B$11,Paramètres!$A$1:$I$89,3,0)*0.475*44/12</f>
        <v>0.32208867240099359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4.0912982829620708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68.670448046231328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189.55118397415424</v>
      </c>
      <c r="CE164" s="59">
        <f t="shared" si="148"/>
        <v>456.28719984856014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3.6115161272393794</v>
      </c>
      <c r="CM164" s="21">
        <f>EXP(-LN(2)/2)*CM163+(1-EXP(-LN(2)/2))/(LN(2)/2)*CG164*CJ164*VLOOKUP('Données projet'!$B$12,Paramètres!$A$1:$I$89,3,0)*0.475*44/12</f>
        <v>8.6174934755744706E-22</v>
      </c>
      <c r="CN164" s="22">
        <f t="shared" si="172"/>
        <v>3.6115161272393794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68.670448046231328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68.670448046231328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68.670448046231328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68.670448046231328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68.670448046231328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68.670448046231328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4.45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16.316666666666666</v>
      </c>
      <c r="H165" s="66">
        <f t="shared" si="110"/>
        <v>191.4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68.693512800196345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-5.6843418860808015E-14</v>
      </c>
      <c r="O165" s="13">
        <f>N165*VLOOKUP('Données projet'!$B$9,Paramètres!$A$1:$I$89,3,0)*VLOOKUP('Données projet'!$B$9,Paramètres!$A$1:$I$89,5,0)</f>
        <v>-2.5006556825246661E-14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129.89493875503857</v>
      </c>
      <c r="T165" s="59">
        <f t="shared" si="142"/>
        <v>318.19554842399577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3.9002067199816541</v>
      </c>
      <c r="AA165" s="21">
        <f>EXP(-LN(2)/25)*AA164+(1-EXP(-LN(2)/25))/(LN(2)/25)*Calculateur!V165*Calculateur!X165*VLOOKUP('Données projet'!$B$9,Paramètres!$A$1:$I$89,3,0)*0.475*44/12</f>
        <v>0.33860508307943904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4.2388118030610933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68.693512800196345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96.263123361643096</v>
      </c>
      <c r="AO165" s="59">
        <f t="shared" si="144"/>
        <v>291.35824366856377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3.4166359146329506</v>
      </c>
      <c r="AV165" s="21">
        <f>EXP(-LN(2)/25)*AV164+(1-EXP(-LN(2)/25))/(LN(2)/25)*Calculateur!AQ165*Calculateur!AS165*VLOOKUP('Données projet'!$B$10,Paramètres!$A$1:$I$89,3,0)*0.475*44/12</f>
        <v>0.289656661252431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3.7062925758853815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68.693512800196345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103.69736557010637</v>
      </c>
      <c r="BJ165" s="59">
        <f t="shared" si="146"/>
        <v>312.86697521864392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3.6952977090888304</v>
      </c>
      <c r="BQ165" s="21">
        <f>EXP(-LN(2)/25)*BQ164+(1-EXP(-LN(2)/25))/(LN(2)/25)*Calculateur!BL165*Calculateur!BN165*VLOOKUP('Données projet'!$B$11,Paramètres!$A$1:$I$89,3,0)*0.475*44/12</f>
        <v>0.31328114071628127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4.0085788498051116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68.693512800196345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189.55118397415424</v>
      </c>
      <c r="CE165" s="59">
        <f t="shared" si="148"/>
        <v>456.28719984856014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3.5127590288186399</v>
      </c>
      <c r="CM165" s="21">
        <f>EXP(-LN(2)/2)*CM164+(1-EXP(-LN(2)/2))/(LN(2)/2)*CG165*CJ165*VLOOKUP('Données projet'!$B$12,Paramètres!$A$1:$I$89,3,0)*0.475*44/12</f>
        <v>6.0934880734095382E-22</v>
      </c>
      <c r="CN165" s="22">
        <f t="shared" si="172"/>
        <v>3.5127590288186399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68.693512800196345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68.693512800196345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68.693512800196345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68.693512800196345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68.693512800196345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68.693512800196345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4.45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16.316666666666666</v>
      </c>
      <c r="H166" s="66">
        <f t="shared" si="110"/>
        <v>191.4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68.716177432245132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-5.6843418860808015E-14</v>
      </c>
      <c r="O166" s="13">
        <f>N166*VLOOKUP('Données projet'!$B$9,Paramètres!$A$1:$I$89,3,0)*VLOOKUP('Données projet'!$B$9,Paramètres!$A$1:$I$89,5,0)</f>
        <v>-2.5006556825246661E-14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129.89493875503857</v>
      </c>
      <c r="T166" s="59">
        <f t="shared" si="142"/>
        <v>318.19554842399577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3.8237260450940171</v>
      </c>
      <c r="AA166" s="21">
        <f>EXP(-LN(2)/25)*AA165+(1-EXP(-LN(2)/25))/(LN(2)/25)*Calculateur!V166*Calculateur!X166*VLOOKUP('Données projet'!$B$9,Paramètres!$A$1:$I$89,3,0)*0.475*44/12</f>
        <v>0.32934590927616436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4.1530719543701817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68.716177432245132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96.263123361643096</v>
      </c>
      <c r="AO166" s="59">
        <f t="shared" si="144"/>
        <v>291.35824366856377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3.3496377682891341</v>
      </c>
      <c r="AV166" s="21">
        <f>EXP(-LN(2)/25)*AV165+(1-EXP(-LN(2)/25))/(LN(2)/25)*Calculateur!AQ166*Calculateur!AS166*VLOOKUP('Données projet'!$B$10,Paramètres!$A$1:$I$89,3,0)*0.475*44/12</f>
        <v>0.28173598461810145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3.6313737529072356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68.716177432245132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103.69736557010637</v>
      </c>
      <c r="BJ166" s="59">
        <f t="shared" si="146"/>
        <v>312.86697521864392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3.622835174922646</v>
      </c>
      <c r="BQ166" s="21">
        <f>EXP(-LN(2)/25)*BQ165+(1-EXP(-LN(2)/25))/(LN(2)/25)*Calculateur!BL166*Calculateur!BN166*VLOOKUP('Données projet'!$B$11,Paramètres!$A$1:$I$89,3,0)*0.475*44/12</f>
        <v>0.30471445144865539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3.9275496263713014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68.716177432245132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189.55118397415424</v>
      </c>
      <c r="CE166" s="59">
        <f t="shared" si="148"/>
        <v>456.28719984856014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3.4167024484476252</v>
      </c>
      <c r="CM166" s="21">
        <f>EXP(-LN(2)/2)*CM165+(1-EXP(-LN(2)/2))/(LN(2)/2)*CG166*CJ166*VLOOKUP('Données projet'!$B$12,Paramètres!$A$1:$I$89,3,0)*0.475*44/12</f>
        <v>4.3087467377872353E-22</v>
      </c>
      <c r="CN166" s="22">
        <f t="shared" si="172"/>
        <v>3.4167024484476252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68.716177432245132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68.716177432245132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68.716177432245132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68.716177432245132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68.716177432245132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68.716177432245132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4.45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16.316666666666666</v>
      </c>
      <c r="H167" s="66">
        <f t="shared" si="110"/>
        <v>191.4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68.738448883598409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-5.6843418860808015E-14</v>
      </c>
      <c r="O167" s="13">
        <f>N167*VLOOKUP('Données projet'!$B$9,Paramètres!$A$1:$I$89,3,0)*VLOOKUP('Données projet'!$B$9,Paramètres!$A$1:$I$89,5,0)</f>
        <v>-2.5006556825246661E-14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129.89493875503857</v>
      </c>
      <c r="T167" s="59">
        <f t="shared" si="142"/>
        <v>318.19554842399577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3.748745109592321</v>
      </c>
      <c r="AA167" s="21">
        <f>EXP(-LN(2)/25)*AA166+(1-EXP(-LN(2)/25))/(LN(2)/25)*Calculateur!V167*Calculateur!X167*VLOOKUP('Données projet'!$B$9,Paramètres!$A$1:$I$89,3,0)*0.475*44/12</f>
        <v>0.32033992806745903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4.0690850376597805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68.738448883598409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96.263123361643096</v>
      </c>
      <c r="AO167" s="59">
        <f t="shared" si="144"/>
        <v>291.35824366856377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3.2839534147302856</v>
      </c>
      <c r="AV167" s="21">
        <f>EXP(-LN(2)/25)*AV166+(1-EXP(-LN(2)/25))/(LN(2)/25)*Calculateur!AQ167*Calculateur!AS167*VLOOKUP('Données projet'!$B$10,Paramètres!$A$1:$I$89,3,0)*0.475*44/12</f>
        <v>0.27403189930286798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3.5579853140331537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68.738448883598409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103.69736557010637</v>
      </c>
      <c r="BJ167" s="59">
        <f t="shared" si="146"/>
        <v>312.86697521864392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3.5517935868536785</v>
      </c>
      <c r="BQ167" s="21">
        <f>EXP(-LN(2)/25)*BQ166+(1-EXP(-LN(2)/25))/(LN(2)/25)*Calculateur!BL167*Calculateur!BN167*VLOOKUP('Données projet'!$B$11,Paramètres!$A$1:$I$89,3,0)*0.475*44/12</f>
        <v>0.29638201874955533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3.8481756056032337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68.738448883598409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189.55118397415424</v>
      </c>
      <c r="CE167" s="59">
        <f t="shared" si="148"/>
        <v>456.28719984856014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3.3232725403182521</v>
      </c>
      <c r="CM167" s="21">
        <f>EXP(-LN(2)/2)*CM166+(1-EXP(-LN(2)/2))/(LN(2)/2)*CG167*CJ167*VLOOKUP('Données projet'!$B$12,Paramètres!$A$1:$I$89,3,0)*0.475*44/12</f>
        <v>3.0467440367047691E-22</v>
      </c>
      <c r="CN167" s="22">
        <f t="shared" si="172"/>
        <v>3.3232725403182521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68.738448883598409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68.738448883598409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68.738448883598409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68.738448883598409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68.738448883598409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68.738448883598409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4.45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16.316666666666666</v>
      </c>
      <c r="H168" s="66">
        <f t="shared" si="110"/>
        <v>191.4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68.760333975062196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-5.6843418860808015E-14</v>
      </c>
      <c r="O168" s="13">
        <f>N168*VLOOKUP('Données projet'!$B$9,Paramètres!$A$1:$I$89,3,0)*VLOOKUP('Données projet'!$B$9,Paramètres!$A$1:$I$89,5,0)</f>
        <v>-2.5006556825246661E-14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129.89493875503857</v>
      </c>
      <c r="T168" s="59">
        <f t="shared" si="142"/>
        <v>318.19554842399577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3.6752345045019585</v>
      </c>
      <c r="AA168" s="21">
        <f>EXP(-LN(2)/25)*AA167+(1-EXP(-LN(2)/25))/(LN(2)/25)*Calculateur!V168*Calculateur!X168*VLOOKUP('Données projet'!$B$9,Paramètres!$A$1:$I$89,3,0)*0.475*44/12</f>
        <v>0.3115802158885097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3.986814720390468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68.760333975062196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96.263123361643096</v>
      </c>
      <c r="AO168" s="59">
        <f t="shared" si="144"/>
        <v>291.35824366856377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3.2195570912812266</v>
      </c>
      <c r="AV168" s="21">
        <f>EXP(-LN(2)/25)*AV167+(1-EXP(-LN(2)/25))/(LN(2)/25)*Calculateur!AQ168*Calculateur!AS168*VLOOKUP('Données projet'!$B$10,Paramètres!$A$1:$I$89,3,0)*0.475*44/12</f>
        <v>0.26653848260571977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3.4860955738869466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68.760333975062196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103.69736557010637</v>
      </c>
      <c r="BJ168" s="59">
        <f t="shared" si="146"/>
        <v>312.86697521864392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3.4821450809956538</v>
      </c>
      <c r="BQ168" s="21">
        <f>EXP(-LN(2)/25)*BQ167+(1-EXP(-LN(2)/25))/(LN(2)/25)*Calculateur!BL168*Calculateur!BN168*VLOOKUP('Données projet'!$B$11,Paramètres!$A$1:$I$89,3,0)*0.475*44/12</f>
        <v>0.28827743686079577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3.7704225178564497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68.760333975062196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189.55118397415424</v>
      </c>
      <c r="CE168" s="59">
        <f t="shared" si="148"/>
        <v>456.28719984856014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3.232397477939942</v>
      </c>
      <c r="CM168" s="21">
        <f>EXP(-LN(2)/2)*CM167+(1-EXP(-LN(2)/2))/(LN(2)/2)*CG168*CJ168*VLOOKUP('Données projet'!$B$12,Paramètres!$A$1:$I$89,3,0)*0.475*44/12</f>
        <v>2.1543733688936177E-22</v>
      </c>
      <c r="CN168" s="22">
        <f t="shared" si="172"/>
        <v>3.232397477939942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68.760333975062196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68.760333975062196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68.760333975062196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68.760333975062196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68.760333975062196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68.760333975062196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4.45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16.316666666666666</v>
      </c>
      <c r="H169" s="66">
        <f t="shared" si="110"/>
        <v>191.4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68.781839409116841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-5.6843418860808015E-14</v>
      </c>
      <c r="O169" s="13">
        <f>N169*VLOOKUP('Données projet'!$B$9,Paramètres!$A$1:$I$89,3,0)*VLOOKUP('Données projet'!$B$9,Paramètres!$A$1:$I$89,5,0)</f>
        <v>-2.5006556825246661E-14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129.89493875503857</v>
      </c>
      <c r="T169" s="59">
        <f t="shared" si="142"/>
        <v>318.19554842399577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3.6031653975403763</v>
      </c>
      <c r="AA169" s="21">
        <f>EXP(-LN(2)/25)*AA168+(1-EXP(-LN(2)/25))/(LN(2)/25)*Calculateur!V169*Calculateur!X169*VLOOKUP('Données projet'!$B$9,Paramètres!$A$1:$I$89,3,0)*0.475*44/12</f>
        <v>0.303060038499747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3.9062254360401232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68.781839409116841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96.263123361643096</v>
      </c>
      <c r="AO169" s="59">
        <f t="shared" si="144"/>
        <v>291.35824366856377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3.1564235404571246</v>
      </c>
      <c r="AV169" s="21">
        <f>EXP(-LN(2)/25)*AV168+(1-EXP(-LN(2)/25))/(LN(2)/25)*Calculateur!AQ169*Calculateur!AS169*VLOOKUP('Données projet'!$B$10,Paramètres!$A$1:$I$89,3,0)*0.475*44/12</f>
        <v>0.25924997378221676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3.4156735142393413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68.781839409116841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103.69736557010637</v>
      </c>
      <c r="BJ169" s="59">
        <f t="shared" si="146"/>
        <v>312.86697521864392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3.4138623398561108</v>
      </c>
      <c r="BQ169" s="21">
        <f>EXP(-LN(2)/25)*BQ168+(1-EXP(-LN(2)/25))/(LN(2)/25)*Calculateur!BL169*Calculateur!BN169*VLOOKUP('Données projet'!$B$11,Paramètres!$A$1:$I$89,3,0)*0.475*44/12</f>
        <v>0.28039447518998578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3.6942568150460966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68.781839409116841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189.55118397415424</v>
      </c>
      <c r="CE169" s="59">
        <f t="shared" si="148"/>
        <v>456.28719984856014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3.1440073989212789</v>
      </c>
      <c r="CM169" s="21">
        <f>EXP(-LN(2)/2)*CM168+(1-EXP(-LN(2)/2))/(LN(2)/2)*CG169*CJ169*VLOOKUP('Données projet'!$B$12,Paramètres!$A$1:$I$89,3,0)*0.475*44/12</f>
        <v>1.5233720183523845E-22</v>
      </c>
      <c r="CN169" s="22">
        <f t="shared" si="172"/>
        <v>3.1440073989212789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68.781839409116841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68.781839409116841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68.781839409116841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68.781839409116841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68.781839409116841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68.781839409116841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4.45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16.316666666666666</v>
      </c>
      <c r="H170" s="66">
        <f t="shared" si="110"/>
        <v>191.4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68.802971771969581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-5.6843418860808015E-14</v>
      </c>
      <c r="O170" s="13">
        <f>N170*VLOOKUP('Données projet'!$B$9,Paramètres!$A$1:$I$89,3,0)*VLOOKUP('Données projet'!$B$9,Paramètres!$A$1:$I$89,5,0)</f>
        <v>-2.5006556825246661E-14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129.89493875503857</v>
      </c>
      <c r="T170" s="59">
        <f t="shared" si="142"/>
        <v>318.19554842399577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3.5325095218084956</v>
      </c>
      <c r="AA170" s="21">
        <f>EXP(-LN(2)/25)*AA169+(1-EXP(-LN(2)/25))/(LN(2)/25)*Calculateur!V170*Calculateur!X170*VLOOKUP('Données projet'!$B$9,Paramètres!$A$1:$I$89,3,0)*0.475*44/12</f>
        <v>0.29477284580973662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3.8272823676182322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68.802971771969581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96.263123361643096</v>
      </c>
      <c r="AO170" s="59">
        <f t="shared" si="144"/>
        <v>291.35824366856377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3.0945280000570197</v>
      </c>
      <c r="AV170" s="21">
        <f>EXP(-LN(2)/25)*AV169+(1-EXP(-LN(2)/25))/(LN(2)/25)*Calculateur!AQ170*Calculateur!AS170*VLOOKUP('Données projet'!$B$10,Paramètres!$A$1:$I$89,3,0)*0.475*44/12</f>
        <v>0.25216076961577844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3.3466887696727983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68.802971771969581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103.69736557010637</v>
      </c>
      <c r="BJ170" s="59">
        <f t="shared" si="146"/>
        <v>312.86697521864392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3.3469185816219547</v>
      </c>
      <c r="BQ170" s="21">
        <f>EXP(-LN(2)/25)*BQ169+(1-EXP(-LN(2)/25))/(LN(2)/25)*Calculateur!BL170*Calculateur!BN170*VLOOKUP('Données projet'!$B$11,Paramètres!$A$1:$I$89,3,0)*0.475*44/12</f>
        <v>0.27272707352061104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3.6196456551425658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68.802971771969581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189.55118397415424</v>
      </c>
      <c r="CE170" s="59">
        <f t="shared" si="148"/>
        <v>456.28719984856014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3.0580343512616133</v>
      </c>
      <c r="CM170" s="21">
        <f>EXP(-LN(2)/2)*CM169+(1-EXP(-LN(2)/2))/(LN(2)/2)*CG170*CJ170*VLOOKUP('Données projet'!$B$12,Paramètres!$A$1:$I$89,3,0)*0.475*44/12</f>
        <v>1.0771866844468088E-22</v>
      </c>
      <c r="CN170" s="22">
        <f t="shared" si="172"/>
        <v>3.0580343512616133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68.802971771969581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68.802971771969581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68.802971771969581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68.802971771969581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68.802971771969581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68.802971771969581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4.45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16.316666666666666</v>
      </c>
      <c r="H171" s="66">
        <f t="shared" si="110"/>
        <v>191.4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68.823737535571709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-5.6843418860808015E-14</v>
      </c>
      <c r="O171" s="13">
        <f>N171*VLOOKUP('Données projet'!$B$9,Paramètres!$A$1:$I$89,3,0)*VLOOKUP('Données projet'!$B$9,Paramètres!$A$1:$I$89,5,0)</f>
        <v>-2.5006556825246661E-14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129.89493875503857</v>
      </c>
      <c r="T171" s="59">
        <f t="shared" si="142"/>
        <v>318.19554842399577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3.4632391647038885</v>
      </c>
      <c r="AA171" s="21">
        <f>EXP(-LN(2)/25)*AA170+(1-EXP(-LN(2)/25))/(LN(2)/25)*Calculateur!V171*Calculateur!X171*VLOOKUP('Données projet'!$B$9,Paramètres!$A$1:$I$89,3,0)*0.475*44/12</f>
        <v>0.28671226683963913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3.7499514315435274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68.823737535571709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96.263123361643096</v>
      </c>
      <c r="AO171" s="59">
        <f t="shared" si="144"/>
        <v>291.35824366856377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3.033846193451609</v>
      </c>
      <c r="AV171" s="21">
        <f>EXP(-LN(2)/25)*AV170+(1-EXP(-LN(2)/25))/(LN(2)/25)*Calculateur!AQ171*Calculateur!AS171*VLOOKUP('Données projet'!$B$10,Paramètres!$A$1:$I$89,3,0)*0.475*44/12</f>
        <v>0.24526542011007643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3.2791116135616853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68.823737535571709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103.69736557010637</v>
      </c>
      <c r="BJ171" s="59">
        <f t="shared" si="146"/>
        <v>312.86697521864392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3.2812875496551097</v>
      </c>
      <c r="BQ171" s="21">
        <f>EXP(-LN(2)/25)*BQ170+(1-EXP(-LN(2)/25))/(LN(2)/25)*Calculateur!BL171*Calculateur!BN171*VLOOKUP('Données projet'!$B$11,Paramètres!$A$1:$I$89,3,0)*0.475*44/12</f>
        <v>0.26526933735309643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3.5465568870082063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68.823737535571709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189.55118397415424</v>
      </c>
      <c r="CE171" s="59">
        <f t="shared" si="148"/>
        <v>456.28719984856014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2.974412241111327</v>
      </c>
      <c r="CM171" s="21">
        <f>EXP(-LN(2)/2)*CM170+(1-EXP(-LN(2)/2))/(LN(2)/2)*CG171*CJ171*VLOOKUP('Données projet'!$B$12,Paramètres!$A$1:$I$89,3,0)*0.475*44/12</f>
        <v>7.6168600917619227E-23</v>
      </c>
      <c r="CN171" s="22">
        <f t="shared" si="172"/>
        <v>2.974412241111327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68.823737535571709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68.823737535571709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68.823737535571709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68.823737535571709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68.823737535571709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68.823737535571709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4.45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16.316666666666666</v>
      </c>
      <c r="H172" s="66">
        <f t="shared" si="110"/>
        <v>191.4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68.84414305960064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-5.6843418860808015E-14</v>
      </c>
      <c r="O172" s="13">
        <f>N172*VLOOKUP('Données projet'!$B$9,Paramètres!$A$1:$I$89,3,0)*VLOOKUP('Données projet'!$B$9,Paramètres!$A$1:$I$89,5,0)</f>
        <v>-2.5006556825246661E-14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129.89493875503857</v>
      </c>
      <c r="T172" s="59">
        <f t="shared" si="142"/>
        <v>318.19554842399577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3.3953271570513568</v>
      </c>
      <c r="AA172" s="21">
        <f>EXP(-LN(2)/25)*AA171+(1-EXP(-LN(2)/25))/(LN(2)/25)*Calculateur!V172*Calculateur!X172*VLOOKUP('Données projet'!$B$9,Paramètres!$A$1:$I$89,3,0)*0.475*44/12</f>
        <v>0.2788721048253664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3.6741992618767232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68.84414305960064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96.263123361643096</v>
      </c>
      <c r="AO172" s="59">
        <f t="shared" si="144"/>
        <v>291.35824366856377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2.974354320061483</v>
      </c>
      <c r="AV172" s="21">
        <f>EXP(-LN(2)/25)*AV171+(1-EXP(-LN(2)/25))/(LN(2)/25)*Calculateur!AQ172*Calculateur!AS172*VLOOKUP('Données projet'!$B$10,Paramètres!$A$1:$I$89,3,0)*0.475*44/12</f>
        <v>0.23855862429921851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3.2129129443607014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68.84414305960064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103.69736557010637</v>
      </c>
      <c r="BJ172" s="59">
        <f t="shared" si="146"/>
        <v>312.86697521864392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3.2169435021941575</v>
      </c>
      <c r="BQ172" s="21">
        <f>EXP(-LN(2)/25)*BQ171+(1-EXP(-LN(2)/25))/(LN(2)/25)*Calculateur!BL172*Calculateur!BN172*VLOOKUP('Données projet'!$B$11,Paramètres!$A$1:$I$89,3,0)*0.475*44/12</f>
        <v>0.25801553337326782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3.4749590355674251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68.84414305960064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189.55118397415424</v>
      </c>
      <c r="CE172" s="59">
        <f t="shared" si="148"/>
        <v>456.28719984856014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2.893076781960596</v>
      </c>
      <c r="CM172" s="21">
        <f>EXP(-LN(2)/2)*CM171+(1-EXP(-LN(2)/2))/(LN(2)/2)*CG172*CJ172*VLOOKUP('Données projet'!$B$12,Paramètres!$A$1:$I$89,3,0)*0.475*44/12</f>
        <v>5.3859334222340442E-23</v>
      </c>
      <c r="CN172" s="22">
        <f t="shared" si="172"/>
        <v>2.893076781960596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68.84414305960064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68.84414305960064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68.84414305960064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68.84414305960064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68.84414305960064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68.84414305960064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4.45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16.316666666666666</v>
      </c>
      <c r="H173" s="66">
        <f t="shared" si="110"/>
        <v>191.4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68.864194593407561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-5.6843418860808015E-14</v>
      </c>
      <c r="O173" s="13">
        <f>N173*VLOOKUP('Données projet'!$B$9,Paramètres!$A$1:$I$89,3,0)*VLOOKUP('Données projet'!$B$9,Paramètres!$A$1:$I$89,5,0)</f>
        <v>-2.5006556825246661E-14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129.89493875503857</v>
      </c>
      <c r="T173" s="59">
        <f t="shared" si="142"/>
        <v>318.19554842399577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3.3287468624466565</v>
      </c>
      <c r="AA173" s="21">
        <f>EXP(-LN(2)/25)*AA172+(1-EXP(-LN(2)/25))/(LN(2)/25)*Calculateur!V173*Calculateur!X173*VLOOKUP('Données projet'!$B$9,Paramètres!$A$1:$I$89,3,0)*0.475*44/12</f>
        <v>0.27124633245367014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3.5999931949003265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68.864194593407561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96.263123361643096</v>
      </c>
      <c r="AO173" s="59">
        <f t="shared" si="144"/>
        <v>291.35824366856377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2.9160290460220777</v>
      </c>
      <c r="AV173" s="21">
        <f>EXP(-LN(2)/25)*AV172+(1-EXP(-LN(2)/25))/(LN(2)/25)*Calculateur!AQ173*Calculateur!AS173*VLOOKUP('Données projet'!$B$10,Paramètres!$A$1:$I$89,3,0)*0.475*44/12</f>
        <v>0.23203522617250355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3.1480642721945813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68.864194593407561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103.69736557010637</v>
      </c>
      <c r="BJ173" s="59">
        <f t="shared" si="146"/>
        <v>312.86697521864392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3.1538612022579211</v>
      </c>
      <c r="BQ173" s="21">
        <f>EXP(-LN(2)/25)*BQ172+(1-EXP(-LN(2)/25))/(LN(2)/25)*Calculateur!BL173*Calculateur!BN173*VLOOKUP('Données projet'!$B$11,Paramètres!$A$1:$I$89,3,0)*0.475*44/12</f>
        <v>0.25096008504472861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3.4048212873026498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68.864194593407561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189.55118397415424</v>
      </c>
      <c r="CE173" s="59">
        <f t="shared" si="148"/>
        <v>456.28719984856014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2.8139654452175877</v>
      </c>
      <c r="CM173" s="21">
        <f>EXP(-LN(2)/2)*CM172+(1-EXP(-LN(2)/2))/(LN(2)/2)*CG173*CJ173*VLOOKUP('Données projet'!$B$12,Paramètres!$A$1:$I$89,3,0)*0.475*44/12</f>
        <v>3.8084300458809614E-23</v>
      </c>
      <c r="CN173" s="22">
        <f t="shared" si="172"/>
        <v>2.8139654452175877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68.864194593407561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68.864194593407561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68.864194593407561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68.864194593407561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68.864194593407561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68.864194593407561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4.45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16.316666666666666</v>
      </c>
      <c r="H174" s="66">
        <f t="shared" si="110"/>
        <v>191.4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68.883898277931465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-5.6843418860808015E-14</v>
      </c>
      <c r="O174" s="13">
        <f>N174*VLOOKUP('Données projet'!$B$9,Paramètres!$A$1:$I$89,3,0)*VLOOKUP('Données projet'!$B$9,Paramètres!$A$1:$I$89,5,0)</f>
        <v>-2.5006556825246661E-14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129.89493875503857</v>
      </c>
      <c r="T174" s="59">
        <f t="shared" si="142"/>
        <v>318.19554842399577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3.2634721668091848</v>
      </c>
      <c r="AA174" s="21">
        <f>EXP(-LN(2)/25)*AA173+(1-EXP(-LN(2)/25))/(LN(2)/25)*Calculateur!V174*Calculateur!X174*VLOOKUP('Données projet'!$B$9,Paramètres!$A$1:$I$89,3,0)*0.475*44/12</f>
        <v>0.26382908722849985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3.5273012540376847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68.883898277931465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96.263123361643096</v>
      </c>
      <c r="AO174" s="59">
        <f t="shared" si="144"/>
        <v>291.35824366856377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2.8588474950316805</v>
      </c>
      <c r="AV174" s="21">
        <f>EXP(-LN(2)/25)*AV173+(1-EXP(-LN(2)/25))/(LN(2)/25)*Calculateur!AQ174*Calculateur!AS174*VLOOKUP('Données projet'!$B$10,Paramètres!$A$1:$I$89,3,0)*0.475*44/12</f>
        <v>0.22569021071061421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3.0845377057422945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68.883898277931465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103.69736557010637</v>
      </c>
      <c r="BJ174" s="59">
        <f t="shared" si="146"/>
        <v>312.86697521864392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3.0920159077470304</v>
      </c>
      <c r="BQ174" s="21">
        <f>EXP(-LN(2)/25)*BQ173+(1-EXP(-LN(2)/25))/(LN(2)/25)*Calculateur!BL174*Calculateur!BN174*VLOOKUP('Données projet'!$B$11,Paramètres!$A$1:$I$89,3,0)*0.475*44/12</f>
        <v>0.24409756832176321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3.3361134760687934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68.883898277931465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189.55118397415424</v>
      </c>
      <c r="CE174" s="59">
        <f t="shared" si="148"/>
        <v>456.28719984856014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2.7370174121381012</v>
      </c>
      <c r="CM174" s="21">
        <f>EXP(-LN(2)/2)*CM173+(1-EXP(-LN(2)/2))/(LN(2)/2)*CG174*CJ174*VLOOKUP('Données projet'!$B$12,Paramètres!$A$1:$I$89,3,0)*0.475*44/12</f>
        <v>2.6929667111170221E-23</v>
      </c>
      <c r="CN174" s="22">
        <f t="shared" si="172"/>
        <v>2.7370174121381012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68.883898277931465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68.883898277931465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68.883898277931465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68.883898277931465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68.883898277931465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68.883898277931465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4.45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16.316666666666666</v>
      </c>
      <c r="H175" s="66">
        <f t="shared" si="110"/>
        <v>191.4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68.903260147579715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-5.6843418860808015E-14</v>
      </c>
      <c r="O175" s="13">
        <f>N175*VLOOKUP('Données projet'!$B$9,Paramètres!$A$1:$I$89,3,0)*VLOOKUP('Données projet'!$B$9,Paramètres!$A$1:$I$89,5,0)</f>
        <v>-2.5006556825246661E-14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129.89493875503857</v>
      </c>
      <c r="T175" s="59">
        <f t="shared" si="142"/>
        <v>318.19554842399577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3.1994774681395306</v>
      </c>
      <c r="AA175" s="21">
        <f>EXP(-LN(2)/25)*AA174+(1-EXP(-LN(2)/25))/(LN(2)/25)*Calculateur!V175*Calculateur!X175*VLOOKUP('Données projet'!$B$9,Paramètres!$A$1:$I$89,3,0)*0.475*44/12</f>
        <v>0.25661466696406782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3.4560921351035985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68.903260147579715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96.263123361643096</v>
      </c>
      <c r="AO175" s="59">
        <f t="shared" si="144"/>
        <v>291.35824366856377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2.8027872393789028</v>
      </c>
      <c r="AV175" s="21">
        <f>EXP(-LN(2)/25)*AV174+(1-EXP(-LN(2)/25))/(LN(2)/25)*Calculateur!AQ175*Calculateur!AS175*VLOOKUP('Données projet'!$B$10,Paramètres!$A$1:$I$89,3,0)*0.475*44/12</f>
        <v>0.2195187000302001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3.0223059394091027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68.903260147579715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103.69736557010637</v>
      </c>
      <c r="BJ175" s="59">
        <f t="shared" si="146"/>
        <v>312.86697521864392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3.0313833617395933</v>
      </c>
      <c r="BQ175" s="21">
        <f>EXP(-LN(2)/25)*BQ174+(1-EXP(-LN(2)/25))/(LN(2)/25)*Calculateur!BL175*Calculateur!BN175*VLOOKUP('Données projet'!$B$11,Paramètres!$A$1:$I$89,3,0)*0.475*44/12</f>
        <v>0.23742270747947136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3.2688060692190648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68.903260147579715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189.55118397415424</v>
      </c>
      <c r="CE175" s="59">
        <f t="shared" si="148"/>
        <v>456.28719984856014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2.6621735270696947</v>
      </c>
      <c r="CM175" s="21">
        <f>EXP(-LN(2)/2)*CM174+(1-EXP(-LN(2)/2))/(LN(2)/2)*CG175*CJ175*VLOOKUP('Données projet'!$B$12,Paramètres!$A$1:$I$89,3,0)*0.475*44/12</f>
        <v>1.9042150229404807E-23</v>
      </c>
      <c r="CN175" s="22">
        <f t="shared" si="172"/>
        <v>2.6621735270696947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68.903260147579715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68.903260147579715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68.903260147579715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68.903260147579715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68.903260147579715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68.903260147579715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4.45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16.316666666666666</v>
      </c>
      <c r="H176" s="66">
        <f t="shared" si="110"/>
        <v>191.4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68.922286132076223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-5.6843418860808015E-14</v>
      </c>
      <c r="O176" s="13">
        <f>N176*VLOOKUP('Données projet'!$B$9,Paramètres!$A$1:$I$89,3,0)*VLOOKUP('Données projet'!$B$9,Paramètres!$A$1:$I$89,5,0)</f>
        <v>-2.5006556825246661E-14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129.89493875503857</v>
      </c>
      <c r="T176" s="59">
        <f t="shared" si="142"/>
        <v>318.19554842399577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3.1367376664778766</v>
      </c>
      <c r="AA176" s="21">
        <f>EXP(-LN(2)/25)*AA175+(1-EXP(-LN(2)/25))/(LN(2)/25)*Calculateur!V176*Calculateur!X176*VLOOKUP('Données projet'!$B$9,Paramètres!$A$1:$I$89,3,0)*0.475*44/12</f>
        <v>0.24959752540115654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3.386335191879033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68.922286132076223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96.263123361643096</v>
      </c>
      <c r="AO176" s="59">
        <f t="shared" si="144"/>
        <v>291.35824366856377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2.7478262911460964</v>
      </c>
      <c r="AV176" s="21">
        <f>EXP(-LN(2)/25)*AV175+(1-EXP(-LN(2)/25))/(LN(2)/25)*Calculateur!AQ176*Calculateur!AS176*VLOOKUP('Données projet'!$B$10,Paramètres!$A$1:$I$89,3,0)*0.475*44/12</f>
        <v>0.21351594963388756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2.9613422407799841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68.922286132076223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103.69736557010637</v>
      </c>
      <c r="BJ176" s="59">
        <f t="shared" si="146"/>
        <v>312.86697521864392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2.9719397829771608</v>
      </c>
      <c r="BQ176" s="21">
        <f>EXP(-LN(2)/25)*BQ175+(1-EXP(-LN(2)/25))/(LN(2)/25)*Calculateur!BL176*Calculateur!BN176*VLOOKUP('Données projet'!$B$11,Paramètres!$A$1:$I$89,3,0)*0.475*44/12</f>
        <v>0.23093037105792766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3.2028701540350886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68.922286132076223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189.55118397415424</v>
      </c>
      <c r="CE176" s="59">
        <f t="shared" si="148"/>
        <v>456.28719984856014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2.5893762519743526</v>
      </c>
      <c r="CM176" s="21">
        <f>EXP(-LN(2)/2)*CM175+(1-EXP(-LN(2)/2))/(LN(2)/2)*CG176*CJ176*VLOOKUP('Données projet'!$B$12,Paramètres!$A$1:$I$89,3,0)*0.475*44/12</f>
        <v>1.346483355558511E-23</v>
      </c>
      <c r="CN176" s="22">
        <f t="shared" si="172"/>
        <v>2.5893762519743526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68.922286132076223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68.922286132076223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68.922286132076223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68.922286132076223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68.922286132076223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68.922286132076223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4.45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16.316666666666666</v>
      </c>
      <c r="H177" s="66">
        <f t="shared" si="110"/>
        <v>191.4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68.940982058277456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-5.6843418860808015E-14</v>
      </c>
      <c r="O177" s="13">
        <f>N177*VLOOKUP('Données projet'!$B$9,Paramètres!$A$1:$I$89,3,0)*VLOOKUP('Données projet'!$B$9,Paramètres!$A$1:$I$89,5,0)</f>
        <v>-2.5006556825246661E-14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129.89493875503857</v>
      </c>
      <c r="T177" s="59">
        <f t="shared" si="142"/>
        <v>318.19554842399577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3.0752281540593072</v>
      </c>
      <c r="AA177" s="21">
        <f>EXP(-LN(2)/25)*AA176+(1-EXP(-LN(2)/25))/(LN(2)/25)*Calculateur!V177*Calculateur!X177*VLOOKUP('Données projet'!$B$9,Paramètres!$A$1:$I$89,3,0)*0.475*44/12</f>
        <v>0.24277226794329851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3.3180004220026058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68.940982058277456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96.263123361643096</v>
      </c>
      <c r="AO177" s="59">
        <f t="shared" si="144"/>
        <v>291.35824366856377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2.6939430935852671</v>
      </c>
      <c r="AV177" s="21">
        <f>EXP(-LN(2)/25)*AV176+(1-EXP(-LN(2)/25))/(LN(2)/25)*Calculateur!AQ177*Calculateur!AS177*VLOOKUP('Données projet'!$B$10,Paramètres!$A$1:$I$89,3,0)*0.475*44/12</f>
        <v>0.20767734476283312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2.9016204383481004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68.940982058277456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103.69736557010637</v>
      </c>
      <c r="BJ177" s="59">
        <f t="shared" si="146"/>
        <v>312.86697521864392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2.9136618565372565</v>
      </c>
      <c r="BQ177" s="21">
        <f>EXP(-LN(2)/25)*BQ176+(1-EXP(-LN(2)/25))/(LN(2)/25)*Calculateur!BL177*Calculateur!BN177*VLOOKUP('Données projet'!$B$11,Paramètres!$A$1:$I$89,3,0)*0.475*44/12</f>
        <v>0.22461556791724821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3.1382774244545049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68.940982058277456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189.55118397415424</v>
      </c>
      <c r="CE177" s="59">
        <f t="shared" si="148"/>
        <v>456.28719984856014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2.5185696221947351</v>
      </c>
      <c r="CM177" s="21">
        <f>EXP(-LN(2)/2)*CM176+(1-EXP(-LN(2)/2))/(LN(2)/2)*CG177*CJ177*VLOOKUP('Données projet'!$B$12,Paramètres!$A$1:$I$89,3,0)*0.475*44/12</f>
        <v>9.5210751147024034E-24</v>
      </c>
      <c r="CN177" s="22">
        <f t="shared" si="172"/>
        <v>2.5185696221947351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68.940982058277456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68.940982058277456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68.940982058277456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68.940982058277456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68.940982058277456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68.940982058277456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4.45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16.316666666666666</v>
      </c>
      <c r="H178" s="66">
        <f t="shared" si="110"/>
        <v>191.4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68.959353651956903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-5.6843418860808015E-14</v>
      </c>
      <c r="O178" s="13">
        <f>N178*VLOOKUP('Données projet'!$B$9,Paramètres!$A$1:$I$89,3,0)*VLOOKUP('Données projet'!$B$9,Paramètres!$A$1:$I$89,5,0)</f>
        <v>-2.5006556825246661E-14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129.89493875503857</v>
      </c>
      <c r="T178" s="59">
        <f t="shared" si="142"/>
        <v>318.19554842399577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3.0149248056621678</v>
      </c>
      <c r="AA178" s="21">
        <f>EXP(-LN(2)/25)*AA177+(1-EXP(-LN(2)/25))/(LN(2)/25)*Calculateur!V178*Calculateur!X178*VLOOKUP('Données projet'!$B$9,Paramètres!$A$1:$I$89,3,0)*0.475*44/12</f>
        <v>0.23613364750955029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3.2510584531717179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68.959353651956903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96.263123361643096</v>
      </c>
      <c r="AO178" s="59">
        <f t="shared" si="144"/>
        <v>291.35824366856377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2.6411165126631002</v>
      </c>
      <c r="AV178" s="21">
        <f>EXP(-LN(2)/25)*AV177+(1-EXP(-LN(2)/25))/(LN(2)/25)*Calculateur!AQ178*Calculateur!AS178*VLOOKUP('Données projet'!$B$10,Paramètres!$A$1:$I$89,3,0)*0.475*44/12</f>
        <v>0.20199839684901655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2.8431149095121167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68.959353651956903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103.69736557010637</v>
      </c>
      <c r="BJ178" s="59">
        <f t="shared" si="146"/>
        <v>312.86697521864392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2.8565267246888135</v>
      </c>
      <c r="BQ178" s="21">
        <f>EXP(-LN(2)/25)*BQ177+(1-EXP(-LN(2)/25))/(LN(2)/25)*Calculateur!BL178*Calculateur!BN178*VLOOKUP('Données projet'!$B$11,Paramètres!$A$1:$I$89,3,0)*0.475*44/12</f>
        <v>0.21847344340053171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3.0750001680893453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68.959353651956903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189.55118397415424</v>
      </c>
      <c r="CE178" s="59">
        <f t="shared" si="148"/>
        <v>456.28719984856014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2.4496992034299998</v>
      </c>
      <c r="CM178" s="21">
        <f>EXP(-LN(2)/2)*CM177+(1-EXP(-LN(2)/2))/(LN(2)/2)*CG178*CJ178*VLOOKUP('Données projet'!$B$12,Paramètres!$A$1:$I$89,3,0)*0.475*44/12</f>
        <v>6.7324167777925552E-24</v>
      </c>
      <c r="CN178" s="22">
        <f t="shared" si="172"/>
        <v>2.4496992034299998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68.959353651956903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68.959353651956903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68.959353651956903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68.959353651956903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68.959353651956903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68.959353651956903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4.45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16.316666666666666</v>
      </c>
      <c r="H179" s="66">
        <f t="shared" si="110"/>
        <v>191.4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68.977406539558771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-5.6843418860808015E-14</v>
      </c>
      <c r="O179" s="13">
        <f>N179*VLOOKUP('Données projet'!$B$9,Paramètres!$A$1:$I$89,3,0)*VLOOKUP('Données projet'!$B$9,Paramètres!$A$1:$I$89,5,0)</f>
        <v>-2.5006556825246661E-14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129.89493875503857</v>
      </c>
      <c r="T179" s="59">
        <f t="shared" si="142"/>
        <v>318.19554842399577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2.9558039691456854</v>
      </c>
      <c r="AA179" s="21">
        <f>EXP(-LN(2)/25)*AA178+(1-EXP(-LN(2)/25))/(LN(2)/25)*Calculateur!V179*Calculateur!X179*VLOOKUP('Données projet'!$B$9,Paramètres!$A$1:$I$89,3,0)*0.475*44/12</f>
        <v>0.22967656050067281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3.1854805296463584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68.977406539558771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96.263123361643096</v>
      </c>
      <c r="AO179" s="59">
        <f t="shared" si="144"/>
        <v>291.35824366856377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2.5893258287717842</v>
      </c>
      <c r="AV179" s="21">
        <f>EXP(-LN(2)/25)*AV178+(1-EXP(-LN(2)/25))/(LN(2)/25)*Calculateur!AQ179*Calculateur!AS179*VLOOKUP('Données projet'!$B$10,Paramètres!$A$1:$I$89,3,0)*0.475*44/12</f>
        <v>0.19647474006454618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2.7858005688363305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68.977406539558771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103.69736557010637</v>
      </c>
      <c r="BJ179" s="59">
        <f t="shared" si="146"/>
        <v>312.86697521864392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2.8005119779269294</v>
      </c>
      <c r="BQ179" s="21">
        <f>EXP(-LN(2)/25)*BQ178+(1-EXP(-LN(2)/25))/(LN(2)/25)*Calculateur!BL179*Calculateur!BN179*VLOOKUP('Données projet'!$B$11,Paramètres!$A$1:$I$89,3,0)*0.475*44/12</f>
        <v>0.2124992756017251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3.0130112535286546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68.977406539558771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189.55118397415424</v>
      </c>
      <c r="CE179" s="59">
        <f t="shared" si="148"/>
        <v>456.28719984856014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2.382712049888124</v>
      </c>
      <c r="CM179" s="21">
        <f>EXP(-LN(2)/2)*CM178+(1-EXP(-LN(2)/2))/(LN(2)/2)*CG179*CJ179*VLOOKUP('Données projet'!$B$12,Paramètres!$A$1:$I$89,3,0)*0.475*44/12</f>
        <v>4.7605375573512017E-24</v>
      </c>
      <c r="CN179" s="22">
        <f t="shared" si="172"/>
        <v>2.382712049888124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68.977406539558771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68.977406539558771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68.977406539558771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68.977406539558771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68.977406539558771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68.977406539558771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4.45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16.316666666666666</v>
      </c>
      <c r="H180" s="66">
        <f t="shared" si="110"/>
        <v>191.4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68.995146249920936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-5.6843418860808015E-14</v>
      </c>
      <c r="O180" s="13">
        <f>N180*VLOOKUP('Données projet'!$B$9,Paramètres!$A$1:$I$89,3,0)*VLOOKUP('Données projet'!$B$9,Paramètres!$A$1:$I$89,5,0)</f>
        <v>-2.5006556825246661E-14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129.89493875503857</v>
      </c>
      <c r="T180" s="59">
        <f t="shared" si="142"/>
        <v>318.19554842399577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2.8978424561731417</v>
      </c>
      <c r="AA180" s="21">
        <f>EXP(-LN(2)/25)*AA179+(1-EXP(-LN(2)/25))/(LN(2)/25)*Calculateur!V180*Calculateur!X180*VLOOKUP('Données projet'!$B$9,Paramètres!$A$1:$I$89,3,0)*0.475*44/12</f>
        <v>0.22339604287561654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3.1212384990487583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68.995146249920936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96.263123361643096</v>
      </c>
      <c r="AO180" s="59">
        <f t="shared" si="144"/>
        <v>291.35824366856377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2.5385507286023787</v>
      </c>
      <c r="AV180" s="21">
        <f>EXP(-LN(2)/25)*AV179+(1-EXP(-LN(2)/25))/(LN(2)/25)*Calculateur!AQ180*Calculateur!AS180*VLOOKUP('Données projet'!$B$10,Paramètres!$A$1:$I$89,3,0)*0.475*44/12</f>
        <v>0.19110212796532364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2.7296528565677023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68.995146249920936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103.69736557010637</v>
      </c>
      <c r="BJ180" s="59">
        <f t="shared" si="146"/>
        <v>312.86697521864392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2.7455956461834239</v>
      </c>
      <c r="BQ180" s="21">
        <f>EXP(-LN(2)/25)*BQ179+(1-EXP(-LN(2)/25))/(LN(2)/25)*Calculateur!BL180*Calculateur!BN180*VLOOKUP('Données projet'!$B$11,Paramètres!$A$1:$I$89,3,0)*0.475*44/12</f>
        <v>0.20668847173554469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2.9522841179189685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68.995146249920936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189.55118397415424</v>
      </c>
      <c r="CE180" s="59">
        <f t="shared" si="148"/>
        <v>456.28719984856014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2.3175566635825522</v>
      </c>
      <c r="CM180" s="21">
        <f>EXP(-LN(2)/2)*CM179+(1-EXP(-LN(2)/2))/(LN(2)/2)*CG180*CJ180*VLOOKUP('Données projet'!$B$12,Paramètres!$A$1:$I$89,3,0)*0.475*44/12</f>
        <v>3.3662083888962776E-24</v>
      </c>
      <c r="CN180" s="22">
        <f t="shared" si="172"/>
        <v>2.3175566635825522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68.995146249920936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68.995146249920936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68.995146249920936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68.995146249920936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68.995146249920936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68.995146249920936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4.45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16.316666666666666</v>
      </c>
      <c r="H181" s="66">
        <f t="shared" si="110"/>
        <v>191.4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69.012578215968375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-5.6843418860808015E-14</v>
      </c>
      <c r="O181" s="13">
        <f>N181*VLOOKUP('Données projet'!$B$9,Paramètres!$A$1:$I$89,3,0)*VLOOKUP('Données projet'!$B$9,Paramètres!$A$1:$I$89,5,0)</f>
        <v>-2.5006556825246661E-14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129.89493875503857</v>
      </c>
      <c r="T181" s="59">
        <f t="shared" si="142"/>
        <v>318.19554842399577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2.8410175331169576</v>
      </c>
      <c r="AA181" s="21">
        <f>EXP(-LN(2)/25)*AA180+(1-EXP(-LN(2)/25))/(LN(2)/25)*Calculateur!V181*Calculateur!X181*VLOOKUP('Données projet'!$B$9,Paramètres!$A$1:$I$89,3,0)*0.475*44/12</f>
        <v>0.21728726633529549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3.058304799452253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69.012578215968375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96.263123361643096</v>
      </c>
      <c r="AO181" s="59">
        <f t="shared" si="144"/>
        <v>291.35824366856377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2.4887712971775424</v>
      </c>
      <c r="AV181" s="21">
        <f>EXP(-LN(2)/25)*AV180+(1-EXP(-LN(2)/25))/(LN(2)/25)*Calculateur!AQ181*Calculateur!AS181*VLOOKUP('Données projet'!$B$10,Paramètres!$A$1:$I$89,3,0)*0.475*44/12</f>
        <v>0.18587643022648773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2.6746477274040301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69.012578215968375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103.69736557010637</v>
      </c>
      <c r="BJ181" s="59">
        <f t="shared" si="146"/>
        <v>312.86697521864392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2.6917561902097535</v>
      </c>
      <c r="BQ181" s="21">
        <f>EXP(-LN(2)/25)*BQ180+(1-EXP(-LN(2)/25))/(LN(2)/25)*Calculateur!BL181*Calculateur!BN181*VLOOKUP('Données projet'!$B$11,Paramètres!$A$1:$I$89,3,0)*0.475*44/12</f>
        <v>0.20103656460666189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2.8927927548164156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69.012578215968375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189.55118397415424</v>
      </c>
      <c r="CE181" s="59">
        <f t="shared" si="148"/>
        <v>456.28719984856014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2.254182954741879</v>
      </c>
      <c r="CM181" s="21">
        <f>EXP(-LN(2)/2)*CM180+(1-EXP(-LN(2)/2))/(LN(2)/2)*CG181*CJ181*VLOOKUP('Données projet'!$B$12,Paramètres!$A$1:$I$89,3,0)*0.475*44/12</f>
        <v>2.3802687786756008E-24</v>
      </c>
      <c r="CN181" s="22">
        <f t="shared" si="172"/>
        <v>2.254182954741879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69.012578215968375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69.012578215968375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69.012578215968375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69.012578215968375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69.012578215968375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69.012578215968375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4.45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16.316666666666666</v>
      </c>
      <c r="H182" s="66">
        <f t="shared" si="110"/>
        <v>191.4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69.029707776376924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-5.6843418860808015E-14</v>
      </c>
      <c r="O182" s="13">
        <f>N182*VLOOKUP('Données projet'!$B$9,Paramètres!$A$1:$I$89,3,0)*VLOOKUP('Données projet'!$B$9,Paramètres!$A$1:$I$89,5,0)</f>
        <v>-2.5006556825246661E-14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129.89493875503857</v>
      </c>
      <c r="T182" s="59">
        <f t="shared" si="142"/>
        <v>318.19554842399577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2.7853069121421248</v>
      </c>
      <c r="AA182" s="21">
        <f>EXP(-LN(2)/25)*AA181+(1-EXP(-LN(2)/25))/(LN(2)/25)*Calculateur!V182*Calculateur!X182*VLOOKUP('Données projet'!$B$9,Paramètres!$A$1:$I$89,3,0)*0.475*44/12</f>
        <v>0.21134553461071612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2.996652446752841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69.029707776376924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96.263123361643096</v>
      </c>
      <c r="AO182" s="59">
        <f t="shared" si="144"/>
        <v>291.35824366856377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2.4399680100404919</v>
      </c>
      <c r="AV182" s="21">
        <f>EXP(-LN(2)/25)*AV181+(1-EXP(-LN(2)/25))/(LN(2)/25)*Calculateur!AQ182*Calculateur!AS182*VLOOKUP('Données projet'!$B$10,Paramètres!$A$1:$I$89,3,0)*0.475*44/12</f>
        <v>0.18079362946712779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2.6207616395076196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69.029707776376924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103.69736557010637</v>
      </c>
      <c r="BJ182" s="59">
        <f t="shared" si="146"/>
        <v>312.86697521864392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2.6389724931289011</v>
      </c>
      <c r="BQ182" s="21">
        <f>EXP(-LN(2)/25)*BQ181+(1-EXP(-LN(2)/25))/(LN(2)/25)*Calculateur!BL182*Calculateur!BN182*VLOOKUP('Données projet'!$B$11,Paramètres!$A$1:$I$89,3,0)*0.475*44/12</f>
        <v>0.19553920917543927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2.8345117023043405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69.029707776376924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189.55118397415424</v>
      </c>
      <c r="CE182" s="59">
        <f t="shared" si="148"/>
        <v>456.28719984856014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2.1925422033021329</v>
      </c>
      <c r="CM182" s="21">
        <f>EXP(-LN(2)/2)*CM181+(1-EXP(-LN(2)/2))/(LN(2)/2)*CG182*CJ182*VLOOKUP('Données projet'!$B$12,Paramètres!$A$1:$I$89,3,0)*0.475*44/12</f>
        <v>1.6831041944481388E-24</v>
      </c>
      <c r="CN182" s="22">
        <f t="shared" si="172"/>
        <v>2.1925422033021329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69.029707776376924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69.029707776376924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69.029707776376924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69.029707776376924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69.029707776376924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69.029707776376924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4.45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16.316666666666666</v>
      </c>
      <c r="H183" s="66">
        <f t="shared" si="110"/>
        <v>191.4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69.046540177208357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-5.6843418860808015E-14</v>
      </c>
      <c r="O183" s="13">
        <f>N183*VLOOKUP('Données projet'!$B$9,Paramètres!$A$1:$I$89,3,0)*VLOOKUP('Données projet'!$B$9,Paramètres!$A$1:$I$89,5,0)</f>
        <v>-2.5006556825246661E-14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129.89493875503857</v>
      </c>
      <c r="T183" s="59">
        <f t="shared" si="142"/>
        <v>318.19554842399577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2.7306887424644848</v>
      </c>
      <c r="AA183" s="21">
        <f>EXP(-LN(2)/25)*AA182+(1-EXP(-LN(2)/25))/(LN(2)/25)*Calculateur!V183*Calculateur!X183*VLOOKUP('Données projet'!$B$9,Paramètres!$A$1:$I$89,3,0)*0.475*44/12</f>
        <v>0.20556627985260745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2.9362550223170922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69.046540177208357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96.263123361643096</v>
      </c>
      <c r="AO183" s="59">
        <f t="shared" si="144"/>
        <v>291.35824366856377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2.392121725597133</v>
      </c>
      <c r="AV183" s="21">
        <f>EXP(-LN(2)/25)*AV182+(1-EXP(-LN(2)/25))/(LN(2)/25)*Calculateur!AQ183*Calculateur!AS183*VLOOKUP('Données projet'!$B$10,Paramètres!$A$1:$I$89,3,0)*0.475*44/12</f>
        <v>0.17584981816182541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2.5679715437589583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69.046540177208357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103.69736557010637</v>
      </c>
      <c r="BJ183" s="59">
        <f t="shared" si="146"/>
        <v>312.86697521864392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2.587223852152928</v>
      </c>
      <c r="BQ183" s="21">
        <f>EXP(-LN(2)/25)*BQ182+(1-EXP(-LN(2)/25))/(LN(2)/25)*Calculateur!BL183*Calculateur!BN183*VLOOKUP('Données projet'!$B$11,Paramètres!$A$1:$I$89,3,0)*0.475*44/12</f>
        <v>0.19019217921757678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2.777416031370505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69.046540177208357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189.55118397415424</v>
      </c>
      <c r="CE183" s="59">
        <f t="shared" si="148"/>
        <v>456.28719984856014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2.1325870214520526</v>
      </c>
      <c r="CM183" s="21">
        <f>EXP(-LN(2)/2)*CM182+(1-EXP(-LN(2)/2))/(LN(2)/2)*CG183*CJ183*VLOOKUP('Données projet'!$B$12,Paramètres!$A$1:$I$89,3,0)*0.475*44/12</f>
        <v>1.1901343893378004E-24</v>
      </c>
      <c r="CN183" s="22">
        <f t="shared" si="172"/>
        <v>2.1325870214520526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69.046540177208357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69.046540177208357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69.046540177208357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69.046540177208357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69.046540177208357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69.046540177208357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4.45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16.316666666666666</v>
      </c>
      <c r="H184" s="66">
        <f t="shared" si="110"/>
        <v>191.4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69.063080573516956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-5.6843418860808015E-14</v>
      </c>
      <c r="O184" s="13">
        <f>N184*VLOOKUP('Données projet'!$B$9,Paramètres!$A$1:$I$89,3,0)*VLOOKUP('Données projet'!$B$9,Paramètres!$A$1:$I$89,5,0)</f>
        <v>-2.5006556825246661E-14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129.89493875503857</v>
      </c>
      <c r="T184" s="59">
        <f t="shared" si="142"/>
        <v>318.19554842399577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2.6771416017804293</v>
      </c>
      <c r="AA184" s="21">
        <f>EXP(-LN(2)/25)*AA183+(1-EXP(-LN(2)/25))/(LN(2)/25)*Calculateur!V184*Calculateur!X184*VLOOKUP('Données projet'!$B$9,Paramètres!$A$1:$I$89,3,0)*0.475*44/12</f>
        <v>0.19994505911977706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2.8770866609002064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69.063080573516956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96.263123361643096</v>
      </c>
      <c r="AO184" s="59">
        <f t="shared" si="144"/>
        <v>291.35824366856377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2.3452136776083568</v>
      </c>
      <c r="AV184" s="21">
        <f>EXP(-LN(2)/25)*AV183+(1-EXP(-LN(2)/25))/(LN(2)/25)*Calculateur!AQ184*Calculateur!AS184*VLOOKUP('Données projet'!$B$10,Paramètres!$A$1:$I$89,3,0)*0.475*44/12</f>
        <v>0.17104119563665027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2.516254873245007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69.063080573516956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103.69736557010637</v>
      </c>
      <c r="BJ184" s="59">
        <f t="shared" si="146"/>
        <v>312.86697521864392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2.5364899704629393</v>
      </c>
      <c r="BQ184" s="21">
        <f>EXP(-LN(2)/25)*BQ183+(1-EXP(-LN(2)/25))/(LN(2)/25)*Calculateur!BL184*Calculateur!BN184*VLOOKUP('Données projet'!$B$11,Paramètres!$A$1:$I$89,3,0)*0.475*44/12</f>
        <v>0.18499136407510014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2.7214813345380393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69.063080573516956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189.55118397415424</v>
      </c>
      <c r="CE184" s="59">
        <f t="shared" si="148"/>
        <v>456.28719984856014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2.0742713172025686</v>
      </c>
      <c r="CM184" s="21">
        <f>EXP(-LN(2)/2)*CM183+(1-EXP(-LN(2)/2))/(LN(2)/2)*CG184*CJ184*VLOOKUP('Données projet'!$B$12,Paramètres!$A$1:$I$89,3,0)*0.475*44/12</f>
        <v>8.415520972240694E-25</v>
      </c>
      <c r="CN184" s="22">
        <f t="shared" si="172"/>
        <v>2.0742713172025686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69.063080573516956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69.063080573516956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69.063080573516956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69.063080573516956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69.063080573516956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69.063080573516956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4.45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16.316666666666666</v>
      </c>
      <c r="H185" s="66">
        <f t="shared" si="110"/>
        <v>191.4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69.079334030928422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-5.6843418860808015E-14</v>
      </c>
      <c r="O185" s="13">
        <f>N185*VLOOKUP('Données projet'!$B$9,Paramètres!$A$1:$I$89,3,0)*VLOOKUP('Données projet'!$B$9,Paramètres!$A$1:$I$89,5,0)</f>
        <v>-2.5006556825246661E-14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129.89493875503857</v>
      </c>
      <c r="T185" s="59">
        <f t="shared" si="142"/>
        <v>318.19554842399577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2.6246444878646571</v>
      </c>
      <c r="AA185" s="21">
        <f>EXP(-LN(2)/25)*AA184+(1-EXP(-LN(2)/25))/(LN(2)/25)*Calculateur!V185*Calculateur!X185*VLOOKUP('Données projet'!$B$9,Paramètres!$A$1:$I$89,3,0)*0.475*44/12</f>
        <v>0.19447755096349306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2.8191220388281502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69.079334030928422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96.263123361643096</v>
      </c>
      <c r="AO185" s="59">
        <f t="shared" si="144"/>
        <v>291.35824366856377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2.2992254678295563</v>
      </c>
      <c r="AV185" s="21">
        <f>EXP(-LN(2)/25)*AV184+(1-EXP(-LN(2)/25))/(LN(2)/25)*Calculateur!AQ185*Calculateur!AS185*VLOOKUP('Données projet'!$B$10,Paramètres!$A$1:$I$89,3,0)*0.475*44/12</f>
        <v>0.16636406514730051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2.4655895329768569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69.079334030928422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103.69736557010637</v>
      </c>
      <c r="BJ185" s="59">
        <f t="shared" si="146"/>
        <v>312.86697521864392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2.4867509492482789</v>
      </c>
      <c r="BQ185" s="21">
        <f>EXP(-LN(2)/25)*BQ184+(1-EXP(-LN(2)/25))/(LN(2)/25)*Calculateur!BL185*Calculateur!BN185*VLOOKUP('Données projet'!$B$11,Paramètres!$A$1:$I$89,3,0)*0.475*44/12</f>
        <v>0.1799327654961935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2.6666837147444724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69.079334030928422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189.55118397415424</v>
      </c>
      <c r="CE185" s="59">
        <f t="shared" si="148"/>
        <v>456.28719984856014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2.0175502589524767</v>
      </c>
      <c r="CM185" s="21">
        <f>EXP(-LN(2)/2)*CM184+(1-EXP(-LN(2)/2))/(LN(2)/2)*CG185*CJ185*VLOOKUP('Données projet'!$B$12,Paramètres!$A$1:$I$89,3,0)*0.475*44/12</f>
        <v>5.9506719466890021E-25</v>
      </c>
      <c r="CN185" s="22">
        <f t="shared" si="172"/>
        <v>2.0175502589524767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69.079334030928422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69.079334030928422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69.079334030928422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69.079334030928422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69.079334030928422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69.079334030928422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4.45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16.316666666666666</v>
      </c>
      <c r="H186" s="66">
        <f t="shared" si="110"/>
        <v>191.4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69.095305527191059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-5.6843418860808015E-14</v>
      </c>
      <c r="O186" s="13">
        <f>N186*VLOOKUP('Données projet'!$B$9,Paramètres!$A$1:$I$89,3,0)*VLOOKUP('Données projet'!$B$9,Paramètres!$A$1:$I$89,5,0)</f>
        <v>-2.5006556825246661E-14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129.89493875503857</v>
      </c>
      <c r="T186" s="59">
        <f t="shared" si="142"/>
        <v>318.19554842399577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2.5731768103326953</v>
      </c>
      <c r="AA186" s="21">
        <f>EXP(-LN(2)/25)*AA185+(1-EXP(-LN(2)/25))/(LN(2)/25)*Calculateur!V186*Calculateur!X186*VLOOKUP('Données projet'!$B$9,Paramètres!$A$1:$I$89,3,0)*0.475*44/12</f>
        <v>0.18915955210526642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2.7623363624379618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69.095305527191059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96.263123361643096</v>
      </c>
      <c r="AO186" s="59">
        <f t="shared" si="144"/>
        <v>291.35824366856377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2.2541390587944798</v>
      </c>
      <c r="AV186" s="21">
        <f>EXP(-LN(2)/25)*AV185+(1-EXP(-LN(2)/25))/(LN(2)/25)*Calculateur!AQ186*Calculateur!AS186*VLOOKUP('Données projet'!$B$10,Paramètres!$A$1:$I$89,3,0)*0.475*44/12</f>
        <v>0.16181483103714162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2.4159538898316213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69.095305527191059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103.69736557010637</v>
      </c>
      <c r="BJ186" s="59">
        <f t="shared" si="146"/>
        <v>312.86697521864392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2.4379872799018307</v>
      </c>
      <c r="BQ186" s="21">
        <f>EXP(-LN(2)/25)*BQ185+(1-EXP(-LN(2)/25))/(LN(2)/25)*Calculateur!BL186*Calculateur!BN186*VLOOKUP('Données projet'!$B$11,Paramètres!$A$1:$I$89,3,0)*0.475*44/12</f>
        <v>0.17501249456144718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2.6129997744632778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69.095305527191059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189.55118397415424</v>
      </c>
      <c r="CE186" s="59">
        <f t="shared" si="148"/>
        <v>456.28719984856014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1.9623802410230644</v>
      </c>
      <c r="CM186" s="21">
        <f>EXP(-LN(2)/2)*CM185+(1-EXP(-LN(2)/2))/(LN(2)/2)*CG186*CJ186*VLOOKUP('Données projet'!$B$12,Paramètres!$A$1:$I$89,3,0)*0.475*44/12</f>
        <v>4.207760486120347E-25</v>
      </c>
      <c r="CN186" s="22">
        <f t="shared" si="172"/>
        <v>1.9623802410230644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69.095305527191059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69.095305527191059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69.095305527191059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69.095305527191059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69.095305527191059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69.095305527191059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4.45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16.316666666666666</v>
      </c>
      <c r="H187" s="66">
        <f t="shared" si="110"/>
        <v>191.4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69.110999953700457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-5.6843418860808015E-14</v>
      </c>
      <c r="O187" s="13">
        <f>N187*VLOOKUP('Données projet'!$B$9,Paramètres!$A$1:$I$89,3,0)*VLOOKUP('Données projet'!$B$9,Paramètres!$A$1:$I$89,5,0)</f>
        <v>-2.5006556825246661E-14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129.89493875503857</v>
      </c>
      <c r="T187" s="59">
        <f t="shared" si="142"/>
        <v>318.19554842399577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2.522718382564952</v>
      </c>
      <c r="AA187" s="21">
        <f>EXP(-LN(2)/25)*AA186+(1-EXP(-LN(2)/25))/(LN(2)/25)*Calculateur!V187*Calculateur!X187*VLOOKUP('Données projet'!$B$9,Paramètres!$A$1:$I$89,3,0)*0.475*44/12</f>
        <v>0.18398697420547938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2.7067053567704313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69.110999953700457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96.263123361643096</v>
      </c>
      <c r="AO187" s="59">
        <f t="shared" si="144"/>
        <v>291.35824366856377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2.2099367667405869</v>
      </c>
      <c r="AV187" s="21">
        <f>EXP(-LN(2)/25)*AV186+(1-EXP(-LN(2)/25))/(LN(2)/25)*Calculateur!AQ187*Calculateur!AS187*VLOOKUP('Données projet'!$B$10,Paramètres!$A$1:$I$89,3,0)*0.475*44/12</f>
        <v>0.15738999597295886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2.3673267627135459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69.110999953700457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103.69736557010637</v>
      </c>
      <c r="BJ187" s="59">
        <f t="shared" si="146"/>
        <v>312.86697521864392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2.3901798363683651</v>
      </c>
      <c r="BQ187" s="21">
        <f>EXP(-LN(2)/25)*BQ186+(1-EXP(-LN(2)/25))/(LN(2)/25)*Calculateur!BL187*Calculateur!BN187*VLOOKUP('Données projet'!$B$11,Paramètres!$A$1:$I$89,3,0)*0.475*44/12</f>
        <v>0.17022676869415732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2.5604066050625223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69.110999953700457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189.55118397415424</v>
      </c>
      <c r="CE187" s="59">
        <f t="shared" si="148"/>
        <v>456.28719984856014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1.9087188501351968</v>
      </c>
      <c r="CM187" s="21">
        <f>EXP(-LN(2)/2)*CM186+(1-EXP(-LN(2)/2))/(LN(2)/2)*CG187*CJ187*VLOOKUP('Données projet'!$B$12,Paramètres!$A$1:$I$89,3,0)*0.475*44/12</f>
        <v>2.9753359733445011E-25</v>
      </c>
      <c r="CN187" s="22">
        <f t="shared" si="172"/>
        <v>1.9087188501351968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69.110999953700457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69.110999953700457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69.110999953700457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69.110999953700457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69.110999953700457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69.110999953700457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4.45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16.316666666666666</v>
      </c>
      <c r="H188" s="66">
        <f t="shared" si="110"/>
        <v>191.4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69.126422116997404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-5.6843418860808015E-14</v>
      </c>
      <c r="O188" s="13">
        <f>N188*VLOOKUP('Données projet'!$B$9,Paramètres!$A$1:$I$89,3,0)*VLOOKUP('Données projet'!$B$9,Paramètres!$A$1:$I$89,5,0)</f>
        <v>-2.5006556825246661E-14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129.89493875503857</v>
      </c>
      <c r="T188" s="59">
        <f t="shared" si="142"/>
        <v>318.19554842399577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2.4732494137891319</v>
      </c>
      <c r="AA188" s="21">
        <f>EXP(-LN(2)/25)*AA187+(1-EXP(-LN(2)/25))/(LN(2)/25)*Calculateur!V188*Calculateur!X188*VLOOKUP('Données projet'!$B$9,Paramètres!$A$1:$I$89,3,0)*0.475*44/12</f>
        <v>0.17895584072037607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2.6522052545095081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69.126422116997404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96.263123361643096</v>
      </c>
      <c r="AO188" s="59">
        <f t="shared" si="144"/>
        <v>291.35824366856377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2.166601254673135</v>
      </c>
      <c r="AV188" s="21">
        <f>EXP(-LN(2)/25)*AV187+(1-EXP(-LN(2)/25))/(LN(2)/25)*Calculateur!AQ188*Calculateur!AS188*VLOOKUP('Données projet'!$B$10,Paramètres!$A$1:$I$89,3,0)*0.475*44/12</f>
        <v>0.15308615825629812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2.3196874129294329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69.126422116997404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103.69736557010637</v>
      </c>
      <c r="BJ188" s="59">
        <f t="shared" si="146"/>
        <v>312.86697521864392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2.3433098676429291</v>
      </c>
      <c r="BQ188" s="21">
        <f>EXP(-LN(2)/25)*BQ187+(1-EXP(-LN(2)/25))/(LN(2)/25)*Calculateur!BL188*Calculateur!BN188*VLOOKUP('Données projet'!$B$11,Paramètres!$A$1:$I$89,3,0)*0.475*44/12</f>
        <v>0.16557190875237887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2.5088817763953082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69.126422116997404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189.55118397415424</v>
      </c>
      <c r="CE188" s="59">
        <f t="shared" si="148"/>
        <v>456.28719984856014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1.8565248328030879</v>
      </c>
      <c r="CM188" s="21">
        <f>EXP(-LN(2)/2)*CM187+(1-EXP(-LN(2)/2))/(LN(2)/2)*CG188*CJ188*VLOOKUP('Données projet'!$B$12,Paramètres!$A$1:$I$89,3,0)*0.475*44/12</f>
        <v>2.1038802430601735E-25</v>
      </c>
      <c r="CN188" s="22">
        <f t="shared" si="172"/>
        <v>1.8565248328030879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69.126422116997404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69.126422116997404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69.126422116997404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69.126422116997404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69.126422116997404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69.126422116997404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4.45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16.316666666666666</v>
      </c>
      <c r="H189" s="66">
        <f t="shared" si="110"/>
        <v>191.4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69.141576740239941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-5.6843418860808015E-14</v>
      </c>
      <c r="O189" s="13">
        <f>N189*VLOOKUP('Données projet'!$B$9,Paramètres!$A$1:$I$89,3,0)*VLOOKUP('Données projet'!$B$9,Paramètres!$A$1:$I$89,5,0)</f>
        <v>-2.5006556825246661E-14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129.89493875503857</v>
      </c>
      <c r="T189" s="59">
        <f t="shared" si="142"/>
        <v>318.19554842399577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2.4247505013179143</v>
      </c>
      <c r="AA189" s="21">
        <f>EXP(-LN(2)/25)*AA188+(1-EXP(-LN(2)/25))/(LN(2)/25)*Calculateur!V189*Calculateur!X189*VLOOKUP('Données projet'!$B$9,Paramètres!$A$1:$I$89,3,0)*0.475*44/12</f>
        <v>0.17406228384499872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2.598812785162913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69.141576740239941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96.263123361643096</v>
      </c>
      <c r="AO189" s="59">
        <f t="shared" si="144"/>
        <v>291.35824366856377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2.1241155255652733</v>
      </c>
      <c r="AV189" s="21">
        <f>EXP(-LN(2)/25)*AV188+(1-EXP(-LN(2)/25))/(LN(2)/25)*Calculateur!AQ189*Calculateur!AS189*VLOOKUP('Données projet'!$B$10,Paramètres!$A$1:$I$89,3,0)*0.475*44/12</f>
        <v>0.14890000920832847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2.2730155347736019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69.141576740239941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103.69736557010637</v>
      </c>
      <c r="BJ189" s="59">
        <f t="shared" si="146"/>
        <v>312.86697521864392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2.297358990416341</v>
      </c>
      <c r="BQ189" s="21">
        <f>EXP(-LN(2)/25)*BQ188+(1-EXP(-LN(2)/25))/(LN(2)/25)*Calculateur!BL189*Calculateur!BN189*VLOOKUP('Données projet'!$B$11,Paramètres!$A$1:$I$89,3,0)*0.475*44/12</f>
        <v>0.1610443362004968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2.4584033266168377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69.141576740239941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189.55118397415424</v>
      </c>
      <c r="CE189" s="59">
        <f t="shared" si="148"/>
        <v>456.28719984856014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1.8057580636196897</v>
      </c>
      <c r="CM189" s="21">
        <f>EXP(-LN(2)/2)*CM188+(1-EXP(-LN(2)/2))/(LN(2)/2)*CG189*CJ189*VLOOKUP('Données projet'!$B$12,Paramètres!$A$1:$I$89,3,0)*0.475*44/12</f>
        <v>1.4876679866722505E-25</v>
      </c>
      <c r="CN189" s="22">
        <f t="shared" si="172"/>
        <v>1.8057580636196897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69.141576740239941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69.141576740239941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69.141576740239941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69.141576740239941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69.141576740239941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69.141576740239941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4.45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16.316666666666666</v>
      </c>
      <c r="H190" s="66">
        <f t="shared" si="110"/>
        <v>191.4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69.156468464649876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-5.6843418860808015E-14</v>
      </c>
      <c r="O190" s="13">
        <f>N190*VLOOKUP('Données projet'!$B$9,Paramètres!$A$1:$I$89,3,0)*VLOOKUP('Données projet'!$B$9,Paramètres!$A$1:$I$89,5,0)</f>
        <v>-2.5006556825246661E-14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129.89493875503857</v>
      </c>
      <c r="T190" s="59">
        <f t="shared" si="142"/>
        <v>318.19554842399577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2.3772026229388414</v>
      </c>
      <c r="AA190" s="21">
        <f>EXP(-LN(2)/25)*AA189+(1-EXP(-LN(2)/25))/(LN(2)/25)*Calculateur!V190*Calculateur!X190*VLOOKUP('Données projet'!$B$9,Paramètres!$A$1:$I$89,3,0)*0.475*44/12</f>
        <v>0.16930254153971955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2.5465051644785608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69.156468464649876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96.263123361643096</v>
      </c>
      <c r="AO190" s="59">
        <f t="shared" si="144"/>
        <v>291.35824366856377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2.0824629156914809</v>
      </c>
      <c r="AV190" s="21">
        <f>EXP(-LN(2)/25)*AV189+(1-EXP(-LN(2)/25))/(LN(2)/25)*Calculateur!AQ190*Calculateur!AS190*VLOOKUP('Données projet'!$B$10,Paramètres!$A$1:$I$89,3,0)*0.475*44/12</f>
        <v>0.14482833062621556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2.2272912463176966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69.156468464649876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103.69736557010637</v>
      </c>
      <c r="BJ190" s="59">
        <f t="shared" si="146"/>
        <v>312.86697521864392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2.2523091818648986</v>
      </c>
      <c r="BQ190" s="21">
        <f>EXP(-LN(2)/25)*BQ189+(1-EXP(-LN(2)/25))/(LN(2)/25)*Calculateur!BL190*Calculateur!BN190*VLOOKUP('Données projet'!$B$11,Paramètres!$A$1:$I$89,3,0)*0.475*44/12</f>
        <v>0.15664057035814064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2.4089497522230392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69.156468464649876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189.55118397415424</v>
      </c>
      <c r="CE190" s="59">
        <f t="shared" si="148"/>
        <v>456.28719984856014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1.7563795144093199</v>
      </c>
      <c r="CM190" s="21">
        <f>EXP(-LN(2)/2)*CM189+(1-EXP(-LN(2)/2))/(LN(2)/2)*CG190*CJ190*VLOOKUP('Données projet'!$B$12,Paramètres!$A$1:$I$89,3,0)*0.475*44/12</f>
        <v>1.0519401215300867E-25</v>
      </c>
      <c r="CN190" s="22">
        <f t="shared" si="172"/>
        <v>1.7563795144093199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69.156468464649876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69.156468464649876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69.156468464649876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69.156468464649876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69.156468464649876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69.156468464649876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4.45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16.316666666666666</v>
      </c>
      <c r="H191" s="66">
        <f t="shared" si="110"/>
        <v>191.4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69.171101850934207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-5.6843418860808015E-14</v>
      </c>
      <c r="O191" s="13">
        <f>N191*VLOOKUP('Données projet'!$B$9,Paramètres!$A$1:$I$89,3,0)*VLOOKUP('Données projet'!$B$9,Paramètres!$A$1:$I$89,5,0)</f>
        <v>-2.5006556825246661E-14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129.89493875503857</v>
      </c>
      <c r="T191" s="59">
        <f t="shared" si="142"/>
        <v>318.19554842399577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2.3305871294534399</v>
      </c>
      <c r="AA191" s="21">
        <f>EXP(-LN(2)/25)*AA190+(1-EXP(-LN(2)/25))/(LN(2)/25)*Calculateur!V191*Calculateur!X191*VLOOKUP('Données projet'!$B$9,Paramètres!$A$1:$I$89,3,0)*0.475*44/12</f>
        <v>0.16467295463808221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2.4952600840915222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69.171101850934207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96.263123361643096</v>
      </c>
      <c r="AO191" s="59">
        <f t="shared" si="144"/>
        <v>291.35824366856377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2.04162708809173</v>
      </c>
      <c r="AV191" s="21">
        <f>EXP(-LN(2)/25)*AV190+(1-EXP(-LN(2)/25))/(LN(2)/25)*Calculateur!AQ191*Calculateur!AS191*VLOOKUP('Données projet'!$B$10,Paramètres!$A$1:$I$89,3,0)*0.475*44/12</f>
        <v>0.14086799230905078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2.1824950804007806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69.171101850934207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103.69736557010637</v>
      </c>
      <c r="BJ191" s="59">
        <f t="shared" si="146"/>
        <v>312.86697521864392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2.2081427725814802</v>
      </c>
      <c r="BQ191" s="21">
        <f>EXP(-LN(2)/25)*BQ190+(1-EXP(-LN(2)/25))/(LN(2)/25)*Calculateur!BL191*Calculateur!BN191*VLOOKUP('Données projet'!$B$11,Paramètres!$A$1:$I$89,3,0)*0.475*44/12</f>
        <v>0.15235722572432769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2.3604999983058077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69.171101850934207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189.55118397415424</v>
      </c>
      <c r="CE191" s="59">
        <f t="shared" si="148"/>
        <v>456.28719984856014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1.7083512242238126</v>
      </c>
      <c r="CM191" s="21">
        <f>EXP(-LN(2)/2)*CM190+(1-EXP(-LN(2)/2))/(LN(2)/2)*CG191*CJ191*VLOOKUP('Données projet'!$B$12,Paramètres!$A$1:$I$89,3,0)*0.475*44/12</f>
        <v>7.4383399333612527E-26</v>
      </c>
      <c r="CN191" s="22">
        <f t="shared" si="172"/>
        <v>1.7083512242238126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69.171101850934207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69.171101850934207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69.171101850934207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69.171101850934207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69.171101850934207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69.171101850934207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4.45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16.316666666666666</v>
      </c>
      <c r="H192" s="66">
        <f t="shared" si="110"/>
        <v>191.4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69.18548138068185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-5.6843418860808015E-14</v>
      </c>
      <c r="O192" s="13">
        <f>N192*VLOOKUP('Données projet'!$B$9,Paramètres!$A$1:$I$89,3,0)*VLOOKUP('Données projet'!$B$9,Paramètres!$A$1:$I$89,5,0)</f>
        <v>-2.5006556825246661E-14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129.89493875503857</v>
      </c>
      <c r="T192" s="59">
        <f t="shared" si="142"/>
        <v>318.19554842399577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2.2848857373626439</v>
      </c>
      <c r="AA192" s="21">
        <f>EXP(-LN(2)/25)*AA191+(1-EXP(-LN(2)/25))/(LN(2)/25)*Calculateur!V192*Calculateur!X192*VLOOKUP('Données projet'!$B$9,Paramètres!$A$1:$I$89,3,0)*0.475*44/12</f>
        <v>0.16016996403372954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2.4450557013963734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69.18548138068185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96.263123361643096</v>
      </c>
      <c r="AO192" s="59">
        <f t="shared" si="144"/>
        <v>291.35824366856377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2.0015920261638147</v>
      </c>
      <c r="AV192" s="21">
        <f>EXP(-LN(2)/25)*AV191+(1-EXP(-LN(2)/25))/(LN(2)/25)*Calculateur!AQ192*Calculateur!AS192*VLOOKUP('Données projet'!$B$10,Paramètres!$A$1:$I$89,3,0)*0.475*44/12</f>
        <v>0.13701594965143404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2.1386079758152485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69.18548138068185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103.69736557010637</v>
      </c>
      <c r="BJ192" s="59">
        <f t="shared" si="146"/>
        <v>312.86697521864392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2.1648424396452599</v>
      </c>
      <c r="BQ192" s="21">
        <f>EXP(-LN(2)/25)*BQ191+(1-EXP(-LN(2)/25))/(LN(2)/25)*Calculateur!BL192*Calculateur!BN192*VLOOKUP('Données projet'!$B$11,Paramètres!$A$1:$I$89,3,0)*0.475*44/12</f>
        <v>0.14819100937477767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2.3130334490200375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69.18548138068185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189.55118397415424</v>
      </c>
      <c r="CE192" s="59">
        <f t="shared" si="148"/>
        <v>456.28719984856014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1.6616362701591261</v>
      </c>
      <c r="CM192" s="21">
        <f>EXP(-LN(2)/2)*CM191+(1-EXP(-LN(2)/2))/(LN(2)/2)*CG192*CJ192*VLOOKUP('Données projet'!$B$12,Paramètres!$A$1:$I$89,3,0)*0.475*44/12</f>
        <v>5.2597006076504337E-26</v>
      </c>
      <c r="CN192" s="22">
        <f t="shared" si="172"/>
        <v>1.6616362701591261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69.18548138068185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69.18548138068185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69.18548138068185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69.18548138068185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69.18548138068185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69.18548138068185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4.45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16.316666666666666</v>
      </c>
      <c r="H193" s="66">
        <f t="shared" si="110"/>
        <v>191.4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69.199611457736182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-5.6843418860808015E-14</v>
      </c>
      <c r="O193" s="13">
        <f>N193*VLOOKUP('Données projet'!$B$9,Paramètres!$A$1:$I$89,3,0)*VLOOKUP('Données projet'!$B$9,Paramètres!$A$1:$I$89,5,0)</f>
        <v>-2.5006556825246661E-14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129.89493875503857</v>
      </c>
      <c r="T193" s="59">
        <f t="shared" si="142"/>
        <v>318.19554842399577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2.2400805216956514</v>
      </c>
      <c r="AA193" s="21">
        <f>EXP(-LN(2)/25)*AA192+(1-EXP(-LN(2)/25))/(LN(2)/25)*Calculateur!V193*Calculateur!X193*VLOOKUP('Données projet'!$B$9,Paramètres!$A$1:$I$89,3,0)*0.475*44/12</f>
        <v>0.15579010794425488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2.3958706296399064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69.199611457736182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96.263123361643096</v>
      </c>
      <c r="AO193" s="59">
        <f t="shared" si="144"/>
        <v>291.35824366856377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1.9623420273813292</v>
      </c>
      <c r="AV193" s="21">
        <f>EXP(-LN(2)/25)*AV192+(1-EXP(-LN(2)/25))/(LN(2)/25)*Calculateur!AQ193*Calculateur!AS193*VLOOKUP('Données projet'!$B$10,Paramètres!$A$1:$I$89,3,0)*0.475*44/12</f>
        <v>0.13326924130285994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2.095611268684189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69.199611457736182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103.69736557010637</v>
      </c>
      <c r="BJ193" s="59">
        <f t="shared" si="146"/>
        <v>312.86697521864392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2.1223911998273235</v>
      </c>
      <c r="BQ193" s="21">
        <f>EXP(-LN(2)/25)*BQ192+(1-EXP(-LN(2)/25))/(LN(2)/25)*Calculateur!BL193*Calculateur!BN193*VLOOKUP('Données projet'!$B$11,Paramètres!$A$1:$I$89,3,0)*0.475*44/12</f>
        <v>0.14413871843039788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2.2665299182577212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69.199611457736182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189.55118397415424</v>
      </c>
      <c r="CE193" s="59">
        <f t="shared" si="148"/>
        <v>456.28719984856014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1.616198738969971</v>
      </c>
      <c r="CM193" s="21">
        <f>EXP(-LN(2)/2)*CM192+(1-EXP(-LN(2)/2))/(LN(2)/2)*CG193*CJ193*VLOOKUP('Données projet'!$B$12,Paramètres!$A$1:$I$89,3,0)*0.475*44/12</f>
        <v>3.7191699666806263E-26</v>
      </c>
      <c r="CN193" s="22">
        <f t="shared" si="172"/>
        <v>1.616198738969971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69.199611457736182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69.199611457736182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69.199611457736182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69.199611457736182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69.199611457736182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69.199611457736182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4.45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16.316666666666666</v>
      </c>
      <c r="H194" s="66">
        <f t="shared" si="110"/>
        <v>191.4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69.213496409543751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-5.6843418860808015E-14</v>
      </c>
      <c r="O194" s="13">
        <f>N194*VLOOKUP('Données projet'!$B$9,Paramètres!$A$1:$I$89,3,0)*VLOOKUP('Données projet'!$B$9,Paramètres!$A$1:$I$89,5,0)</f>
        <v>-2.5006556825246661E-14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129.89493875503857</v>
      </c>
      <c r="T194" s="59">
        <f t="shared" si="142"/>
        <v>318.19554842399577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2.1961539089794058</v>
      </c>
      <c r="AA194" s="21">
        <f>EXP(-LN(2)/25)*AA193+(1-EXP(-LN(2)/25))/(LN(2)/25)*Calculateur!V194*Calculateur!X194*VLOOKUP('Données projet'!$B$9,Paramètres!$A$1:$I$89,3,0)*0.475*44/12</f>
        <v>0.15153001924987353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2.3476839282292792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69.213496409543751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96.263123361643096</v>
      </c>
      <c r="AO194" s="59">
        <f t="shared" si="144"/>
        <v>291.35824366856377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1.923861697134833</v>
      </c>
      <c r="AV194" s="21">
        <f>EXP(-LN(2)/25)*AV193+(1-EXP(-LN(2)/25))/(LN(2)/25)*Calculateur!AQ194*Calculateur!AS194*VLOOKUP('Données projet'!$B$10,Paramètres!$A$1:$I$89,3,0)*0.475*44/12</f>
        <v>0.12962498689110843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2.0534866840259416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69.213496409543751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103.69736557010637</v>
      </c>
      <c r="BJ194" s="59">
        <f t="shared" si="146"/>
        <v>312.86697521864392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2.0807724029295174</v>
      </c>
      <c r="BQ194" s="21">
        <f>EXP(-LN(2)/25)*BQ193+(1-EXP(-LN(2)/25))/(LN(2)/25)*Calculateur!BL194*Calculateur!BN194*VLOOKUP('Données projet'!$B$11,Paramètres!$A$1:$I$89,3,0)*0.475*44/12</f>
        <v>0.14019723759499289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2.2209696405245101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69.213496409543751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189.55118397415424</v>
      </c>
      <c r="CE194" s="59">
        <f t="shared" si="148"/>
        <v>456.28719984856014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1.5720036994606394</v>
      </c>
      <c r="CM194" s="21">
        <f>EXP(-LN(2)/2)*CM193+(1-EXP(-LN(2)/2))/(LN(2)/2)*CG194*CJ194*VLOOKUP('Données projet'!$B$12,Paramètres!$A$1:$I$89,3,0)*0.475*44/12</f>
        <v>2.6298503038252169E-26</v>
      </c>
      <c r="CN194" s="22">
        <f t="shared" si="172"/>
        <v>1.5720036994606394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69.213496409543751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69.213496409543751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69.213496409543751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69.213496409543751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69.213496409543751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69.213496409543751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4.45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16.316666666666666</v>
      </c>
      <c r="H195" s="66">
        <f t="shared" si="110"/>
        <v>191.4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69.227140488479577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-5.6843418860808015E-14</v>
      </c>
      <c r="O195" s="13">
        <f>N195*VLOOKUP('Données projet'!$B$9,Paramètres!$A$1:$I$89,3,0)*VLOOKUP('Données projet'!$B$9,Paramètres!$A$1:$I$89,5,0)</f>
        <v>-2.5006556825246661E-14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129.89493875503857</v>
      </c>
      <c r="T195" s="59">
        <f t="shared" si="142"/>
        <v>318.19554842399577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2.1530886703459373</v>
      </c>
      <c r="AA195" s="21">
        <f>EXP(-LN(2)/25)*AA194+(1-EXP(-LN(2)/25))/(LN(2)/25)*Calculateur!V195*Calculateur!X195*VLOOKUP('Données projet'!$B$9,Paramètres!$A$1:$I$89,3,0)*0.475*44/12</f>
        <v>0.14738642290486834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2.3004750932508058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69.227140488479577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96.263123361643096</v>
      </c>
      <c r="AO195" s="59">
        <f t="shared" si="144"/>
        <v>291.35824366856377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1.8861359426937867</v>
      </c>
      <c r="AV195" s="21">
        <f>EXP(-LN(2)/25)*AV194+(1-EXP(-LN(2)/25))/(LN(2)/25)*Calculateur!AQ195*Calculateur!AS195*VLOOKUP('Données projet'!$B$10,Paramètres!$A$1:$I$89,3,0)*0.475*44/12</f>
        <v>0.12608038480788927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2.012216327501676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69.227140488479577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103.69736557010637</v>
      </c>
      <c r="BJ195" s="59">
        <f t="shared" si="146"/>
        <v>312.86697521864392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2.0399697252539175</v>
      </c>
      <c r="BQ195" s="21">
        <f>EXP(-LN(2)/25)*BQ194+(1-EXP(-LN(2)/25))/(LN(2)/25)*Calculateur!BL195*Calculateur!BN195*VLOOKUP('Données projet'!$B$11,Paramètres!$A$1:$I$89,3,0)*0.475*44/12</f>
        <v>0.13636353676030552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2.1763332620142228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69.227140488479577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189.55118397415424</v>
      </c>
      <c r="CE195" s="59">
        <f t="shared" si="148"/>
        <v>456.28719984856014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1.5290171756308066</v>
      </c>
      <c r="CM195" s="21">
        <f>EXP(-LN(2)/2)*CM194+(1-EXP(-LN(2)/2))/(LN(2)/2)*CG195*CJ195*VLOOKUP('Données projet'!$B$12,Paramètres!$A$1:$I$89,3,0)*0.475*44/12</f>
        <v>1.8595849833403132E-26</v>
      </c>
      <c r="CN195" s="22">
        <f t="shared" si="172"/>
        <v>1.5290171756308066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69.227140488479577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69.227140488479577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69.227140488479577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69.227140488479577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69.227140488479577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69.227140488479577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4.45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16.316666666666666</v>
      </c>
      <c r="H196" s="66">
        <f t="shared" ref="H196:H203" si="192">(B196+E196+F196)*44/12+(C196+D196)*0.475*44/12</f>
        <v>191.4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69.240547873149424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-5.6843418860808015E-14</v>
      </c>
      <c r="O196" s="13">
        <f>N196*VLOOKUP('Données projet'!$B$9,Paramètres!$A$1:$I$89,3,0)*VLOOKUP('Données projet'!$B$9,Paramètres!$A$1:$I$89,5,0)</f>
        <v>-2.5006556825246661E-14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129.89493875503857</v>
      </c>
      <c r="T196" s="59">
        <f t="shared" si="142"/>
        <v>318.19554842399577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2.1108679147748695</v>
      </c>
      <c r="AA196" s="21">
        <f>EXP(-LN(2)/25)*AA195+(1-EXP(-LN(2)/25))/(LN(2)/25)*Calculateur!V196*Calculateur!X196*VLOOKUP('Données projet'!$B$9,Paramètres!$A$1:$I$89,3,0)*0.475*44/12</f>
        <v>0.14335613341981959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2.2542240481946889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69.240547873149424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96.263123361643096</v>
      </c>
      <c r="AO196" s="59">
        <f t="shared" si="144"/>
        <v>291.35824366856377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1.8491499672868912</v>
      </c>
      <c r="AV196" s="21">
        <f>EXP(-LN(2)/25)*AV195+(1-EXP(-LN(2)/25))/(LN(2)/25)*Calculateur!AQ196*Calculateur!AS196*VLOOKUP('Données projet'!$B$10,Paramètres!$A$1:$I$89,3,0)*0.475*44/12</f>
        <v>0.12263271005503826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1.9717826773419294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69.240547873149424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103.69736557010637</v>
      </c>
      <c r="BJ196" s="59">
        <f t="shared" si="146"/>
        <v>312.86697521864392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1.9999671632003602</v>
      </c>
      <c r="BQ196" s="21">
        <f>EXP(-LN(2)/25)*BQ195+(1-EXP(-LN(2)/25))/(LN(2)/25)*Calculateur!BL196*Calculateur!BN196*VLOOKUP('Données projet'!$B$11,Paramètres!$A$1:$I$89,3,0)*0.475*44/12</f>
        <v>0.13263466867654822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2.1326018318769084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69.240547873149424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189.55118397415424</v>
      </c>
      <c r="CE196" s="59">
        <f t="shared" si="148"/>
        <v>456.28719984856014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1.4872061205556635</v>
      </c>
      <c r="CM196" s="21">
        <f>EXP(-LN(2)/2)*CM195+(1-EXP(-LN(2)/2))/(LN(2)/2)*CG196*CJ196*VLOOKUP('Données projet'!$B$12,Paramètres!$A$1:$I$89,3,0)*0.475*44/12</f>
        <v>1.3149251519126084E-26</v>
      </c>
      <c r="CN196" s="22">
        <f t="shared" si="172"/>
        <v>1.4872061205556635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69.240547873149424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69.240547873149424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69.240547873149424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69.240547873149424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69.240547873149424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69.240547873149424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4.45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16.316666666666666</v>
      </c>
      <c r="H197" s="66">
        <f t="shared" si="192"/>
        <v>191.4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69.253722669669699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-5.6843418860808015E-14</v>
      </c>
      <c r="O197" s="13">
        <f>N197*VLOOKUP('Données projet'!$B$9,Paramètres!$A$1:$I$89,3,0)*VLOOKUP('Données projet'!$B$9,Paramètres!$A$1:$I$89,5,0)</f>
        <v>-2.5006556825246661E-14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129.89493875503857</v>
      </c>
      <c r="T197" s="59">
        <f t="shared" ref="T197:T203" si="204">$T$3</f>
        <v>318.19554842399577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2.0694750824684318</v>
      </c>
      <c r="AA197" s="21">
        <f>EXP(-LN(2)/25)*AA196+(1-EXP(-LN(2)/25))/(LN(2)/25)*Calculateur!V197*Calculateur!X197*VLOOKUP('Données projet'!$B$9,Paramètres!$A$1:$I$89,3,0)*0.475*44/12</f>
        <v>0.13943605241268323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2.2089111348811152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69.253722669669699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96.263123361643096</v>
      </c>
      <c r="AO197" s="59">
        <f t="shared" ref="AO197:AO203" si="205">$AO$3</f>
        <v>291.35824366856377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1.8128892642985073</v>
      </c>
      <c r="AV197" s="21">
        <f>EXP(-LN(2)/25)*AV196+(1-EXP(-LN(2)/25))/(LN(2)/25)*Calculateur!AQ197*Calculateur!AS197*VLOOKUP('Données projet'!$B$10,Paramètres!$A$1:$I$89,3,0)*0.475*44/12</f>
        <v>0.1192793121496093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1.9321685764481167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69.253722669669699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103.69736557010637</v>
      </c>
      <c r="BJ197" s="59">
        <f t="shared" ref="BJ197:BJ203" si="206">$BJ$3</f>
        <v>312.86697521864392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1.9607490269895196</v>
      </c>
      <c r="BQ197" s="21">
        <f>EXP(-LN(2)/25)*BQ196+(1-EXP(-LN(2)/25))/(LN(2)/25)*Calculateur!BL197*Calculateur!BN197*VLOOKUP('Données projet'!$B$11,Paramètres!$A$1:$I$89,3,0)*0.475*44/12</f>
        <v>0.12900776668663391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2.0897567936761536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69.253722669669699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189.55118397415424</v>
      </c>
      <c r="CE197" s="59">
        <f t="shared" ref="CE197:CE203" si="207">$CE$3</f>
        <v>456.28719984856014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1.446538390980298</v>
      </c>
      <c r="CM197" s="21">
        <f>EXP(-LN(2)/2)*CM196+(1-EXP(-LN(2)/2))/(LN(2)/2)*CG197*CJ197*VLOOKUP('Données projet'!$B$12,Paramètres!$A$1:$I$89,3,0)*0.475*44/12</f>
        <v>9.2979249167015658E-27</v>
      </c>
      <c r="CN197" s="22">
        <f t="shared" si="172"/>
        <v>1.446538390980298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69.253722669669699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69.253722669669699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69.253722669669699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69.253722669669699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69.253722669669699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69.253722669669699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4.45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16.316666666666666</v>
      </c>
      <c r="H198" s="66">
        <f t="shared" si="192"/>
        <v>191.4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69.266668912924771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-5.6843418860808015E-14</v>
      </c>
      <c r="O198" s="13">
        <f>N198*VLOOKUP('Données projet'!$B$9,Paramètres!$A$1:$I$89,3,0)*VLOOKUP('Données projet'!$B$9,Paramètres!$A$1:$I$89,5,0)</f>
        <v>-2.5006556825246661E-14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129.89493875503857</v>
      </c>
      <c r="T198" s="59">
        <f t="shared" si="204"/>
        <v>318.19554842399577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2.0288939383563886</v>
      </c>
      <c r="AA198" s="21">
        <f>EXP(-LN(2)/25)*AA197+(1-EXP(-LN(2)/25))/(LN(2)/25)*Calculateur!V198*Calculateur!X198*VLOOKUP('Données projet'!$B$9,Paramètres!$A$1:$I$89,3,0)*0.475*44/12</f>
        <v>0.1356231662268351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2.1645171045832239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69.266668912924771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96.263123361643096</v>
      </c>
      <c r="AO198" s="59">
        <f t="shared" si="205"/>
        <v>291.35824366856377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1.7773396115788807</v>
      </c>
      <c r="AV198" s="21">
        <f>EXP(-LN(2)/25)*AV197+(1-EXP(-LN(2)/25))/(LN(2)/25)*Calculateur!AQ198*Calculateur!AS198*VLOOKUP('Données projet'!$B$10,Paramètres!$A$1:$I$89,3,0)*0.475*44/12</f>
        <v>0.11601761308625182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1.8933572246651325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69.266668912924771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103.69736557010637</v>
      </c>
      <c r="BJ198" s="59">
        <f t="shared" si="206"/>
        <v>312.86697521864392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1.9222999345090723</v>
      </c>
      <c r="BQ198" s="21">
        <f>EXP(-LN(2)/25)*BQ197+(1-EXP(-LN(2)/25))/(LN(2)/25)*Calculateur!BL198*Calculateur!BN198*VLOOKUP('Données projet'!$B$11,Paramètres!$A$1:$I$89,3,0)*0.475*44/12</f>
        <v>0.1254800425223643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2.0477799770314364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69.266668912924771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189.55118397415424</v>
      </c>
      <c r="CE198" s="59">
        <f t="shared" si="207"/>
        <v>456.28719984856014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1.4069827226087939</v>
      </c>
      <c r="CM198" s="21">
        <f>EXP(-LN(2)/2)*CM197+(1-EXP(-LN(2)/2))/(LN(2)/2)*CG198*CJ198*VLOOKUP('Données projet'!$B$12,Paramètres!$A$1:$I$89,3,0)*0.475*44/12</f>
        <v>6.5746257595630422E-27</v>
      </c>
      <c r="CN198" s="22">
        <f t="shared" si="172"/>
        <v>1.4069827226087939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69.266668912924771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69.266668912924771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69.266668912924771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69.266668912924771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69.266668912924771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69.266668912924771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4.45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16.316666666666666</v>
      </c>
      <c r="H199" s="66">
        <f t="shared" si="192"/>
        <v>191.4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69.279390567802821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-5.6843418860808015E-14</v>
      </c>
      <c r="O199" s="13">
        <f>N199*VLOOKUP('Données projet'!$B$9,Paramètres!$A$1:$I$89,3,0)*VLOOKUP('Données projet'!$B$9,Paramètres!$A$1:$I$89,5,0)</f>
        <v>-2.5006556825246661E-14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129.89493875503857</v>
      </c>
      <c r="T199" s="59">
        <f t="shared" si="204"/>
        <v>318.19554842399577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1.9891085657283289</v>
      </c>
      <c r="AA199" s="21">
        <f>EXP(-LN(2)/25)*AA198+(1-EXP(-LN(2)/25))/(LN(2)/25)*Calculateur!V199*Calculateur!X199*VLOOKUP('Données projet'!$B$9,Paramètres!$A$1:$I$89,3,0)*0.475*44/12</f>
        <v>0.13191454361424995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2.1210231093425791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69.279390567802821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96.263123361643096</v>
      </c>
      <c r="AO199" s="59">
        <f t="shared" si="205"/>
        <v>291.35824366856377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1.7424870658659388</v>
      </c>
      <c r="AV199" s="21">
        <f>EXP(-LN(2)/25)*AV198+(1-EXP(-LN(2)/25))/(LN(2)/25)*Calculateur!AQ199*Calculateur!AS199*VLOOKUP('Données projet'!$B$10,Paramètres!$A$1:$I$89,3,0)*0.475*44/12</f>
        <v>0.11284510535530715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1.8553321712212461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69.279390567802821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103.69736557010637</v>
      </c>
      <c r="BJ199" s="59">
        <f t="shared" si="206"/>
        <v>312.86697521864392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1.884604805280536</v>
      </c>
      <c r="BQ199" s="21">
        <f>EXP(-LN(2)/25)*BQ198+(1-EXP(-LN(2)/25))/(LN(2)/25)*Calculateur!BL199*Calculateur!BN199*VLOOKUP('Données projet'!$B$11,Paramètres!$A$1:$I$89,3,0)*0.475*44/12</f>
        <v>0.12204878416088161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2.0066535894414175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69.279390567802821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189.55118397415424</v>
      </c>
      <c r="CE199" s="59">
        <f t="shared" si="207"/>
        <v>456.28719984856014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1.3685087060690506</v>
      </c>
      <c r="CM199" s="21">
        <f>EXP(-LN(2)/2)*CM198+(1-EXP(-LN(2)/2))/(LN(2)/2)*CG199*CJ199*VLOOKUP('Données projet'!$B$12,Paramètres!$A$1:$I$89,3,0)*0.475*44/12</f>
        <v>4.6489624583507829E-27</v>
      </c>
      <c r="CN199" s="22">
        <f t="shared" si="172"/>
        <v>1.3685087060690506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69.279390567802821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69.279390567802821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69.279390567802821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69.279390567802821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69.279390567802821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69.279390567802821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4.45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16.316666666666666</v>
      </c>
      <c r="H200" s="66">
        <f t="shared" si="192"/>
        <v>191.4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69.291891530410098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-5.6843418860808015E-14</v>
      </c>
      <c r="O200" s="13">
        <f>N200*VLOOKUP('Données projet'!$B$9,Paramètres!$A$1:$I$89,3,0)*VLOOKUP('Données projet'!$B$9,Paramètres!$A$1:$I$89,5,0)</f>
        <v>-2.5006556825246661E-14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129.89493875503857</v>
      </c>
      <c r="T200" s="59">
        <f t="shared" si="204"/>
        <v>318.19554842399577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1.9501033599908244</v>
      </c>
      <c r="AA200" s="21">
        <f>EXP(-LN(2)/25)*AA199+(1-EXP(-LN(2)/25))/(LN(2)/25)*Calculateur!V200*Calculateur!X200*VLOOKUP('Données projet'!$B$9,Paramètres!$A$1:$I$89,3,0)*0.475*44/12</f>
        <v>0.12830733348203394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2.0784106934728586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69.291891530410098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96.263123361643096</v>
      </c>
      <c r="AO200" s="59">
        <f t="shared" si="205"/>
        <v>291.35824366856377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1.708317957316474</v>
      </c>
      <c r="AV200" s="21">
        <f>EXP(-LN(2)/25)*AV199+(1-EXP(-LN(2)/25))/(LN(2)/25)*Calculateur!AQ200*Calculateur!AS200*VLOOKUP('Données projet'!$B$10,Paramètres!$A$1:$I$89,3,0)*0.475*44/12</f>
        <v>0.10975935001510009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1.8180773073315741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69.291891530410098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103.69736557010637</v>
      </c>
      <c r="BJ200" s="59">
        <f t="shared" si="206"/>
        <v>312.86697521864392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1.8476488545444127</v>
      </c>
      <c r="BQ200" s="21">
        <f>EXP(-LN(2)/25)*BQ199+(1-EXP(-LN(2)/25))/(LN(2)/25)*Calculateur!BL200*Calculateur!BN200*VLOOKUP('Données projet'!$B$11,Paramètres!$A$1:$I$89,3,0)*0.475*44/12</f>
        <v>0.11871135373973568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1.9663602082841485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69.291891530410098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189.55118397415424</v>
      </c>
      <c r="CE200" s="59">
        <f t="shared" si="207"/>
        <v>456.28719984856014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1.3310867635348473</v>
      </c>
      <c r="CM200" s="21">
        <f>EXP(-LN(2)/2)*CM199+(1-EXP(-LN(2)/2))/(LN(2)/2)*CG200*CJ200*VLOOKUP('Données projet'!$B$12,Paramètres!$A$1:$I$89,3,0)*0.475*44/12</f>
        <v>3.2873128797815211E-27</v>
      </c>
      <c r="CN200" s="22">
        <f t="shared" si="172"/>
        <v>1.3310867635348473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69.291891530410098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69.291891530410098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69.291891530410098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69.291891530410098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69.291891530410098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69.291891530410098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4.45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16.316666666666666</v>
      </c>
      <c r="H201" s="66">
        <f t="shared" si="192"/>
        <v>191.4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69.304175629264122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-5.6843418860808015E-14</v>
      </c>
      <c r="O201" s="13">
        <f>N201*VLOOKUP('Données projet'!$B$9,Paramètres!$A$1:$I$89,3,0)*VLOOKUP('Données projet'!$B$9,Paramètres!$A$1:$I$89,5,0)</f>
        <v>-2.5006556825246661E-14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129.89493875503857</v>
      </c>
      <c r="T201" s="59">
        <f t="shared" si="204"/>
        <v>318.19554842399577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1.9118630225470059</v>
      </c>
      <c r="AA201" s="21">
        <f>EXP(-LN(2)/25)*AA200+(1-EXP(-LN(2)/25))/(LN(2)/25)*Calculateur!V201*Calculateur!X201*VLOOKUP('Données projet'!$B$9,Paramètres!$A$1:$I$89,3,0)*0.475*44/12</f>
        <v>0.1247987627005783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2.0366617852475843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69.304175629264122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96.263123361643096</v>
      </c>
      <c r="AO201" s="59">
        <f t="shared" si="205"/>
        <v>291.35824366856377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1.6748188841445657</v>
      </c>
      <c r="AV201" s="21">
        <f>EXP(-LN(2)/25)*AV200+(1-EXP(-LN(2)/25))/(LN(2)/25)*Calculateur!AQ201*Calculateur!AS201*VLOOKUP('Données projet'!$B$10,Paramètres!$A$1:$I$89,3,0)*0.475*44/12</f>
        <v>0.10675797481694382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1.7815768589615095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69.304175629264122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103.69736557010637</v>
      </c>
      <c r="BJ201" s="59">
        <f t="shared" si="206"/>
        <v>312.86697521864392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1.8114175874613205</v>
      </c>
      <c r="BQ201" s="21">
        <f>EXP(-LN(2)/25)*BQ200+(1-EXP(-LN(2)/25))/(LN(2)/25)*Calculateur!BL201*Calculateur!BN201*VLOOKUP('Données projet'!$B$11,Paramètres!$A$1:$I$89,3,0)*0.475*44/12</f>
        <v>0.11546518552896383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1.9268827729902844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69.304175629264122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189.55118397415424</v>
      </c>
      <c r="CE201" s="59">
        <f t="shared" si="207"/>
        <v>456.28719984856014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1.2946881259871763</v>
      </c>
      <c r="CM201" s="21">
        <f>EXP(-LN(2)/2)*CM200+(1-EXP(-LN(2)/2))/(LN(2)/2)*CG201*CJ201*VLOOKUP('Données projet'!$B$12,Paramètres!$A$1:$I$89,3,0)*0.475*44/12</f>
        <v>2.3244812291753915E-27</v>
      </c>
      <c r="CN201" s="22">
        <f t="shared" si="172"/>
        <v>1.2946881259871763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69.304175629264122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69.304175629264122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69.304175629264122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69.304175629264122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69.304175629264122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69.304175629264122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4.45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16.316666666666666</v>
      </c>
      <c r="H202" s="66">
        <f t="shared" si="192"/>
        <v>191.4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69.316246626466139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-5.6843418860808015E-14</v>
      </c>
      <c r="O202" s="13">
        <f>N202*VLOOKUP('Données projet'!$B$9,Paramètres!$A$1:$I$89,3,0)*VLOOKUP('Données projet'!$B$9,Paramètres!$A$1:$I$89,5,0)</f>
        <v>-2.5006556825246661E-14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129.89493875503857</v>
      </c>
      <c r="T202" s="59">
        <f t="shared" si="204"/>
        <v>318.19554842399577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1.8743725547961581</v>
      </c>
      <c r="AA202" s="21">
        <f>EXP(-LN(2)/25)*AA201+(1-EXP(-LN(2)/25))/(LN(2)/25)*Calculateur!V202*Calculateur!X202*VLOOKUP('Données projet'!$B$9,Paramètres!$A$1:$I$89,3,0)*0.475*44/12</f>
        <v>0.12138613397164928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1.9957586887678074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69.316246626466139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96.263123361643096</v>
      </c>
      <c r="AO202" s="59">
        <f t="shared" si="205"/>
        <v>291.35824366856377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1.6419767073651415</v>
      </c>
      <c r="AV202" s="21">
        <f>EXP(-LN(2)/25)*AV201+(1-EXP(-LN(2)/25))/(LN(2)/25)*Calculateur!AQ202*Calculateur!AS202*VLOOKUP('Données projet'!$B$10,Paramètres!$A$1:$I$89,3,0)*0.475*44/12</f>
        <v>0.1038386723814166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1.7458153797465581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69.316246626466139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103.69736557010637</v>
      </c>
      <c r="BJ202" s="59">
        <f t="shared" si="206"/>
        <v>312.86697521864392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1.775896793426837</v>
      </c>
      <c r="BQ202" s="21">
        <f>EXP(-LN(2)/25)*BQ201+(1-EXP(-LN(2)/25))/(LN(2)/25)*Calculateur!BL202*Calculateur!BN202*VLOOKUP('Données projet'!$B$11,Paramètres!$A$1:$I$89,3,0)*0.475*44/12</f>
        <v>0.11230778395862411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1.8882045773854612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69.316246626466139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189.55118397415424</v>
      </c>
      <c r="CE202" s="59">
        <f t="shared" si="207"/>
        <v>456.28719984856014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1.2592848110973676</v>
      </c>
      <c r="CM202" s="21">
        <f>EXP(-LN(2)/2)*CM201+(1-EXP(-LN(2)/2))/(LN(2)/2)*CG202*CJ202*VLOOKUP('Données projet'!$B$12,Paramètres!$A$1:$I$89,3,0)*0.475*44/12</f>
        <v>1.6436564398907605E-27</v>
      </c>
      <c r="CN202" s="22">
        <f t="shared" si="172"/>
        <v>1.2592848110973676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69.316246626466139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69.316246626466139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69.316246626466139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69.316246626466139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69.316246626466139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69.316246626466139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4.45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16.316666666666666</v>
      </c>
      <c r="H203" s="66">
        <f t="shared" si="192"/>
        <v>191.4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69.328108218853416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-5.6843418860808015E-14</v>
      </c>
      <c r="O203" s="13">
        <f>N203*VLOOKUP('Données projet'!$B$9,Paramètres!$A$1:$I$89,3,0)*VLOOKUP('Données projet'!$B$9,Paramètres!$A$1:$I$89,5,0)</f>
        <v>-2.5006556825246661E-14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129.89493875503857</v>
      </c>
      <c r="T203" s="59">
        <f t="shared" si="204"/>
        <v>318.19554842399577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1.8376172522509768</v>
      </c>
      <c r="AA203" s="21">
        <f>EXP(-LN(2)/25)*AA202+(1-EXP(-LN(2)/25))/(LN(2)/25)*Calculateur!V203*Calculateur!X203*VLOOKUP('Données projet'!$B$9,Paramètres!$A$1:$I$89,3,0)*0.475*44/12</f>
        <v>0.11806682375477517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1.9556840760057521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69.328108218853416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96.263123361643096</v>
      </c>
      <c r="AO203" s="59">
        <f t="shared" si="205"/>
        <v>291.35824366856377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1.609778545640612</v>
      </c>
      <c r="AV203" s="21">
        <f>EXP(-LN(2)/25)*AV202+(1-EXP(-LN(2)/25))/(LN(2)/25)*Calculateur!AQ203*Calculateur!AS203*VLOOKUP('Données projet'!$B$10,Paramètres!$A$1:$I$89,3,0)*0.475*44/12</f>
        <v>0.1009991984245083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1.7107777440651202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69.328108218853416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103.69736557010637</v>
      </c>
      <c r="BJ203" s="59">
        <f t="shared" si="206"/>
        <v>312.86697521864392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1.7410725404978247</v>
      </c>
      <c r="BQ203" s="21">
        <f>EXP(-LN(2)/25)*BQ202+(1-EXP(-LN(2)/25))/(LN(2)/25)*Calculateur!BL203*Calculateur!BN203*VLOOKUP('Données projet'!$B$11,Paramètres!$A$1:$I$89,3,0)*0.475*44/12</f>
        <v>0.10923672170026585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1.8503092621980906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69.328108218853416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189.55118397415424</v>
      </c>
      <c r="CE203" s="59">
        <f t="shared" si="207"/>
        <v>456.28719984856014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1.2248496017149999</v>
      </c>
      <c r="CM203" s="21">
        <f>EXP(-LN(2)/2)*CM202+(1-EXP(-LN(2)/2))/(LN(2)/2)*CG203*CJ203*VLOOKUP('Données projet'!$B$12,Paramètres!$A$1:$I$89,3,0)*0.475*44/12</f>
        <v>1.1622406145876957E-27</v>
      </c>
      <c r="CN203" s="22">
        <f t="shared" si="172"/>
        <v>1.2248496017149999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69.328108218853416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69.328108218853416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69.328108218853416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69.328108218853416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69.328108218853416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69.328108218853416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1.6608470099654447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1.6608470099654447</v>
      </c>
      <c r="BA205" s="81">
        <f>EXP(LN('Données projet'!B88)/'Données projet'!A88)</f>
        <v>1.6608470099654447</v>
      </c>
      <c r="BV205" s="81">
        <f>EXP(LN('Données projet'!B114)/'Données projet'!A114)</f>
        <v>1.4943820583928935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Peuplier I-214</v>
      </c>
      <c r="B6" s="144">
        <f>'Données projet'!D9</f>
        <v>2.1000000000000005</v>
      </c>
      <c r="C6" s="145">
        <f ca="1">IF(OR('Données projet'!B9="",'Données projet'!C9="",'Données projet'!C9=0%),0,Calculateur!S3)</f>
        <v>129.89493875503857</v>
      </c>
      <c r="D6" s="145">
        <f>IF(OR('Données projet'!B9="",'Données projet'!C9="",'Données projet'!C9=0%),0,Calculateur!T3)</f>
        <v>318.19554842399577</v>
      </c>
      <c r="E6" s="145">
        <f ca="1">MIN(C6,D6)</f>
        <v>129.89493875503857</v>
      </c>
      <c r="F6" s="145">
        <f ca="1">E6*B6</f>
        <v>272.77937138558104</v>
      </c>
      <c r="G6" s="145">
        <f ca="1">F6*(100%-'Données projet'!$C$24)*(100%-'Données projet'!$C$25)*(100%-'Données projet'!$C$26)*(100%-'Données projet'!$C$27)</f>
        <v>186.58109002773745</v>
      </c>
      <c r="H6" s="146">
        <f>IF(OR('Données projet'!B9="",'Données projet'!C9="",'Données projet'!C9=0%),0,AVERAGE(Calculateur!$AC$3:$AC$33)*B6)</f>
        <v>66.722868964825309</v>
      </c>
      <c r="I6" s="147">
        <f>H6*(100%-'Données projet'!$C$24)*(100%-'Données projet'!$C$25)*(100%-'Données projet'!$C$26)*(100%-'Données projet'!$C$27)</f>
        <v>45.638442371940513</v>
      </c>
      <c r="J6" s="148">
        <f>IF(OR('Données projet'!B9="",'Données projet'!C9="",'Données projet'!C9=0%),0,SUM(Calculateur!$V$3:$V$33)*VLOOKUP('Données projet'!$B$9,Paramètres!$A$1:$I$89,9,0)*B6)</f>
        <v>650.28653846153861</v>
      </c>
      <c r="K6" s="149">
        <f>J6*(100%-'Données projet'!$C$24)*(100%-'Données projet'!$C$25)*(100%-'Données projet'!$C$26)*(100%-'Données projet'!$C$27)</f>
        <v>444.79599230769242</v>
      </c>
      <c r="L6" s="150">
        <f ca="1">G6+I6+K6</f>
        <v>677.01552470737033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Peuplier I-214</v>
      </c>
      <c r="B7" s="152">
        <f>'Données projet'!D10</f>
        <v>2.0000000000000004</v>
      </c>
      <c r="C7" s="145">
        <f ca="1">IF(OR('Données projet'!B10="",'Données projet'!C10="",'Données projet'!C10=0%),0,Calculateur!AN3)</f>
        <v>96.263123361643096</v>
      </c>
      <c r="D7" s="145">
        <f>IF(OR('Données projet'!B10="",'Données projet'!C10="",'Données projet'!C10=0%),0,Calculateur!AO3)</f>
        <v>291.35824366856377</v>
      </c>
      <c r="E7" s="145">
        <f t="shared" ref="E7:E15" ca="1" si="0">MIN(C7,D7)</f>
        <v>96.263123361643096</v>
      </c>
      <c r="F7" s="145">
        <f t="shared" ref="F7:F15" ca="1" si="1">E7*B7</f>
        <v>192.52624672328625</v>
      </c>
      <c r="G7" s="145">
        <f ca="1">F7*(100%-'Données projet'!$C$24)*(100%-'Données projet'!$C$25)*(100%-'Données projet'!$C$26)*(100%-'Données projet'!$C$27)</f>
        <v>131.68795275872779</v>
      </c>
      <c r="H7" s="153">
        <f>IF(OR('Données projet'!B10="",'Données projet'!C10="",'Données projet'!C10=0%),0,AVERAGE(Calculateur!$AX$3:$AX$33)*B7)</f>
        <v>70.526554652173445</v>
      </c>
      <c r="I7" s="147">
        <f>H7*(100%-'Données projet'!$C$24)*(100%-'Données projet'!$C$25)*(100%-'Données projet'!$C$26)*(100%-'Données projet'!$C$27)</f>
        <v>48.240163382086642</v>
      </c>
      <c r="J7" s="148">
        <f>IF(OR('Données projet'!B10="",'Données projet'!C10="",'Données projet'!C10=0%),0,SUM(Calculateur!$AQ$3:$AQ$33)*VLOOKUP('Données projet'!$B$10,Paramètres!$A$1:$I$89,9,0)*B7)</f>
        <v>575.74358974358995</v>
      </c>
      <c r="K7" s="149">
        <f>J7*(100%-'Données projet'!$C$24)*(100%-'Données projet'!$C$25)*(100%-'Données projet'!$C$26)*(100%-'Données projet'!$C$27)</f>
        <v>393.80861538461556</v>
      </c>
      <c r="L7" s="150">
        <f t="shared" ref="L7:L15" ca="1" si="2">G7+I7+K7</f>
        <v>573.73673152543006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Peuplier Polargo</v>
      </c>
      <c r="B8" s="152">
        <f>'Données projet'!D11</f>
        <v>1.9999640000000001</v>
      </c>
      <c r="C8" s="145">
        <f ca="1">IF(OR('Données projet'!B11="",'Données projet'!C11="",'Données projet'!C11=0%),0,Calculateur!BI3)</f>
        <v>103.69736557010637</v>
      </c>
      <c r="D8" s="145">
        <f>IF(OR('Données projet'!B11="",'Données projet'!C11="",'Données projet'!C11=0%),0,Calculateur!BJ3)</f>
        <v>312.86697521864392</v>
      </c>
      <c r="E8" s="145">
        <f t="shared" ca="1" si="0"/>
        <v>103.69736557010637</v>
      </c>
      <c r="F8" s="145">
        <f t="shared" ca="1" si="1"/>
        <v>207.39099803505223</v>
      </c>
      <c r="G8" s="145">
        <f ca="1">F8*(100%-'Données projet'!$C$24)*(100%-'Données projet'!$C$25)*(100%-'Données projet'!$C$26)*(100%-'Données projet'!$C$27)</f>
        <v>141.85544265597576</v>
      </c>
      <c r="H8" s="153">
        <f>IF(OR('Données projet'!B11="",'Données projet'!C11="",'Données projet'!C11=0%),0,AVERAGE(Calculateur!$BS$3:$BS$33)*B8)</f>
        <v>76.277347440169706</v>
      </c>
      <c r="I8" s="147">
        <f>H8*(100%-'Données projet'!$C$24)*(100%-'Données projet'!$C$25)*(100%-'Données projet'!$C$26)*(100%-'Données projet'!$C$27)</f>
        <v>52.173705649076084</v>
      </c>
      <c r="J8" s="148">
        <f>IF(OR('Données projet'!B11="",'Données projet'!C11="",'Données projet'!C11=0%),0,SUM(Calculateur!$BL$3:$BL$33)*VLOOKUP('Données projet'!$B$11,Paramètres!$A$1:$I$89,9,0)*B8)</f>
        <v>575.73322635897443</v>
      </c>
      <c r="K8" s="149">
        <f>J8*(100%-'Données projet'!$C$24)*(100%-'Données projet'!$C$25)*(100%-'Données projet'!$C$26)*(100%-'Données projet'!$C$27)</f>
        <v>393.80152682953855</v>
      </c>
      <c r="L8" s="150">
        <f t="shared" ca="1" si="2"/>
        <v>587.83067513459036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Pin maritime</v>
      </c>
      <c r="B9" s="152">
        <f>'Données projet'!D12</f>
        <v>1.8000150000000001</v>
      </c>
      <c r="C9" s="145">
        <f ca="1">IF(OR('Données projet'!B12="",'Données projet'!C12="",'Données projet'!C12=0%),0,Calculateur!CD3)</f>
        <v>189.55118397415424</v>
      </c>
      <c r="D9" s="145">
        <f>IF(OR('Données projet'!B12="",'Données projet'!C12="",'Données projet'!C12=0%),0,Calculateur!CE3)</f>
        <v>456.28719984856014</v>
      </c>
      <c r="E9" s="145">
        <f t="shared" ca="1" si="0"/>
        <v>189.55118397415424</v>
      </c>
      <c r="F9" s="145">
        <f t="shared" ca="1" si="1"/>
        <v>341.19497442123725</v>
      </c>
      <c r="G9" s="145">
        <f ca="1">F9*(100%-'Données projet'!$C$24)*(100%-'Données projet'!$C$25)*(100%-'Données projet'!$C$26)*(100%-'Données projet'!$C$27)</f>
        <v>233.37736250412627</v>
      </c>
      <c r="H9" s="153">
        <f>IF(OR('Données projet'!B12="",'Données projet'!C12="",'Données projet'!C12=0%),0,AVERAGE(Calculateur!$CN$3:$CN$33)*B9)</f>
        <v>30.718790409688001</v>
      </c>
      <c r="I9" s="147">
        <f>H9*(100%-'Données projet'!$C$24)*(100%-'Données projet'!$C$25)*(100%-'Données projet'!$C$26)*(100%-'Données projet'!$C$27)</f>
        <v>21.011652640226593</v>
      </c>
      <c r="J9" s="148">
        <f>IF(OR('Données projet'!B12="",'Données projet'!C12="",'Données projet'!C12=0%),0,SUM(Calculateur!$CG$3:$CG$33)*VLOOKUP('Données projet'!$B$12,Paramètres!$A$1:$I$89,9,0)*B9)</f>
        <v>469.4079117</v>
      </c>
      <c r="K9" s="149">
        <f>J9*(100%-'Données projet'!$C$24)*(100%-'Données projet'!$C$25)*(100%-'Données projet'!$C$26)*(100%-'Données projet'!$C$27)</f>
        <v>321.07501160280003</v>
      </c>
      <c r="L9" s="150">
        <f t="shared" ca="1" si="2"/>
        <v>575.46402674715296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1013.8915905651568</v>
      </c>
      <c r="G16" s="164">
        <f t="shared" ca="1" si="3"/>
        <v>693.5018479465673</v>
      </c>
      <c r="H16" s="165">
        <f t="shared" si="3"/>
        <v>244.24556146685646</v>
      </c>
      <c r="I16" s="165">
        <f t="shared" si="3"/>
        <v>167.06396404332983</v>
      </c>
      <c r="J16" s="166">
        <f t="shared" si="3"/>
        <v>2271.171266264103</v>
      </c>
      <c r="K16" s="166">
        <f t="shared" si="3"/>
        <v>1553.4811461246466</v>
      </c>
      <c r="L16" s="167">
        <f t="shared" ca="1" si="3"/>
        <v>2414.0469581145435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Peuplier I-214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Peuplier I-214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Peuplier Polargo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Pin maritime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8" zoomScale="90" zoomScaleNormal="90" workbookViewId="0">
      <selection activeCell="I17" sqref="I17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Peuplier I-214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2.1000000000000005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Peuplier I-214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2.0000000000000004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Peuplier Polargo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1.9999640000000001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Pin maritime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1.8000150000000001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Peuplier I-214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9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14</v>
      </c>
      <c r="B24" s="179">
        <f>'Données projet'!D37</f>
        <v>0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18</v>
      </c>
      <c r="B25" s="179">
        <f>'Données projet'!D38</f>
        <v>300.64102564102564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8">
        <f ca="1">T23-T24</f>
        <v>0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0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n'est pas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0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0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0</v>
      </c>
      <c r="B29" s="179">
        <f>'Données projet'!D42</f>
        <v>0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0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0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0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0</v>
      </c>
      <c r="B34" s="179">
        <f>'Données projet'!D47</f>
        <v>0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0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0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Peuplier I-214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 t="str">
        <f>IF(O48+1&lt;=MIN('Données projet'!$E$9:$E$18),O48+1,"STOP")</f>
        <v>STOP</v>
      </c>
      <c r="P49" s="183" t="e">
        <f t="shared" si="3"/>
        <v>#VALUE!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 t="e">
        <f>IF(O49+1&lt;=MIN('Données projet'!$E$9:$E$18),O49+1,"STOP")</f>
        <v>#VALUE!</v>
      </c>
      <c r="P50" s="183" t="e">
        <f t="shared" si="3"/>
        <v>#VALUE!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 t="e">
        <f>IF(O50+1&lt;=MIN('Données projet'!$E$9:$E$18),O50+1,"STOP")</f>
        <v>#VALUE!</v>
      </c>
      <c r="P51" s="183" t="e">
        <f t="shared" si="3"/>
        <v>#VALUE!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 t="e">
        <f>IF(O51+1&lt;=MIN('Données projet'!$E$9:$E$18),O51+1,"STOP")</f>
        <v>#VALUE!</v>
      </c>
      <c r="P52" s="183" t="e">
        <f t="shared" si="3"/>
        <v>#VALUE!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 t="e">
        <f>IF(O52+1&lt;=MIN('Données projet'!$E$9:$E$18),O52+1,"STOP")</f>
        <v>#VALUE!</v>
      </c>
      <c r="P53" s="183" t="e">
        <f t="shared" si="3"/>
        <v>#VALUE!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9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 t="e">
        <f>IF(O53+1&lt;=MIN('Données projet'!$E$9:$E$18),O53+1,"STOP")</f>
        <v>#VALUE!</v>
      </c>
      <c r="P54" s="183" t="e">
        <f t="shared" si="3"/>
        <v>#VALUE!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14</v>
      </c>
      <c r="B55" s="179">
        <f>'Données projet'!D63</f>
        <v>0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 t="e">
        <f>IF(O54+1&lt;=MIN('Données projet'!$E$9:$E$18),O54+1,"STOP")</f>
        <v>#VALUE!</v>
      </c>
      <c r="P55" s="183" t="e">
        <f t="shared" si="3"/>
        <v>#VALUE!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15</v>
      </c>
      <c r="B56" s="179">
        <f>'Données projet'!D64</f>
        <v>279.4871794871795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 t="e">
        <f>IF(O55+1&lt;=MIN('Données projet'!$E$9:$E$18),O55+1,"STOP")</f>
        <v>#VALUE!</v>
      </c>
      <c r="P56" s="183" t="e">
        <f t="shared" si="3"/>
        <v>#VALUE!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0</v>
      </c>
      <c r="B57" s="179">
        <f>'Données projet'!D65</f>
        <v>0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 t="e">
        <f>IF(O56+1&lt;=MIN('Données projet'!$E$9:$E$18),O56+1,"STOP")</f>
        <v>#VALUE!</v>
      </c>
      <c r="P57" s="183" t="e">
        <f t="shared" si="3"/>
        <v>#VALUE!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0</v>
      </c>
      <c r="B58" s="179">
        <f>'Données projet'!D66</f>
        <v>0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 t="e">
        <f>IF(O57+1&lt;=MIN('Données projet'!$E$9:$E$18),O57+1,"STOP")</f>
        <v>#VALUE!</v>
      </c>
      <c r="P58" s="183" t="e">
        <f t="shared" si="3"/>
        <v>#VALUE!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0</v>
      </c>
      <c r="B59" s="179">
        <f>'Données projet'!D67</f>
        <v>0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 t="e">
        <f>IF(O58+1&lt;=MIN('Données projet'!$E$9:$E$18),O58+1,"STOP")</f>
        <v>#VALUE!</v>
      </c>
      <c r="P59" s="183" t="e">
        <f t="shared" si="3"/>
        <v>#VALUE!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0</v>
      </c>
      <c r="B60" s="179">
        <f>'Données projet'!D68</f>
        <v>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 t="e">
        <f>IF(O59+1&lt;=MIN('Données projet'!$E$9:$E$18),O59+1,"STOP")</f>
        <v>#VALUE!</v>
      </c>
      <c r="P60" s="183" t="e">
        <f t="shared" si="3"/>
        <v>#VALUE!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0</v>
      </c>
      <c r="B61" s="179">
        <f>'Données projet'!D69</f>
        <v>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 t="e">
        <f>IF(O60+1&lt;=MIN('Données projet'!$E$9:$E$18),O60+1,"STOP")</f>
        <v>#VALUE!</v>
      </c>
      <c r="P61" s="183" t="e">
        <f t="shared" si="3"/>
        <v>#VALUE!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0</v>
      </c>
      <c r="B62" s="179">
        <f>'Données projet'!D70</f>
        <v>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 t="e">
        <f>IF(O61+1&lt;=MIN('Données projet'!$E$9:$E$18),O61+1,"STOP")</f>
        <v>#VALUE!</v>
      </c>
      <c r="P62" s="183" t="e">
        <f t="shared" si="3"/>
        <v>#VALUE!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0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 t="e">
        <f>IF(O62+1&lt;=MIN('Données projet'!$E$9:$E$18),O62+1,"STOP")</f>
        <v>#VALUE!</v>
      </c>
      <c r="P63" s="183" t="e">
        <f t="shared" si="3"/>
        <v>#VALUE!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0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e">
        <f>IF(O63+1&lt;=MIN('Données projet'!$E$9:$E$18),O63+1,"STOP")</f>
        <v>#VALUE!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Peuplier Polargo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9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14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15</v>
      </c>
      <c r="B87" s="179">
        <f>'Données projet'!D90</f>
        <v>279.4871794871795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Pin maritime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11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12</v>
      </c>
      <c r="B117" s="179">
        <f>'Données projet'!D115</f>
        <v>34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13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14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15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16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17</v>
      </c>
      <c r="B122" s="179">
        <f>'Données projet'!D120</f>
        <v>43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18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19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20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21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22</v>
      </c>
      <c r="B127" s="179">
        <f>'Données projet'!D125</f>
        <v>56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23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24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25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26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27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28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29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30</v>
      </c>
      <c r="B135" s="179">
        <f>'Données projet'!D133</f>
        <v>309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2025-02-17T09:07:33Z</dcterms:modified>
</cp:coreProperties>
</file>