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Moussac (86)\Dossier d_instruction\"/>
    </mc:Choice>
  </mc:AlternateContent>
  <xr:revisionPtr revIDLastSave="0" documentId="13_ncr:1_{B5B31E8A-8A80-43DD-9BDC-05F131B286C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HG194" i="2"/>
  <c r="FQ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DI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DT121" i="2" l="1"/>
  <c r="DT197" i="2"/>
  <c r="DT13" i="2"/>
  <c r="DT8" i="2"/>
  <c r="DT178" i="2"/>
  <c r="DT105" i="2"/>
  <c r="DT180" i="2"/>
  <c r="DT183" i="2"/>
  <c r="DT186" i="2"/>
  <c r="DT161" i="2"/>
  <c r="DT27" i="2"/>
  <c r="DT158" i="2"/>
  <c r="DT155" i="2"/>
  <c r="DT3" i="2"/>
  <c r="C11" i="4" s="1"/>
  <c r="E11" i="4" s="1"/>
  <c r="F11" i="4" s="1"/>
  <c r="G11" i="4" s="1"/>
  <c r="L11" i="4" s="1"/>
  <c r="DT192" i="2"/>
  <c r="DT7" i="2"/>
  <c r="DT115" i="2"/>
  <c r="DT135" i="2"/>
  <c r="DT88" i="2"/>
  <c r="DT78" i="2"/>
  <c r="DT119" i="2"/>
  <c r="DT71" i="2"/>
  <c r="DT200" i="2"/>
  <c r="DT49" i="2"/>
  <c r="DT95" i="2"/>
  <c r="DT47" i="2"/>
  <c r="DT86" i="2"/>
  <c r="DT75" i="2"/>
  <c r="DT56" i="2"/>
  <c r="DT176" i="2"/>
  <c r="DT126" i="2"/>
  <c r="DT142" i="2"/>
  <c r="DT94" i="2"/>
  <c r="DT5" i="2"/>
  <c r="DT35" i="2"/>
  <c r="DT153" i="2"/>
  <c r="DT66" i="2"/>
  <c r="DT189" i="2"/>
  <c r="DT6" i="2"/>
  <c r="DT72" i="2"/>
  <c r="DT109" i="2"/>
  <c r="DT131" i="2"/>
  <c r="DT108" i="2"/>
  <c r="DT30" i="2"/>
  <c r="DT73" i="2"/>
  <c r="DT37" i="2"/>
  <c r="DT63" i="2"/>
  <c r="DT50" i="2"/>
  <c r="DT188" i="2"/>
  <c r="DT195" i="2"/>
  <c r="DT87" i="2"/>
  <c r="DT45" i="2"/>
  <c r="DT193" i="2"/>
  <c r="DT90" i="2"/>
  <c r="DT129" i="2"/>
  <c r="DT59" i="2"/>
  <c r="DT149" i="2"/>
  <c r="DT70" i="2"/>
  <c r="DT89" i="2"/>
  <c r="DT125" i="2"/>
  <c r="DT16" i="2"/>
  <c r="DT43" i="2"/>
  <c r="DT106" i="2"/>
  <c r="DT199" i="2"/>
  <c r="DT171" i="2"/>
  <c r="DT127" i="2"/>
  <c r="DT150" i="2"/>
  <c r="DT181" i="2"/>
  <c r="DT167" i="2"/>
  <c r="DT134" i="2"/>
  <c r="DT198" i="2"/>
  <c r="DT23" i="2"/>
  <c r="DT148" i="2"/>
  <c r="DT36" i="2"/>
  <c r="DT140" i="2"/>
  <c r="DT24" i="2"/>
  <c r="DT113" i="2"/>
  <c r="DT160" i="2"/>
  <c r="DT67" i="2"/>
  <c r="DT4" i="2"/>
  <c r="DT173" i="2"/>
  <c r="DT48" i="2"/>
  <c r="DT76" i="2"/>
  <c r="DT137" i="2"/>
  <c r="DT15" i="2"/>
  <c r="DT116" i="2"/>
  <c r="DT92" i="2"/>
  <c r="DT84" i="2"/>
  <c r="DT91" i="2"/>
  <c r="DT57" i="2"/>
  <c r="DT114" i="2"/>
  <c r="DT18" i="2"/>
  <c r="DT11" i="2"/>
  <c r="DT28" i="2"/>
  <c r="DT9" i="2"/>
  <c r="DT20" i="2"/>
  <c r="DT156" i="2"/>
  <c r="DT166" i="2"/>
  <c r="DT174" i="2"/>
  <c r="DT118" i="2"/>
  <c r="DT61" i="2"/>
  <c r="DT128" i="2"/>
  <c r="DT25" i="2"/>
  <c r="DT100" i="2"/>
  <c r="DT79" i="2"/>
  <c r="DT14" i="2"/>
  <c r="DT143" i="2"/>
  <c r="DT101" i="2"/>
  <c r="DT130" i="2"/>
  <c r="DT170" i="2"/>
  <c r="DT122" i="2"/>
  <c r="DT12" i="2"/>
  <c r="DT136" i="2"/>
  <c r="DT97" i="2"/>
  <c r="DT133" i="2"/>
  <c r="DT21" i="2"/>
  <c r="DT201" i="2"/>
  <c r="DT163" i="2"/>
  <c r="DT99" i="2"/>
  <c r="DT196" i="2"/>
  <c r="DT55" i="2"/>
  <c r="DT117" i="2"/>
  <c r="DT40" i="2"/>
  <c r="DT162" i="2"/>
  <c r="DT54" i="2"/>
  <c r="DT157" i="2"/>
  <c r="DT38" i="2"/>
  <c r="DT124" i="2"/>
  <c r="DT34" i="2"/>
  <c r="DT22" i="2"/>
  <c r="DT159" i="2"/>
  <c r="DT26" i="2"/>
  <c r="DT172" i="2"/>
  <c r="DT31" i="2"/>
  <c r="DT120" i="2"/>
  <c r="DT132" i="2"/>
  <c r="DT146" i="2"/>
  <c r="DT53" i="2"/>
  <c r="DT39" i="2"/>
  <c r="DT33" i="2"/>
  <c r="DT164" i="2"/>
  <c r="DT41" i="2"/>
  <c r="DT85" i="2"/>
  <c r="DT154" i="2"/>
  <c r="DT32" i="2"/>
  <c r="DT187" i="2"/>
  <c r="DT169" i="2"/>
  <c r="DT184" i="2"/>
  <c r="DT102" i="2"/>
  <c r="DT190" i="2"/>
  <c r="DT123" i="2"/>
  <c r="DT64" i="2"/>
  <c r="DT51" i="2"/>
  <c r="DT52" i="2"/>
  <c r="DT168" i="2"/>
  <c r="DT69" i="2"/>
  <c r="DT191" i="2"/>
  <c r="DT138" i="2"/>
  <c r="DT152" i="2"/>
  <c r="DT182" i="2"/>
  <c r="DT141" i="2"/>
  <c r="DT65" i="2"/>
  <c r="DT179" i="2"/>
  <c r="DT165" i="2"/>
  <c r="DT68" i="2"/>
  <c r="DT19" i="2"/>
  <c r="DT77" i="2"/>
  <c r="DT110" i="2"/>
  <c r="DT80" i="2"/>
  <c r="DT151" i="2"/>
  <c r="DT58" i="2"/>
  <c r="DT74" i="2"/>
  <c r="DT175" i="2"/>
  <c r="DT29" i="2"/>
  <c r="DT103" i="2"/>
  <c r="DT17" i="2"/>
  <c r="DT44" i="2"/>
  <c r="DT46" i="2"/>
  <c r="DT111" i="2"/>
  <c r="DT62" i="2"/>
  <c r="DT42" i="2"/>
  <c r="DT98" i="2"/>
  <c r="DT10" i="2"/>
  <c r="DT81" i="2"/>
  <c r="DT107" i="2"/>
  <c r="DT177" i="2"/>
  <c r="DT145" i="2"/>
  <c r="DT83" i="2"/>
  <c r="DT82" i="2"/>
  <c r="DT194" i="2"/>
  <c r="DT96" i="2"/>
  <c r="DT104" i="2"/>
  <c r="DT93" i="2"/>
  <c r="DT203" i="2"/>
  <c r="DT139" i="2"/>
  <c r="DT144" i="2"/>
  <c r="DT60" i="2"/>
  <c r="DT112" i="2"/>
  <c r="DT202" i="2"/>
  <c r="DT185" i="2"/>
  <c r="DT147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24" i="2" l="1"/>
  <c r="CY27" i="2"/>
  <c r="CY55" i="2"/>
  <c r="CY175" i="2"/>
  <c r="CY121" i="2"/>
  <c r="CY158" i="2"/>
  <c r="CY99" i="2"/>
  <c r="CY111" i="2"/>
  <c r="CY157" i="2"/>
  <c r="CY180" i="2"/>
  <c r="CY16" i="2"/>
  <c r="CY155" i="2"/>
  <c r="CY20" i="2"/>
  <c r="CY188" i="2"/>
  <c r="CY8" i="2"/>
  <c r="CY64" i="2"/>
  <c r="CY53" i="2"/>
  <c r="CY101" i="2"/>
  <c r="CY28" i="2"/>
  <c r="CY26" i="2"/>
  <c r="CY81" i="2"/>
  <c r="CY151" i="2"/>
  <c r="CY194" i="2"/>
  <c r="CY113" i="2"/>
  <c r="CY139" i="2"/>
  <c r="CY102" i="2"/>
  <c r="CY149" i="2"/>
  <c r="CY9" i="2"/>
  <c r="CY132" i="2"/>
  <c r="CY184" i="2"/>
  <c r="CY73" i="2"/>
  <c r="CY76" i="2"/>
  <c r="CY92" i="2"/>
  <c r="CY14" i="2"/>
  <c r="CY164" i="2"/>
  <c r="CY153" i="2"/>
  <c r="CY54" i="2"/>
  <c r="CY15" i="2"/>
  <c r="CY71" i="2"/>
  <c r="CY29" i="2"/>
  <c r="CY200" i="2"/>
  <c r="CY80" i="2"/>
  <c r="CY133" i="2"/>
  <c r="CY77" i="2"/>
  <c r="CY60" i="2"/>
  <c r="CY49" i="2"/>
  <c r="CY118" i="2"/>
  <c r="CY201" i="2"/>
  <c r="CY169" i="2"/>
  <c r="CY100" i="2"/>
  <c r="CY13" i="2"/>
  <c r="CY159" i="2"/>
  <c r="CY17" i="2"/>
  <c r="CY147" i="2"/>
  <c r="CY189" i="2"/>
  <c r="CY43" i="2"/>
  <c r="CY52" i="2"/>
  <c r="CY5" i="2"/>
  <c r="CY177" i="2"/>
  <c r="CY69" i="2"/>
  <c r="CY191" i="2"/>
  <c r="CY79" i="2"/>
  <c r="CY67" i="2"/>
  <c r="CY21" i="2"/>
  <c r="CY94" i="2"/>
  <c r="CY30" i="2"/>
  <c r="CY6" i="2"/>
  <c r="CY144" i="2"/>
  <c r="CY196" i="2"/>
  <c r="CY150" i="2"/>
  <c r="CY195" i="2"/>
  <c r="CY125" i="2"/>
  <c r="CY68" i="2"/>
  <c r="CY165" i="2"/>
  <c r="CY44" i="2"/>
  <c r="CY65" i="2"/>
  <c r="CY31" i="2"/>
  <c r="CY119" i="2"/>
  <c r="CY85" i="2"/>
  <c r="CY160" i="2"/>
  <c r="CY22" i="2"/>
  <c r="CY126" i="2"/>
  <c r="CY66" i="2"/>
  <c r="CY186" i="2"/>
  <c r="CY96" i="2"/>
  <c r="CY179" i="2"/>
  <c r="CY3" i="2"/>
  <c r="C10" i="4" s="1"/>
  <c r="E10" i="4" s="1"/>
  <c r="F10" i="4" s="1"/>
  <c r="G10" i="4" s="1"/>
  <c r="L10" i="4" s="1"/>
  <c r="CY38" i="2"/>
  <c r="CY172" i="2"/>
  <c r="CY75" i="2"/>
  <c r="CY176" i="2"/>
  <c r="CY4" i="2"/>
  <c r="CY171" i="2"/>
  <c r="CY148" i="2"/>
  <c r="CY59" i="2"/>
  <c r="CY162" i="2"/>
  <c r="CY106" i="2"/>
  <c r="CY50" i="2"/>
  <c r="CY40" i="2"/>
  <c r="CY131" i="2"/>
  <c r="CY138" i="2"/>
  <c r="CY42" i="2"/>
  <c r="CY103" i="2"/>
  <c r="CY45" i="2"/>
  <c r="CY110" i="2"/>
  <c r="CY61" i="2"/>
  <c r="CY114" i="2"/>
  <c r="CY108" i="2"/>
  <c r="CY56" i="2"/>
  <c r="CY112" i="2"/>
  <c r="CY198" i="2"/>
  <c r="CY46" i="2"/>
  <c r="CY18" i="2"/>
  <c r="CY141" i="2"/>
  <c r="CY168" i="2"/>
  <c r="CY104" i="2"/>
  <c r="CY51" i="2"/>
  <c r="CY98" i="2"/>
  <c r="CY19" i="2"/>
  <c r="CY178" i="2"/>
  <c r="CY63" i="2"/>
  <c r="CY87" i="2"/>
  <c r="CY124" i="2"/>
  <c r="CY90" i="2"/>
  <c r="CY11" i="2"/>
  <c r="CY86" i="2"/>
  <c r="CY37" i="2"/>
  <c r="CY122" i="2"/>
  <c r="CY127" i="2"/>
  <c r="CY185" i="2"/>
  <c r="CY47" i="2"/>
  <c r="CY41" i="2"/>
  <c r="CY48" i="2"/>
  <c r="CY120" i="2"/>
  <c r="CY173" i="2"/>
  <c r="CY135" i="2"/>
  <c r="CY192" i="2"/>
  <c r="CY88" i="2"/>
  <c r="CY72" i="2"/>
  <c r="CY57" i="2"/>
  <c r="CY7" i="2"/>
  <c r="CY197" i="2"/>
  <c r="CY167" i="2"/>
  <c r="CY170" i="2"/>
  <c r="CY34" i="2"/>
  <c r="CY140" i="2"/>
  <c r="CY105" i="2"/>
  <c r="CY145" i="2"/>
  <c r="CY91" i="2"/>
  <c r="CY143" i="2"/>
  <c r="CY154" i="2"/>
  <c r="CY78" i="2"/>
  <c r="CY123" i="2"/>
  <c r="CY95" i="2"/>
  <c r="CY128" i="2"/>
  <c r="CY136" i="2"/>
  <c r="CY161" i="2"/>
  <c r="CY33" i="2"/>
  <c r="CY181" i="2"/>
  <c r="CY83" i="2"/>
  <c r="CY134" i="2"/>
  <c r="CY10" i="2"/>
  <c r="CY70" i="2"/>
  <c r="CY174" i="2"/>
  <c r="CY35" i="2"/>
  <c r="CY12" i="2"/>
  <c r="CY202" i="2"/>
  <c r="CY82" i="2"/>
  <c r="CY152" i="2"/>
  <c r="CY25" i="2"/>
  <c r="CY183" i="2"/>
  <c r="CY74" i="2"/>
  <c r="CY182" i="2"/>
  <c r="CY187" i="2"/>
  <c r="CY107" i="2"/>
  <c r="CY142" i="2"/>
  <c r="CY58" i="2"/>
  <c r="CY115" i="2"/>
  <c r="CY93" i="2"/>
  <c r="CY62" i="2"/>
  <c r="CY32" i="2"/>
  <c r="CY89" i="2"/>
  <c r="CY84" i="2"/>
  <c r="CY163" i="2"/>
  <c r="CY190" i="2"/>
  <c r="CY23" i="2"/>
  <c r="CY97" i="2"/>
  <c r="CY146" i="2"/>
  <c r="CY156" i="2"/>
  <c r="CY117" i="2"/>
  <c r="CY36" i="2"/>
  <c r="CY203" i="2"/>
  <c r="CY39" i="2"/>
  <c r="CY129" i="2"/>
  <c r="CY130" i="2"/>
  <c r="CY193" i="2"/>
  <c r="CY199" i="2"/>
  <c r="CY137" i="2"/>
  <c r="CY166" i="2"/>
  <c r="CY116" i="2"/>
  <c r="CY109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<sst xmlns="http://schemas.openxmlformats.org/spreadsheetml/2006/main" count="1181" uniqueCount="326">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</sst>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202.9184983227934</c:v>
                </c:pt>
                <c:pt idx="12">
                  <c:v>236.48641945410841</c:v>
                </c:pt>
                <c:pt idx="13">
                  <c:v>269.94556787272933</c:v>
                </c:pt>
                <c:pt idx="14">
                  <c:v>303.31132185729041</c:v>
                </c:pt>
                <c:pt idx="15">
                  <c:v>336.59539404232532</c:v>
                </c:pt>
                <c:pt idx="16">
                  <c:v>309.89688707897204</c:v>
                </c:pt>
                <c:pt idx="17">
                  <c:v>339.30126300186566</c:v>
                </c:pt>
                <c:pt idx="18">
                  <c:v>368.64957965965004</c:v>
                </c:pt>
                <c:pt idx="19">
                  <c:v>397.9469226687383</c:v>
                </c:pt>
                <c:pt idx="20">
                  <c:v>427.19756804132584</c:v>
                </c:pt>
                <c:pt idx="21">
                  <c:v>407.95878231757428</c:v>
                </c:pt>
                <c:pt idx="22">
                  <c:v>432.96552861089202</c:v>
                </c:pt>
                <c:pt idx="23">
                  <c:v>457.94126927057465</c:v>
                </c:pt>
                <c:pt idx="24">
                  <c:v>482.88793138454997</c:v>
                </c:pt>
                <c:pt idx="25">
                  <c:v>507.80722686130594</c:v>
                </c:pt>
                <c:pt idx="26">
                  <c:v>493.62565905582659</c:v>
                </c:pt>
                <c:pt idx="27">
                  <c:v>513.93718925042344</c:v>
                </c:pt>
                <c:pt idx="28">
                  <c:v>534.23177896582081</c:v>
                </c:pt>
                <c:pt idx="29">
                  <c:v>554.51016178271277</c:v>
                </c:pt>
                <c:pt idx="30">
                  <c:v>574.77301329675208</c:v>
                </c:pt>
                <c:pt idx="31">
                  <c:v>564.45232939981599</c:v>
                </c:pt>
                <c:pt idx="32">
                  <c:v>580.88714383067793</c:v>
                </c:pt>
                <c:pt idx="33">
                  <c:v>597.31226449625285</c:v>
                </c:pt>
                <c:pt idx="34">
                  <c:v>613.72799533010186</c:v>
                </c:pt>
                <c:pt idx="35">
                  <c:v>630.13462269202148</c:v>
                </c:pt>
                <c:pt idx="36">
                  <c:v>623.64935210528495</c:v>
                </c:pt>
                <c:pt idx="37">
                  <c:v>638.14393512535958</c:v>
                </c:pt>
                <c:pt idx="38">
                  <c:v>652.63171873234603</c:v>
                </c:pt>
                <c:pt idx="39">
                  <c:v>667.11287504220115</c:v>
                </c:pt>
                <c:pt idx="40">
                  <c:v>681.58756809397653</c:v>
                </c:pt>
                <c:pt idx="41">
                  <c:v>678.54079353970099</c:v>
                </c:pt>
                <c:pt idx="42">
                  <c:v>692.62979323978027</c:v>
                </c:pt>
                <c:pt idx="43">
                  <c:v>706.71292251165812</c:v>
                </c:pt>
                <c:pt idx="44">
                  <c:v>720.79031474471776</c:v>
                </c:pt>
                <c:pt idx="45">
                  <c:v>734.86209769680102</c:v>
                </c:pt>
                <c:pt idx="46">
                  <c:v>717.74703386064709</c:v>
                </c:pt>
                <c:pt idx="47">
                  <c:v>717.74703386064709</c:v>
                </c:pt>
                <c:pt idx="48">
                  <c:v>717.74703386064709</c:v>
                </c:pt>
                <c:pt idx="49">
                  <c:v>717.74703386064709</c:v>
                </c:pt>
                <c:pt idx="50">
                  <c:v>717.74703386064709</c:v>
                </c:pt>
                <c:pt idx="51">
                  <c:v>717.74703386064709</c:v>
                </c:pt>
                <c:pt idx="52">
                  <c:v>717.74703386064709</c:v>
                </c:pt>
                <c:pt idx="53">
                  <c:v>717.74703386064709</c:v>
                </c:pt>
                <c:pt idx="54">
                  <c:v>717.74703386064709</c:v>
                </c:pt>
                <c:pt idx="55">
                  <c:v>717.74703386064709</c:v>
                </c:pt>
                <c:pt idx="56">
                  <c:v>717.74703386064709</c:v>
                </c:pt>
                <c:pt idx="57">
                  <c:v>717.74703386064709</c:v>
                </c:pt>
                <c:pt idx="58">
                  <c:v>717.74703386064709</c:v>
                </c:pt>
                <c:pt idx="59">
                  <c:v>717.74703386064709</c:v>
                </c:pt>
                <c:pt idx="60">
                  <c:v>717.74703386064709</c:v>
                </c:pt>
                <c:pt idx="61">
                  <c:v>717.74703386064709</c:v>
                </c:pt>
                <c:pt idx="62">
                  <c:v>717.74703386064709</c:v>
                </c:pt>
                <c:pt idx="63">
                  <c:v>717.74703386064709</c:v>
                </c:pt>
                <c:pt idx="64">
                  <c:v>717.74703386064709</c:v>
                </c:pt>
                <c:pt idx="65">
                  <c:v>717.74703386064709</c:v>
                </c:pt>
                <c:pt idx="66">
                  <c:v>717.74703386064709</c:v>
                </c:pt>
                <c:pt idx="67">
                  <c:v>717.74703386064709</c:v>
                </c:pt>
                <c:pt idx="68">
                  <c:v>717.74703386064709</c:v>
                </c:pt>
                <c:pt idx="69">
                  <c:v>717.74703386064709</c:v>
                </c:pt>
                <c:pt idx="70">
                  <c:v>717.74703386064709</c:v>
                </c:pt>
                <c:pt idx="71">
                  <c:v>717.74703386064709</c:v>
                </c:pt>
                <c:pt idx="72">
                  <c:v>717.74703386064709</c:v>
                </c:pt>
                <c:pt idx="73">
                  <c:v>717.74703386064709</c:v>
                </c:pt>
                <c:pt idx="74">
                  <c:v>717.74703386064709</c:v>
                </c:pt>
                <c:pt idx="75">
                  <c:v>717.74703386064709</c:v>
                </c:pt>
                <c:pt idx="76">
                  <c:v>717.74703386064709</c:v>
                </c:pt>
                <c:pt idx="77">
                  <c:v>717.74703386064709</c:v>
                </c:pt>
                <c:pt idx="78">
                  <c:v>717.74703386064709</c:v>
                </c:pt>
                <c:pt idx="79">
                  <c:v>717.74703386064709</c:v>
                </c:pt>
                <c:pt idx="80">
                  <c:v>717.74703386064709</c:v>
                </c:pt>
                <c:pt idx="81">
                  <c:v>717.74703386064709</c:v>
                </c:pt>
                <c:pt idx="82">
                  <c:v>717.74703386064709</c:v>
                </c:pt>
                <c:pt idx="83">
                  <c:v>717.74703386064709</c:v>
                </c:pt>
                <c:pt idx="84">
                  <c:v>717.74703386064709</c:v>
                </c:pt>
                <c:pt idx="85">
                  <c:v>717.74703386064709</c:v>
                </c:pt>
                <c:pt idx="86">
                  <c:v>717.74703386064709</c:v>
                </c:pt>
                <c:pt idx="87">
                  <c:v>717.74703386064709</c:v>
                </c:pt>
                <c:pt idx="88">
                  <c:v>717.74703386064709</c:v>
                </c:pt>
                <c:pt idx="89">
                  <c:v>717.74703386064709</c:v>
                </c:pt>
                <c:pt idx="90">
                  <c:v>717.74703386064709</c:v>
                </c:pt>
                <c:pt idx="91">
                  <c:v>717.74703386064709</c:v>
                </c:pt>
                <c:pt idx="92">
                  <c:v>717.74703386064709</c:v>
                </c:pt>
                <c:pt idx="93">
                  <c:v>717.74703386064709</c:v>
                </c:pt>
                <c:pt idx="94">
                  <c:v>717.74703386064709</c:v>
                </c:pt>
                <c:pt idx="95">
                  <c:v>717.74703386064709</c:v>
                </c:pt>
                <c:pt idx="96">
                  <c:v>717.74703386064709</c:v>
                </c:pt>
                <c:pt idx="97">
                  <c:v>717.74703386064709</c:v>
                </c:pt>
                <c:pt idx="98">
                  <c:v>717.74703386064709</c:v>
                </c:pt>
                <c:pt idx="99">
                  <c:v>717.74703386064709</c:v>
                </c:pt>
                <c:pt idx="100">
                  <c:v>717.74703386064709</c:v>
                </c:pt>
                <c:pt idx="101">
                  <c:v>717.74703386064709</c:v>
                </c:pt>
                <c:pt idx="102">
                  <c:v>717.74703386064709</c:v>
                </c:pt>
                <c:pt idx="103">
                  <c:v>717.74703386064709</c:v>
                </c:pt>
                <c:pt idx="104">
                  <c:v>717.74703386064709</c:v>
                </c:pt>
                <c:pt idx="105">
                  <c:v>717.74703386064709</c:v>
                </c:pt>
                <c:pt idx="106">
                  <c:v>717.74703386064709</c:v>
                </c:pt>
                <c:pt idx="107">
                  <c:v>717.74703386064709</c:v>
                </c:pt>
                <c:pt idx="108">
                  <c:v>717.74703386064709</c:v>
                </c:pt>
                <c:pt idx="109">
                  <c:v>717.74703386064709</c:v>
                </c:pt>
                <c:pt idx="110">
                  <c:v>717.74703386064709</c:v>
                </c:pt>
                <c:pt idx="111">
                  <c:v>717.74703386064709</c:v>
                </c:pt>
                <c:pt idx="112">
                  <c:v>717.74703386064709</c:v>
                </c:pt>
                <c:pt idx="113">
                  <c:v>717.74703386064709</c:v>
                </c:pt>
                <c:pt idx="114">
                  <c:v>717.74703386064709</c:v>
                </c:pt>
                <c:pt idx="115">
                  <c:v>717.74703386064709</c:v>
                </c:pt>
                <c:pt idx="116">
                  <c:v>717.74703386064709</c:v>
                </c:pt>
                <c:pt idx="117">
                  <c:v>717.74703386064709</c:v>
                </c:pt>
                <c:pt idx="118">
                  <c:v>717.74703386064709</c:v>
                </c:pt>
                <c:pt idx="119">
                  <c:v>717.74703386064709</c:v>
                </c:pt>
                <c:pt idx="120">
                  <c:v>717.74703386064709</c:v>
                </c:pt>
                <c:pt idx="121">
                  <c:v>717.74703386064709</c:v>
                </c:pt>
                <c:pt idx="122">
                  <c:v>717.74703386064709</c:v>
                </c:pt>
                <c:pt idx="123">
                  <c:v>717.74703386064709</c:v>
                </c:pt>
                <c:pt idx="124">
                  <c:v>717.74703386064709</c:v>
                </c:pt>
                <c:pt idx="125">
                  <c:v>717.74703386064709</c:v>
                </c:pt>
                <c:pt idx="126">
                  <c:v>717.74703386064709</c:v>
                </c:pt>
                <c:pt idx="127">
                  <c:v>717.74703386064709</c:v>
                </c:pt>
                <c:pt idx="128">
                  <c:v>717.74703386064709</c:v>
                </c:pt>
                <c:pt idx="129">
                  <c:v>717.74703386064709</c:v>
                </c:pt>
                <c:pt idx="130">
                  <c:v>717.74703386064709</c:v>
                </c:pt>
                <c:pt idx="131">
                  <c:v>717.74703386064709</c:v>
                </c:pt>
                <c:pt idx="132">
                  <c:v>717.74703386064709</c:v>
                </c:pt>
                <c:pt idx="133">
                  <c:v>717.74703386064709</c:v>
                </c:pt>
                <c:pt idx="134">
                  <c:v>717.74703386064709</c:v>
                </c:pt>
                <c:pt idx="135">
                  <c:v>717.74703386064709</c:v>
                </c:pt>
                <c:pt idx="136">
                  <c:v>717.74703386064709</c:v>
                </c:pt>
                <c:pt idx="137">
                  <c:v>717.74703386064709</c:v>
                </c:pt>
                <c:pt idx="138">
                  <c:v>717.74703386064709</c:v>
                </c:pt>
                <c:pt idx="139">
                  <c:v>717.74703386064709</c:v>
                </c:pt>
                <c:pt idx="140">
                  <c:v>717.74703386064709</c:v>
                </c:pt>
                <c:pt idx="141">
                  <c:v>717.74703386064709</c:v>
                </c:pt>
                <c:pt idx="142">
                  <c:v>717.74703386064709</c:v>
                </c:pt>
                <c:pt idx="143">
                  <c:v>717.74703386064709</c:v>
                </c:pt>
                <c:pt idx="144">
                  <c:v>717.74703386064709</c:v>
                </c:pt>
                <c:pt idx="145">
                  <c:v>717.74703386064709</c:v>
                </c:pt>
                <c:pt idx="146">
                  <c:v>717.74703386064709</c:v>
                </c:pt>
                <c:pt idx="147">
                  <c:v>717.74703386064709</c:v>
                </c:pt>
                <c:pt idx="148">
                  <c:v>717.74703386064709</c:v>
                </c:pt>
                <c:pt idx="149">
                  <c:v>717.74703386064709</c:v>
                </c:pt>
                <c:pt idx="150">
                  <c:v>717.74703386064709</c:v>
                </c:pt>
                <c:pt idx="151">
                  <c:v>717.74703386064709</c:v>
                </c:pt>
                <c:pt idx="152">
                  <c:v>717.74703386064709</c:v>
                </c:pt>
                <c:pt idx="153">
                  <c:v>717.74703386064709</c:v>
                </c:pt>
                <c:pt idx="154">
                  <c:v>717.74703386064709</c:v>
                </c:pt>
                <c:pt idx="155">
                  <c:v>717.74703386064709</c:v>
                </c:pt>
                <c:pt idx="156">
                  <c:v>717.74703386064709</c:v>
                </c:pt>
                <c:pt idx="157">
                  <c:v>717.74703386064709</c:v>
                </c:pt>
                <c:pt idx="158">
                  <c:v>717.74703386064709</c:v>
                </c:pt>
                <c:pt idx="159">
                  <c:v>717.74703386064709</c:v>
                </c:pt>
                <c:pt idx="160">
                  <c:v>717.74703386064709</c:v>
                </c:pt>
                <c:pt idx="161">
                  <c:v>717.74703386064709</c:v>
                </c:pt>
                <c:pt idx="162">
                  <c:v>717.74703386064709</c:v>
                </c:pt>
                <c:pt idx="163">
                  <c:v>717.74703386064709</c:v>
                </c:pt>
                <c:pt idx="164">
                  <c:v>717.74703386064709</c:v>
                </c:pt>
                <c:pt idx="165">
                  <c:v>717.74703386064709</c:v>
                </c:pt>
                <c:pt idx="166">
                  <c:v>717.74703386064709</c:v>
                </c:pt>
                <c:pt idx="167">
                  <c:v>717.74703386064709</c:v>
                </c:pt>
                <c:pt idx="168">
                  <c:v>717.74703386064709</c:v>
                </c:pt>
                <c:pt idx="169">
                  <c:v>717.74703386064709</c:v>
                </c:pt>
                <c:pt idx="170">
                  <c:v>717.74703386064709</c:v>
                </c:pt>
                <c:pt idx="171">
                  <c:v>717.74703386064709</c:v>
                </c:pt>
                <c:pt idx="172">
                  <c:v>717.74703386064709</c:v>
                </c:pt>
                <c:pt idx="173">
                  <c:v>717.74703386064709</c:v>
                </c:pt>
                <c:pt idx="174">
                  <c:v>717.74703386064709</c:v>
                </c:pt>
                <c:pt idx="175">
                  <c:v>717.74703386064709</c:v>
                </c:pt>
                <c:pt idx="176">
                  <c:v>717.74703386064709</c:v>
                </c:pt>
                <c:pt idx="177">
                  <c:v>717.74703386064709</c:v>
                </c:pt>
                <c:pt idx="178">
                  <c:v>717.74703386064709</c:v>
                </c:pt>
                <c:pt idx="179">
                  <c:v>717.74703386064709</c:v>
                </c:pt>
                <c:pt idx="180">
                  <c:v>717.74703386064709</c:v>
                </c:pt>
                <c:pt idx="181">
                  <c:v>717.74703386064709</c:v>
                </c:pt>
                <c:pt idx="182">
                  <c:v>717.74703386064709</c:v>
                </c:pt>
                <c:pt idx="183">
                  <c:v>717.74703386064709</c:v>
                </c:pt>
                <c:pt idx="184">
                  <c:v>717.74703386064709</c:v>
                </c:pt>
                <c:pt idx="185">
                  <c:v>717.74703386064709</c:v>
                </c:pt>
                <c:pt idx="186">
                  <c:v>717.74703386064709</c:v>
                </c:pt>
                <c:pt idx="187">
                  <c:v>717.74703386064709</c:v>
                </c:pt>
                <c:pt idx="188">
                  <c:v>717.74703386064709</c:v>
                </c:pt>
                <c:pt idx="189">
                  <c:v>717.74703386064709</c:v>
                </c:pt>
                <c:pt idx="190">
                  <c:v>717.74703386064709</c:v>
                </c:pt>
                <c:pt idx="191">
                  <c:v>717.74703386064709</c:v>
                </c:pt>
                <c:pt idx="192">
                  <c:v>717.74703386064709</c:v>
                </c:pt>
                <c:pt idx="193">
                  <c:v>717.74703386064709</c:v>
                </c:pt>
                <c:pt idx="194">
                  <c:v>717.74703386064709</c:v>
                </c:pt>
                <c:pt idx="195">
                  <c:v>717.74703386064709</c:v>
                </c:pt>
                <c:pt idx="196">
                  <c:v>717.74703386064709</c:v>
                </c:pt>
                <c:pt idx="197">
                  <c:v>717.74703386064709</c:v>
                </c:pt>
                <c:pt idx="198">
                  <c:v>717.74703386064709</c:v>
                </c:pt>
                <c:pt idx="199">
                  <c:v>717.74703386064709</c:v>
                </c:pt>
                <c:pt idx="200">
                  <c:v>717.74703386064709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9.4802587364856787</c:v>
                </c:pt>
                <c:pt idx="2">
                  <c:v>40.48236678497836</c:v>
                </c:pt>
                <c:pt idx="3">
                  <c:v>98.663638916304294</c:v>
                </c:pt>
                <c:pt idx="4">
                  <c:v>193.82559249840719</c:v>
                </c:pt>
                <c:pt idx="5">
                  <c:v>269.11497170292427</c:v>
                </c:pt>
                <c:pt idx="6">
                  <c:v>353.24970174806896</c:v>
                </c:pt>
                <c:pt idx="7">
                  <c:v>436.94246952460429</c:v>
                </c:pt>
                <c:pt idx="8">
                  <c:v>529.53261330433122</c:v>
                </c:pt>
                <c:pt idx="9">
                  <c:v>612.56984940724203</c:v>
                </c:pt>
                <c:pt idx="10">
                  <c:v>713.74576781858457</c:v>
                </c:pt>
                <c:pt idx="11">
                  <c:v>805.46818017727253</c:v>
                </c:pt>
                <c:pt idx="12">
                  <c:v>896.97974583512553</c:v>
                </c:pt>
                <c:pt idx="13">
                  <c:v>955.44801416777102</c:v>
                </c:pt>
                <c:pt idx="14">
                  <c:v>1015.6691709503431</c:v>
                </c:pt>
                <c:pt idx="15">
                  <c:v>1053.954799551613</c:v>
                </c:pt>
                <c:pt idx="16">
                  <c:v>1090.3919045284345</c:v>
                </c:pt>
                <c:pt idx="17">
                  <c:v>1115.8836515580479</c:v>
                </c:pt>
                <c:pt idx="18">
                  <c:v>1134.0850658162619</c:v>
                </c:pt>
                <c:pt idx="19">
                  <c:v>1152.2807869538856</c:v>
                </c:pt>
                <c:pt idx="20">
                  <c:v>1170.4709173965966</c:v>
                </c:pt>
                <c:pt idx="21">
                  <c:v>1170.4709173965966</c:v>
                </c:pt>
                <c:pt idx="22">
                  <c:v>1170.4709173965966</c:v>
                </c:pt>
                <c:pt idx="23">
                  <c:v>1170.4709173965966</c:v>
                </c:pt>
                <c:pt idx="24">
                  <c:v>1170.4709173965966</c:v>
                </c:pt>
                <c:pt idx="25">
                  <c:v>1170.4709173965966</c:v>
                </c:pt>
                <c:pt idx="26">
                  <c:v>1170.4709173965966</c:v>
                </c:pt>
                <c:pt idx="27">
                  <c:v>1170.4709173965966</c:v>
                </c:pt>
                <c:pt idx="28">
                  <c:v>1170.4709173965966</c:v>
                </c:pt>
                <c:pt idx="29">
                  <c:v>1170.4709173965966</c:v>
                </c:pt>
                <c:pt idx="30">
                  <c:v>1170.4709173965966</c:v>
                </c:pt>
                <c:pt idx="31">
                  <c:v>1170.4709173965966</c:v>
                </c:pt>
                <c:pt idx="32">
                  <c:v>1170.4709173965966</c:v>
                </c:pt>
                <c:pt idx="33">
                  <c:v>1170.4709173965966</c:v>
                </c:pt>
                <c:pt idx="34">
                  <c:v>1170.4709173965966</c:v>
                </c:pt>
                <c:pt idx="35">
                  <c:v>1170.4709173965966</c:v>
                </c:pt>
                <c:pt idx="36">
                  <c:v>1170.4709173965966</c:v>
                </c:pt>
                <c:pt idx="37">
                  <c:v>1170.4709173965966</c:v>
                </c:pt>
                <c:pt idx="38">
                  <c:v>1170.4709173965966</c:v>
                </c:pt>
                <c:pt idx="39">
                  <c:v>1170.4709173965966</c:v>
                </c:pt>
                <c:pt idx="40">
                  <c:v>1170.4709173965966</c:v>
                </c:pt>
                <c:pt idx="41">
                  <c:v>1170.4709173965966</c:v>
                </c:pt>
                <c:pt idx="42">
                  <c:v>1170.4709173965966</c:v>
                </c:pt>
                <c:pt idx="43">
                  <c:v>1170.4709173965966</c:v>
                </c:pt>
                <c:pt idx="44">
                  <c:v>1170.4709173965966</c:v>
                </c:pt>
                <c:pt idx="45">
                  <c:v>1170.4709173965966</c:v>
                </c:pt>
                <c:pt idx="46">
                  <c:v>1170.4709173965966</c:v>
                </c:pt>
                <c:pt idx="47">
                  <c:v>1170.4709173965966</c:v>
                </c:pt>
                <c:pt idx="48">
                  <c:v>1170.4709173965966</c:v>
                </c:pt>
                <c:pt idx="49">
                  <c:v>1170.4709173965966</c:v>
                </c:pt>
                <c:pt idx="50">
                  <c:v>1170.4709173965966</c:v>
                </c:pt>
                <c:pt idx="51">
                  <c:v>1170.4709173965966</c:v>
                </c:pt>
                <c:pt idx="52">
                  <c:v>1170.4709173965966</c:v>
                </c:pt>
                <c:pt idx="53">
                  <c:v>1170.4709173965966</c:v>
                </c:pt>
                <c:pt idx="54">
                  <c:v>1170.4709173965966</c:v>
                </c:pt>
                <c:pt idx="55">
                  <c:v>1170.4709173965966</c:v>
                </c:pt>
                <c:pt idx="56">
                  <c:v>1170.4709173965966</c:v>
                </c:pt>
                <c:pt idx="57">
                  <c:v>1170.4709173965966</c:v>
                </c:pt>
                <c:pt idx="58">
                  <c:v>1170.4709173965966</c:v>
                </c:pt>
                <c:pt idx="59">
                  <c:v>1170.4709173965966</c:v>
                </c:pt>
                <c:pt idx="60">
                  <c:v>1170.4709173965966</c:v>
                </c:pt>
                <c:pt idx="61">
                  <c:v>1170.4709173965966</c:v>
                </c:pt>
                <c:pt idx="62">
                  <c:v>1170.4709173965966</c:v>
                </c:pt>
                <c:pt idx="63">
                  <c:v>1170.4709173965966</c:v>
                </c:pt>
                <c:pt idx="64">
                  <c:v>1170.4709173965966</c:v>
                </c:pt>
                <c:pt idx="65">
                  <c:v>1170.4709173965966</c:v>
                </c:pt>
                <c:pt idx="66">
                  <c:v>1170.4709173965966</c:v>
                </c:pt>
                <c:pt idx="67">
                  <c:v>1170.4709173965966</c:v>
                </c:pt>
                <c:pt idx="68">
                  <c:v>1170.4709173965966</c:v>
                </c:pt>
                <c:pt idx="69">
                  <c:v>1170.4709173965966</c:v>
                </c:pt>
                <c:pt idx="70">
                  <c:v>1170.4709173965966</c:v>
                </c:pt>
                <c:pt idx="71">
                  <c:v>1170.4709173965966</c:v>
                </c:pt>
                <c:pt idx="72">
                  <c:v>1170.4709173965966</c:v>
                </c:pt>
                <c:pt idx="73">
                  <c:v>1170.4709173965966</c:v>
                </c:pt>
                <c:pt idx="74">
                  <c:v>1170.4709173965966</c:v>
                </c:pt>
                <c:pt idx="75">
                  <c:v>1170.4709173965966</c:v>
                </c:pt>
                <c:pt idx="76">
                  <c:v>1170.4709173965966</c:v>
                </c:pt>
                <c:pt idx="77">
                  <c:v>1170.4709173965966</c:v>
                </c:pt>
                <c:pt idx="78">
                  <c:v>1170.4709173965966</c:v>
                </c:pt>
                <c:pt idx="79">
                  <c:v>1170.4709173965966</c:v>
                </c:pt>
                <c:pt idx="80">
                  <c:v>1170.4709173965966</c:v>
                </c:pt>
                <c:pt idx="81">
                  <c:v>1170.4709173965966</c:v>
                </c:pt>
                <c:pt idx="82">
                  <c:v>1170.4709173965966</c:v>
                </c:pt>
                <c:pt idx="83">
                  <c:v>1170.4709173965966</c:v>
                </c:pt>
                <c:pt idx="84">
                  <c:v>1170.4709173965966</c:v>
                </c:pt>
                <c:pt idx="85">
                  <c:v>1170.4709173965966</c:v>
                </c:pt>
                <c:pt idx="86">
                  <c:v>1170.4709173965966</c:v>
                </c:pt>
                <c:pt idx="87">
                  <c:v>1170.4709173965966</c:v>
                </c:pt>
                <c:pt idx="88">
                  <c:v>1170.4709173965966</c:v>
                </c:pt>
                <c:pt idx="89">
                  <c:v>1170.4709173965966</c:v>
                </c:pt>
                <c:pt idx="90">
                  <c:v>1170.4709173965966</c:v>
                </c:pt>
                <c:pt idx="91">
                  <c:v>1170.4709173965966</c:v>
                </c:pt>
                <c:pt idx="92">
                  <c:v>1170.4709173965966</c:v>
                </c:pt>
                <c:pt idx="93">
                  <c:v>1170.4709173965966</c:v>
                </c:pt>
                <c:pt idx="94">
                  <c:v>1170.4709173965966</c:v>
                </c:pt>
                <c:pt idx="95">
                  <c:v>1170.4709173965966</c:v>
                </c:pt>
                <c:pt idx="96">
                  <c:v>1170.4709173965966</c:v>
                </c:pt>
                <c:pt idx="97">
                  <c:v>1170.4709173965966</c:v>
                </c:pt>
                <c:pt idx="98">
                  <c:v>1170.4709173965966</c:v>
                </c:pt>
                <c:pt idx="99">
                  <c:v>1170.4709173965966</c:v>
                </c:pt>
                <c:pt idx="100">
                  <c:v>1170.4709173965966</c:v>
                </c:pt>
                <c:pt idx="101">
                  <c:v>1170.4709173965966</c:v>
                </c:pt>
                <c:pt idx="102">
                  <c:v>1170.4709173965966</c:v>
                </c:pt>
                <c:pt idx="103">
                  <c:v>1170.4709173965966</c:v>
                </c:pt>
                <c:pt idx="104">
                  <c:v>1170.4709173965966</c:v>
                </c:pt>
                <c:pt idx="105">
                  <c:v>1170.4709173965966</c:v>
                </c:pt>
                <c:pt idx="106">
                  <c:v>1170.4709173965966</c:v>
                </c:pt>
                <c:pt idx="107">
                  <c:v>1170.4709173965966</c:v>
                </c:pt>
                <c:pt idx="108">
                  <c:v>1170.4709173965966</c:v>
                </c:pt>
                <c:pt idx="109">
                  <c:v>1170.4709173965966</c:v>
                </c:pt>
                <c:pt idx="110">
                  <c:v>1170.4709173965966</c:v>
                </c:pt>
                <c:pt idx="111">
                  <c:v>1170.4709173965966</c:v>
                </c:pt>
                <c:pt idx="112">
                  <c:v>1170.4709173965966</c:v>
                </c:pt>
                <c:pt idx="113">
                  <c:v>1170.4709173965966</c:v>
                </c:pt>
                <c:pt idx="114">
                  <c:v>1170.4709173965966</c:v>
                </c:pt>
                <c:pt idx="115">
                  <c:v>1170.4709173965966</c:v>
                </c:pt>
                <c:pt idx="116">
                  <c:v>1170.4709173965966</c:v>
                </c:pt>
                <c:pt idx="117">
                  <c:v>1170.4709173965966</c:v>
                </c:pt>
                <c:pt idx="118">
                  <c:v>1170.4709173965966</c:v>
                </c:pt>
                <c:pt idx="119">
                  <c:v>1170.4709173965966</c:v>
                </c:pt>
                <c:pt idx="120">
                  <c:v>1170.4709173965966</c:v>
                </c:pt>
                <c:pt idx="121">
                  <c:v>1170.4709173965966</c:v>
                </c:pt>
                <c:pt idx="122">
                  <c:v>1170.4709173965966</c:v>
                </c:pt>
                <c:pt idx="123">
                  <c:v>1170.4709173965966</c:v>
                </c:pt>
                <c:pt idx="124">
                  <c:v>1170.4709173965966</c:v>
                </c:pt>
                <c:pt idx="125">
                  <c:v>1170.4709173965966</c:v>
                </c:pt>
                <c:pt idx="126">
                  <c:v>1170.4709173965966</c:v>
                </c:pt>
                <c:pt idx="127">
                  <c:v>1170.4709173965966</c:v>
                </c:pt>
                <c:pt idx="128">
                  <c:v>1170.4709173965966</c:v>
                </c:pt>
                <c:pt idx="129">
                  <c:v>1170.4709173965966</c:v>
                </c:pt>
                <c:pt idx="130">
                  <c:v>1170.4709173965966</c:v>
                </c:pt>
                <c:pt idx="131">
                  <c:v>1170.4709173965966</c:v>
                </c:pt>
                <c:pt idx="132">
                  <c:v>1170.4709173965966</c:v>
                </c:pt>
                <c:pt idx="133">
                  <c:v>1170.4709173965966</c:v>
                </c:pt>
                <c:pt idx="134">
                  <c:v>1170.4709173965966</c:v>
                </c:pt>
                <c:pt idx="135">
                  <c:v>1170.4709173965966</c:v>
                </c:pt>
                <c:pt idx="136">
                  <c:v>1170.4709173965966</c:v>
                </c:pt>
                <c:pt idx="137">
                  <c:v>1170.4709173965966</c:v>
                </c:pt>
                <c:pt idx="138">
                  <c:v>1170.4709173965966</c:v>
                </c:pt>
                <c:pt idx="139">
                  <c:v>1170.4709173965966</c:v>
                </c:pt>
                <c:pt idx="140">
                  <c:v>1170.4709173965966</c:v>
                </c:pt>
                <c:pt idx="141">
                  <c:v>1170.4709173965966</c:v>
                </c:pt>
                <c:pt idx="142">
                  <c:v>1170.4709173965966</c:v>
                </c:pt>
                <c:pt idx="143">
                  <c:v>1170.4709173965966</c:v>
                </c:pt>
                <c:pt idx="144">
                  <c:v>1170.4709173965966</c:v>
                </c:pt>
                <c:pt idx="145">
                  <c:v>1170.4709173965966</c:v>
                </c:pt>
                <c:pt idx="146">
                  <c:v>1170.4709173965966</c:v>
                </c:pt>
                <c:pt idx="147">
                  <c:v>1170.4709173965966</c:v>
                </c:pt>
                <c:pt idx="148">
                  <c:v>1170.4709173965966</c:v>
                </c:pt>
                <c:pt idx="149">
                  <c:v>1170.4709173965966</c:v>
                </c:pt>
                <c:pt idx="150">
                  <c:v>1170.4709173965966</c:v>
                </c:pt>
                <c:pt idx="151">
                  <c:v>1170.4709173965966</c:v>
                </c:pt>
                <c:pt idx="152">
                  <c:v>1170.4709173965966</c:v>
                </c:pt>
                <c:pt idx="153">
                  <c:v>1170.4709173965966</c:v>
                </c:pt>
                <c:pt idx="154">
                  <c:v>1170.4709173965966</c:v>
                </c:pt>
                <c:pt idx="155">
                  <c:v>1170.4709173965966</c:v>
                </c:pt>
                <c:pt idx="156">
                  <c:v>1170.4709173965966</c:v>
                </c:pt>
                <c:pt idx="157">
                  <c:v>1170.4709173965966</c:v>
                </c:pt>
                <c:pt idx="158">
                  <c:v>1170.4709173965966</c:v>
                </c:pt>
                <c:pt idx="159">
                  <c:v>1170.4709173965966</c:v>
                </c:pt>
                <c:pt idx="160">
                  <c:v>1170.4709173965966</c:v>
                </c:pt>
                <c:pt idx="161">
                  <c:v>1170.4709173965966</c:v>
                </c:pt>
                <c:pt idx="162">
                  <c:v>1170.4709173965966</c:v>
                </c:pt>
                <c:pt idx="163">
                  <c:v>1170.4709173965966</c:v>
                </c:pt>
                <c:pt idx="164">
                  <c:v>1170.4709173965966</c:v>
                </c:pt>
                <c:pt idx="165">
                  <c:v>1170.4709173965966</c:v>
                </c:pt>
                <c:pt idx="166">
                  <c:v>1170.4709173965966</c:v>
                </c:pt>
                <c:pt idx="167">
                  <c:v>1170.4709173965966</c:v>
                </c:pt>
                <c:pt idx="168">
                  <c:v>1170.4709173965966</c:v>
                </c:pt>
                <c:pt idx="169">
                  <c:v>1170.4709173965966</c:v>
                </c:pt>
                <c:pt idx="170">
                  <c:v>1170.4709173965966</c:v>
                </c:pt>
                <c:pt idx="171">
                  <c:v>1170.4709173965966</c:v>
                </c:pt>
                <c:pt idx="172">
                  <c:v>1170.4709173965966</c:v>
                </c:pt>
                <c:pt idx="173">
                  <c:v>1170.4709173965966</c:v>
                </c:pt>
                <c:pt idx="174">
                  <c:v>1170.4709173965966</c:v>
                </c:pt>
                <c:pt idx="175">
                  <c:v>1170.4709173965966</c:v>
                </c:pt>
                <c:pt idx="176">
                  <c:v>1170.4709173965966</c:v>
                </c:pt>
                <c:pt idx="177">
                  <c:v>1170.4709173965966</c:v>
                </c:pt>
                <c:pt idx="178">
                  <c:v>1170.4709173965966</c:v>
                </c:pt>
                <c:pt idx="179">
                  <c:v>1170.4709173965966</c:v>
                </c:pt>
                <c:pt idx="180">
                  <c:v>1170.4709173965966</c:v>
                </c:pt>
                <c:pt idx="181">
                  <c:v>1170.4709173965966</c:v>
                </c:pt>
                <c:pt idx="182">
                  <c:v>1170.4709173965966</c:v>
                </c:pt>
                <c:pt idx="183">
                  <c:v>1170.4709173965966</c:v>
                </c:pt>
                <c:pt idx="184">
                  <c:v>1170.4709173965966</c:v>
                </c:pt>
                <c:pt idx="185">
                  <c:v>1170.4709173965966</c:v>
                </c:pt>
                <c:pt idx="186">
                  <c:v>1170.4709173965966</c:v>
                </c:pt>
                <c:pt idx="187">
                  <c:v>1170.4709173965966</c:v>
                </c:pt>
                <c:pt idx="188">
                  <c:v>1170.4709173965966</c:v>
                </c:pt>
                <c:pt idx="189">
                  <c:v>1170.4709173965966</c:v>
                </c:pt>
                <c:pt idx="190">
                  <c:v>1170.4709173965966</c:v>
                </c:pt>
                <c:pt idx="191">
                  <c:v>1170.4709173965966</c:v>
                </c:pt>
                <c:pt idx="192">
                  <c:v>1170.4709173965966</c:v>
                </c:pt>
                <c:pt idx="193">
                  <c:v>1170.4709173965966</c:v>
                </c:pt>
                <c:pt idx="194">
                  <c:v>1170.4709173965966</c:v>
                </c:pt>
                <c:pt idx="195">
                  <c:v>1170.4709173965966</c:v>
                </c:pt>
                <c:pt idx="196">
                  <c:v>1170.4709173965966</c:v>
                </c:pt>
                <c:pt idx="197">
                  <c:v>1170.4709173965966</c:v>
                </c:pt>
                <c:pt idx="198">
                  <c:v>1170.4709173965966</c:v>
                </c:pt>
                <c:pt idx="199">
                  <c:v>1170.4709173965966</c:v>
                </c:pt>
                <c:pt idx="200">
                  <c:v>1170.4709173965966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1.4520684238735979</c:v>
                </c:pt>
                <c:pt idx="2">
                  <c:v>1.7207660719813633</c:v>
                </c:pt>
                <c:pt idx="3">
                  <c:v>2.0393739068590597</c:v>
                </c:pt>
                <c:pt idx="4">
                  <c:v>2.4171959719738663</c:v>
                </c:pt>
                <c:pt idx="5">
                  <c:v>2.8652765730080141</c:v>
                </c:pt>
                <c:pt idx="6">
                  <c:v>3.3967268041333631</c:v>
                </c:pt>
                <c:pt idx="7">
                  <c:v>4.0271125185068684</c:v>
                </c:pt>
                <c:pt idx="8">
                  <c:v>4.7749153361823318</c:v>
                </c:pt>
                <c:pt idx="9">
                  <c:v>5.6620804753706784</c:v>
                </c:pt>
                <c:pt idx="10">
                  <c:v>6.7146678013763434</c:v>
                </c:pt>
                <c:pt idx="11">
                  <c:v>7.9636255905434084</c:v>
                </c:pt>
                <c:pt idx="12">
                  <c:v>9.4457101981376859</c:v>
                </c:pt>
                <c:pt idx="13">
                  <c:v>11.204579211133842</c:v>
                </c:pt>
                <c:pt idx="14">
                  <c:v>13.292090892531059</c:v>
                </c:pt>
                <c:pt idx="15">
                  <c:v>15.769848941606844</c:v>
                </c:pt>
                <c:pt idx="16">
                  <c:v>18.711038993153302</c:v>
                </c:pt>
                <c:pt idx="17">
                  <c:v>22.202612082896238</c:v>
                </c:pt>
                <c:pt idx="18">
                  <c:v>26.347880783466511</c:v>
                </c:pt>
                <c:pt idx="19">
                  <c:v>31.269606183956878</c:v>
                </c:pt>
                <c:pt idx="20">
                  <c:v>37.113668725462496</c:v>
                </c:pt>
                <c:pt idx="21">
                  <c:v>44.053433566596844</c:v>
                </c:pt>
                <c:pt idx="22">
                  <c:v>52.29494217445324</c:v>
                </c:pt>
                <c:pt idx="23">
                  <c:v>62.083086858091036</c:v>
                </c:pt>
                <c:pt idx="24">
                  <c:v>73.708954745788986</c:v>
                </c:pt>
                <c:pt idx="25">
                  <c:v>87.518563161990201</c:v>
                </c:pt>
                <c:pt idx="26">
                  <c:v>103.92325056637264</c:v>
                </c:pt>
                <c:pt idx="27">
                  <c:v>123.41203746361634</c:v>
                </c:pt>
                <c:pt idx="28">
                  <c:v>146.56633151197664</c:v>
                </c:pt>
                <c:pt idx="29">
                  <c:v>174.07742227848928</c:v>
                </c:pt>
                <c:pt idx="30">
                  <c:v>206.7672958843763</c:v>
                </c:pt>
                <c:pt idx="31">
                  <c:v>225.55333750966852</c:v>
                </c:pt>
                <c:pt idx="32">
                  <c:v>244.30353923844874</c:v>
                </c:pt>
                <c:pt idx="33">
                  <c:v>263.0210385882076</c:v>
                </c:pt>
                <c:pt idx="34">
                  <c:v>281.70848984177968</c:v>
                </c:pt>
                <c:pt idx="35">
                  <c:v>300.36816628023394</c:v>
                </c:pt>
                <c:pt idx="36">
                  <c:v>319.00203564644352</c:v>
                </c:pt>
                <c:pt idx="37">
                  <c:v>337.61181703512574</c:v>
                </c:pt>
                <c:pt idx="38">
                  <c:v>356.19902457341686</c:v>
                </c:pt>
                <c:pt idx="39">
                  <c:v>374.76500150228361</c:v>
                </c:pt>
                <c:pt idx="40">
                  <c:v>393.31094714884654</c:v>
                </c:pt>
                <c:pt idx="41">
                  <c:v>411.8379385444934</c:v>
                </c:pt>
                <c:pt idx="42">
                  <c:v>430.34694794947796</c:v>
                </c:pt>
                <c:pt idx="43">
                  <c:v>265.96047521147182</c:v>
                </c:pt>
                <c:pt idx="44">
                  <c:v>283.92181703710224</c:v>
                </c:pt>
                <c:pt idx="45">
                  <c:v>301.85772052923727</c:v>
                </c:pt>
                <c:pt idx="46">
                  <c:v>319.7699095518031</c:v>
                </c:pt>
                <c:pt idx="47">
                  <c:v>337.65989907488859</c:v>
                </c:pt>
                <c:pt idx="48">
                  <c:v>355.52903044618012</c:v>
                </c:pt>
                <c:pt idx="49">
                  <c:v>373.37849919705542</c:v>
                </c:pt>
                <c:pt idx="50">
                  <c:v>290.17689156470107</c:v>
                </c:pt>
                <c:pt idx="51">
                  <c:v>307.19128900189429</c:v>
                </c:pt>
                <c:pt idx="52">
                  <c:v>324.18475313165033</c:v>
                </c:pt>
                <c:pt idx="53">
                  <c:v>341.15853548769792</c:v>
                </c:pt>
                <c:pt idx="54">
                  <c:v>358.11375291080088</c:v>
                </c:pt>
                <c:pt idx="55">
                  <c:v>375.0514078686254</c:v>
                </c:pt>
                <c:pt idx="56">
                  <c:v>391.9724049121528</c:v>
                </c:pt>
                <c:pt idx="57">
                  <c:v>329.34849181873909</c:v>
                </c:pt>
                <c:pt idx="58">
                  <c:v>346.0039162114399</c:v>
                </c:pt>
                <c:pt idx="59">
                  <c:v>362.64174048971807</c:v>
                </c:pt>
                <c:pt idx="60">
                  <c:v>379.26288561245588</c:v>
                </c:pt>
                <c:pt idx="61">
                  <c:v>395.86818524413565</c:v>
                </c:pt>
                <c:pt idx="62">
                  <c:v>412.4583974198618</c:v>
                </c:pt>
                <c:pt idx="63">
                  <c:v>429.03421423555136</c:v>
                </c:pt>
                <c:pt idx="64">
                  <c:v>366.30832552298875</c:v>
                </c:pt>
                <c:pt idx="65">
                  <c:v>382.40124134467914</c:v>
                </c:pt>
                <c:pt idx="66">
                  <c:v>398.47943670815107</c:v>
                </c:pt>
                <c:pt idx="67">
                  <c:v>414.54358904010877</c:v>
                </c:pt>
                <c:pt idx="68">
                  <c:v>430.59431899383617</c:v>
                </c:pt>
                <c:pt idx="69">
                  <c:v>446.63219719007219</c:v>
                </c:pt>
                <c:pt idx="70">
                  <c:v>462.65774993928295</c:v>
                </c:pt>
                <c:pt idx="71">
                  <c:v>478.67146412990468</c:v>
                </c:pt>
                <c:pt idx="72">
                  <c:v>403.51162126040441</c:v>
                </c:pt>
                <c:pt idx="73">
                  <c:v>418.62622780308311</c:v>
                </c:pt>
                <c:pt idx="74">
                  <c:v>433.72907903143931</c:v>
                </c:pt>
                <c:pt idx="75">
                  <c:v>448.82064182719432</c:v>
                </c:pt>
                <c:pt idx="76">
                  <c:v>463.90134912079657</c:v>
                </c:pt>
                <c:pt idx="77">
                  <c:v>478.9716034067381</c:v>
                </c:pt>
                <c:pt idx="78">
                  <c:v>494.0317797934826</c:v>
                </c:pt>
                <c:pt idx="79">
                  <c:v>509.08222866221405</c:v>
                </c:pt>
                <c:pt idx="80">
                  <c:v>435.91143964431944</c:v>
                </c:pt>
                <c:pt idx="81">
                  <c:v>450.08988467491599</c:v>
                </c:pt>
                <c:pt idx="82">
                  <c:v>464.25877763500421</c:v>
                </c:pt>
                <c:pt idx="83">
                  <c:v>478.41845105234415</c:v>
                </c:pt>
                <c:pt idx="84">
                  <c:v>492.56921617021618</c:v>
                </c:pt>
                <c:pt idx="85">
                  <c:v>506.71136489489783</c:v>
                </c:pt>
                <c:pt idx="86">
                  <c:v>520.84517151445755</c:v>
                </c:pt>
                <c:pt idx="87">
                  <c:v>534.97089422132069</c:v>
                </c:pt>
                <c:pt idx="88">
                  <c:v>460.21005877790441</c:v>
                </c:pt>
                <c:pt idx="89">
                  <c:v>473.32533535321909</c:v>
                </c:pt>
                <c:pt idx="90">
                  <c:v>486.43287863333552</c:v>
                </c:pt>
                <c:pt idx="91">
                  <c:v>499.53292632968987</c:v>
                </c:pt>
                <c:pt idx="92">
                  <c:v>512.62570267134527</c:v>
                </c:pt>
                <c:pt idx="93">
                  <c:v>525.71141950172057</c:v>
                </c:pt>
                <c:pt idx="94">
                  <c:v>538.79027726046297</c:v>
                </c:pt>
                <c:pt idx="95">
                  <c:v>551.86246586504762</c:v>
                </c:pt>
                <c:pt idx="96">
                  <c:v>292.79584206799075</c:v>
                </c:pt>
                <c:pt idx="97">
                  <c:v>301.32167171377864</c:v>
                </c:pt>
                <c:pt idx="98">
                  <c:v>309.84213160247918</c:v>
                </c:pt>
                <c:pt idx="99">
                  <c:v>318.35739034793215</c:v>
                </c:pt>
                <c:pt idx="100">
                  <c:v>326.86760680028488</c:v>
                </c:pt>
                <c:pt idx="101">
                  <c:v>335.37293085642199</c:v>
                </c:pt>
                <c:pt idx="102">
                  <c:v>343.87350418383835</c:v>
                </c:pt>
                <c:pt idx="103">
                  <c:v>352.36946086915287</c:v>
                </c:pt>
                <c:pt idx="104">
                  <c:v>360.86092800077699</c:v>
                </c:pt>
                <c:pt idx="105">
                  <c:v>369.34802619384533</c:v>
                </c:pt>
                <c:pt idx="106">
                  <c:v>5.5310691019807896</c:v>
                </c:pt>
                <c:pt idx="107">
                  <c:v>5.5310691019807896</c:v>
                </c:pt>
                <c:pt idx="108">
                  <c:v>5.5310691019807896</c:v>
                </c:pt>
                <c:pt idx="109">
                  <c:v>5.5310691019807896</c:v>
                </c:pt>
                <c:pt idx="110">
                  <c:v>5.5310691019807896</c:v>
                </c:pt>
                <c:pt idx="111">
                  <c:v>5.5310691019807896</c:v>
                </c:pt>
                <c:pt idx="112">
                  <c:v>5.5310691019807896</c:v>
                </c:pt>
                <c:pt idx="113">
                  <c:v>5.5310691019807896</c:v>
                </c:pt>
                <c:pt idx="114">
                  <c:v>5.5310691019807896</c:v>
                </c:pt>
                <c:pt idx="115">
                  <c:v>5.5310691019807896</c:v>
                </c:pt>
                <c:pt idx="116">
                  <c:v>5.5310691019807896</c:v>
                </c:pt>
                <c:pt idx="117">
                  <c:v>5.5310691019807896</c:v>
                </c:pt>
                <c:pt idx="118">
                  <c:v>5.5310691019807896</c:v>
                </c:pt>
                <c:pt idx="119">
                  <c:v>5.5310691019807896</c:v>
                </c:pt>
                <c:pt idx="120">
                  <c:v>5.5310691019807896</c:v>
                </c:pt>
                <c:pt idx="121">
                  <c:v>5.5310691019807896</c:v>
                </c:pt>
                <c:pt idx="122">
                  <c:v>5.5310691019807896</c:v>
                </c:pt>
                <c:pt idx="123">
                  <c:v>5.5310691019807896</c:v>
                </c:pt>
                <c:pt idx="124">
                  <c:v>5.5310691019807896</c:v>
                </c:pt>
                <c:pt idx="125">
                  <c:v>5.5310691019807896</c:v>
                </c:pt>
                <c:pt idx="126">
                  <c:v>5.5310691019807896</c:v>
                </c:pt>
                <c:pt idx="127">
                  <c:v>5.5310691019807896</c:v>
                </c:pt>
                <c:pt idx="128">
                  <c:v>5.5310691019807896</c:v>
                </c:pt>
                <c:pt idx="129">
                  <c:v>5.5310691019807896</c:v>
                </c:pt>
                <c:pt idx="130">
                  <c:v>5.5310691019807896</c:v>
                </c:pt>
                <c:pt idx="131">
                  <c:v>5.5310691019807896</c:v>
                </c:pt>
                <c:pt idx="132">
                  <c:v>5.5310691019807896</c:v>
                </c:pt>
                <c:pt idx="133">
                  <c:v>5.5310691019807896</c:v>
                </c:pt>
                <c:pt idx="134">
                  <c:v>5.5310691019807896</c:v>
                </c:pt>
                <c:pt idx="135">
                  <c:v>5.5310691019807896</c:v>
                </c:pt>
                <c:pt idx="136">
                  <c:v>5.5310691019807896</c:v>
                </c:pt>
                <c:pt idx="137">
                  <c:v>5.5310691019807896</c:v>
                </c:pt>
                <c:pt idx="138">
                  <c:v>5.5310691019807896</c:v>
                </c:pt>
                <c:pt idx="139">
                  <c:v>5.5310691019807896</c:v>
                </c:pt>
                <c:pt idx="140">
                  <c:v>5.5310691019807896</c:v>
                </c:pt>
                <c:pt idx="141">
                  <c:v>5.5310691019807896</c:v>
                </c:pt>
                <c:pt idx="142">
                  <c:v>5.5310691019807896</c:v>
                </c:pt>
                <c:pt idx="143">
                  <c:v>5.5310691019807896</c:v>
                </c:pt>
                <c:pt idx="144">
                  <c:v>5.5310691019807896</c:v>
                </c:pt>
                <c:pt idx="145">
                  <c:v>5.5310691019807896</c:v>
                </c:pt>
                <c:pt idx="146">
                  <c:v>5.5310691019807896</c:v>
                </c:pt>
                <c:pt idx="147">
                  <c:v>5.5310691019807896</c:v>
                </c:pt>
                <c:pt idx="148">
                  <c:v>5.5310691019807896</c:v>
                </c:pt>
                <c:pt idx="149">
                  <c:v>5.5310691019807896</c:v>
                </c:pt>
                <c:pt idx="150">
                  <c:v>5.5310691019807896</c:v>
                </c:pt>
                <c:pt idx="151">
                  <c:v>5.5310691019807896</c:v>
                </c:pt>
                <c:pt idx="152">
                  <c:v>5.5310691019807896</c:v>
                </c:pt>
                <c:pt idx="153">
                  <c:v>5.5310691019807896</c:v>
                </c:pt>
                <c:pt idx="154">
                  <c:v>5.5310691019807896</c:v>
                </c:pt>
                <c:pt idx="155">
                  <c:v>5.5310691019807896</c:v>
                </c:pt>
                <c:pt idx="156">
                  <c:v>5.5310691019807896</c:v>
                </c:pt>
                <c:pt idx="157">
                  <c:v>5.5310691019807896</c:v>
                </c:pt>
                <c:pt idx="158">
                  <c:v>5.5310691019807896</c:v>
                </c:pt>
                <c:pt idx="159">
                  <c:v>5.5310691019807896</c:v>
                </c:pt>
                <c:pt idx="160">
                  <c:v>5.5310691019807896</c:v>
                </c:pt>
                <c:pt idx="161">
                  <c:v>5.5310691019807896</c:v>
                </c:pt>
                <c:pt idx="162">
                  <c:v>5.5310691019807896</c:v>
                </c:pt>
                <c:pt idx="163">
                  <c:v>5.5310691019807896</c:v>
                </c:pt>
                <c:pt idx="164">
                  <c:v>5.5310691019807896</c:v>
                </c:pt>
                <c:pt idx="165">
                  <c:v>5.5310691019807896</c:v>
                </c:pt>
                <c:pt idx="166">
                  <c:v>5.5310691019807896</c:v>
                </c:pt>
                <c:pt idx="167">
                  <c:v>5.5310691019807896</c:v>
                </c:pt>
                <c:pt idx="168">
                  <c:v>5.5310691019807896</c:v>
                </c:pt>
                <c:pt idx="169">
                  <c:v>5.5310691019807896</c:v>
                </c:pt>
                <c:pt idx="170">
                  <c:v>5.5310691019807896</c:v>
                </c:pt>
                <c:pt idx="171">
                  <c:v>5.5310691019807896</c:v>
                </c:pt>
                <c:pt idx="172">
                  <c:v>5.5310691019807896</c:v>
                </c:pt>
                <c:pt idx="173">
                  <c:v>5.5310691019807896</c:v>
                </c:pt>
                <c:pt idx="174">
                  <c:v>5.5310691019807896</c:v>
                </c:pt>
                <c:pt idx="175">
                  <c:v>5.5310691019807896</c:v>
                </c:pt>
                <c:pt idx="176">
                  <c:v>5.5310691019807896</c:v>
                </c:pt>
                <c:pt idx="177">
                  <c:v>5.5310691019807896</c:v>
                </c:pt>
                <c:pt idx="178">
                  <c:v>5.5310691019807896</c:v>
                </c:pt>
                <c:pt idx="179">
                  <c:v>5.5310691019807896</c:v>
                </c:pt>
                <c:pt idx="180">
                  <c:v>5.5310691019807896</c:v>
                </c:pt>
                <c:pt idx="181">
                  <c:v>5.5310691019807896</c:v>
                </c:pt>
                <c:pt idx="182">
                  <c:v>5.5310691019807896</c:v>
                </c:pt>
                <c:pt idx="183">
                  <c:v>5.5310691019807896</c:v>
                </c:pt>
                <c:pt idx="184">
                  <c:v>5.5310691019807896</c:v>
                </c:pt>
                <c:pt idx="185">
                  <c:v>5.5310691019807896</c:v>
                </c:pt>
                <c:pt idx="186">
                  <c:v>5.5310691019807896</c:v>
                </c:pt>
                <c:pt idx="187">
                  <c:v>5.5310691019807896</c:v>
                </c:pt>
                <c:pt idx="188">
                  <c:v>5.5310691019807896</c:v>
                </c:pt>
                <c:pt idx="189">
                  <c:v>5.5310691019807896</c:v>
                </c:pt>
                <c:pt idx="190">
                  <c:v>5.5310691019807896</c:v>
                </c:pt>
                <c:pt idx="191">
                  <c:v>5.5310691019807896</c:v>
                </c:pt>
                <c:pt idx="192">
                  <c:v>5.5310691019807896</c:v>
                </c:pt>
                <c:pt idx="193">
                  <c:v>5.5310691019807896</c:v>
                </c:pt>
                <c:pt idx="194">
                  <c:v>5.5310691019807896</c:v>
                </c:pt>
                <c:pt idx="195">
                  <c:v>5.5310691019807896</c:v>
                </c:pt>
                <c:pt idx="196">
                  <c:v>5.5310691019807896</c:v>
                </c:pt>
                <c:pt idx="197">
                  <c:v>5.5310691019807896</c:v>
                </c:pt>
                <c:pt idx="198">
                  <c:v>5.5310691019807896</c:v>
                </c:pt>
                <c:pt idx="199">
                  <c:v>5.5310691019807896</c:v>
                </c:pt>
                <c:pt idx="200">
                  <c:v>5.5310691019807896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3.3133072682343681</c:v>
                </c:pt>
                <c:pt idx="2">
                  <c:v>3.8071130279877874</c:v>
                </c:pt>
                <c:pt idx="3">
                  <c:v>4.3747749788032486</c:v>
                </c:pt>
                <c:pt idx="4">
                  <c:v>5.0273762561863284</c:v>
                </c:pt>
                <c:pt idx="5">
                  <c:v>5.7776683505685886</c:v>
                </c:pt>
                <c:pt idx="6">
                  <c:v>6.6403229723106856</c:v>
                </c:pt>
                <c:pt idx="7">
                  <c:v>7.6322220412337236</c:v>
                </c:pt>
                <c:pt idx="8">
                  <c:v>8.7727915856850256</c:v>
                </c:pt>
                <c:pt idx="9">
                  <c:v>10.084386215924773</c:v>
                </c:pt>
                <c:pt idx="10">
                  <c:v>11.592731850469173</c:v>
                </c:pt>
                <c:pt idx="11">
                  <c:v>13.327435542412308</c:v>
                </c:pt>
                <c:pt idx="12">
                  <c:v>15.322572599270915</c:v>
                </c:pt>
                <c:pt idx="13">
                  <c:v>17.617362741761884</c:v>
                </c:pt>
                <c:pt idx="14">
                  <c:v>20.256948835501987</c:v>
                </c:pt>
                <c:pt idx="15">
                  <c:v>23.293293791083059</c:v>
                </c:pt>
                <c:pt idx="16">
                  <c:v>26.786213604030024</c:v>
                </c:pt>
                <c:pt idx="17">
                  <c:v>30.804567244883845</c:v>
                </c:pt>
                <c:pt idx="18">
                  <c:v>35.427627266519373</c:v>
                </c:pt>
                <c:pt idx="19">
                  <c:v>40.746658634753139</c:v>
                </c:pt>
                <c:pt idx="20">
                  <c:v>46.86673748305622</c:v>
                </c:pt>
                <c:pt idx="21">
                  <c:v>53.908846327795466</c:v>
                </c:pt>
                <c:pt idx="22">
                  <c:v>62.012287854943317</c:v>
                </c:pt>
                <c:pt idx="23">
                  <c:v>71.337465815709237</c:v>
                </c:pt>
                <c:pt idx="24">
                  <c:v>82.069088977475658</c:v>
                </c:pt>
                <c:pt idx="25">
                  <c:v>94.41986261817847</c:v>
                </c:pt>
                <c:pt idx="26">
                  <c:v>108.63474190032758</c:v>
                </c:pt>
                <c:pt idx="27">
                  <c:v>124.99583281529289</c:v>
                </c:pt>
                <c:pt idx="28">
                  <c:v>143.82803948003559</c:v>
                </c:pt>
                <c:pt idx="29">
                  <c:v>165.50557166330015</c:v>
                </c:pt>
                <c:pt idx="30">
                  <c:v>190.45944382337936</c:v>
                </c:pt>
                <c:pt idx="31">
                  <c:v>210.27774224353826</c:v>
                </c:pt>
                <c:pt idx="32">
                  <c:v>230.05295385777504</c:v>
                </c:pt>
                <c:pt idx="33">
                  <c:v>249.78930337953932</c:v>
                </c:pt>
                <c:pt idx="34">
                  <c:v>269.49029289823301</c:v>
                </c:pt>
                <c:pt idx="35">
                  <c:v>289.15887042204321</c:v>
                </c:pt>
                <c:pt idx="36">
                  <c:v>308.79755007515246</c:v>
                </c:pt>
                <c:pt idx="37">
                  <c:v>328.40850007370682</c:v>
                </c:pt>
                <c:pt idx="38">
                  <c:v>347.99360856589328</c:v>
                </c:pt>
                <c:pt idx="39">
                  <c:v>367.55453386345613</c:v>
                </c:pt>
                <c:pt idx="40">
                  <c:v>387.09274341542005</c:v>
                </c:pt>
                <c:pt idx="41">
                  <c:v>406.6095444993428</c:v>
                </c:pt>
                <c:pt idx="42">
                  <c:v>426.10610871121958</c:v>
                </c:pt>
                <c:pt idx="43">
                  <c:v>345.42162895640627</c:v>
                </c:pt>
                <c:pt idx="44">
                  <c:v>369.59031388568059</c:v>
                </c:pt>
                <c:pt idx="45">
                  <c:v>393.72453006111556</c:v>
                </c:pt>
                <c:pt idx="46">
                  <c:v>417.82668561224938</c:v>
                </c:pt>
                <c:pt idx="47">
                  <c:v>441.89888834674935</c:v>
                </c:pt>
                <c:pt idx="48">
                  <c:v>465.94299785724775</c:v>
                </c:pt>
                <c:pt idx="49">
                  <c:v>489.96066631131407</c:v>
                </c:pt>
                <c:pt idx="50">
                  <c:v>513.95337082755043</c:v>
                </c:pt>
                <c:pt idx="51">
                  <c:v>452.49217060056822</c:v>
                </c:pt>
                <c:pt idx="52">
                  <c:v>476.9379367175323</c:v>
                </c:pt>
                <c:pt idx="53">
                  <c:v>501.35706327646199</c:v>
                </c:pt>
                <c:pt idx="54">
                  <c:v>525.75102890858318</c:v>
                </c:pt>
                <c:pt idx="55">
                  <c:v>550.12116397590796</c:v>
                </c:pt>
                <c:pt idx="56">
                  <c:v>574.46867148020931</c:v>
                </c:pt>
                <c:pt idx="57">
                  <c:v>598.79464424477112</c:v>
                </c:pt>
                <c:pt idx="58">
                  <c:v>623.10007916066616</c:v>
                </c:pt>
                <c:pt idx="59">
                  <c:v>538.50647230701213</c:v>
                </c:pt>
                <c:pt idx="60">
                  <c:v>561.97735179239714</c:v>
                </c:pt>
                <c:pt idx="61">
                  <c:v>585.42772929752402</c:v>
                </c:pt>
                <c:pt idx="62">
                  <c:v>608.8585407010313</c:v>
                </c:pt>
                <c:pt idx="63">
                  <c:v>632.27064405603119</c:v>
                </c:pt>
                <c:pt idx="64">
                  <c:v>655.66482876159637</c:v>
                </c:pt>
                <c:pt idx="65">
                  <c:v>679.04182335833355</c:v>
                </c:pt>
                <c:pt idx="66">
                  <c:v>702.40230219562352</c:v>
                </c:pt>
                <c:pt idx="67">
                  <c:v>604.90067044401007</c:v>
                </c:pt>
                <c:pt idx="68">
                  <c:v>627.14555243359348</c:v>
                </c:pt>
                <c:pt idx="69">
                  <c:v>649.37411221878267</c:v>
                </c:pt>
                <c:pt idx="70">
                  <c:v>671.5869865291204</c:v>
                </c:pt>
                <c:pt idx="71">
                  <c:v>693.78476658795432</c:v>
                </c:pt>
                <c:pt idx="72">
                  <c:v>715.96800274573991</c:v>
                </c:pt>
                <c:pt idx="73">
                  <c:v>738.13720850983793</c:v>
                </c:pt>
                <c:pt idx="74">
                  <c:v>760.29286406552922</c:v>
                </c:pt>
                <c:pt idx="75">
                  <c:v>668.71726107286213</c:v>
                </c:pt>
                <c:pt idx="76">
                  <c:v>690.65460461045438</c:v>
                </c:pt>
                <c:pt idx="77">
                  <c:v>712.57767261837535</c:v>
                </c:pt>
                <c:pt idx="78">
                  <c:v>734.48696559742518</c:v>
                </c:pt>
                <c:pt idx="79">
                  <c:v>756.38295179099975</c:v>
                </c:pt>
                <c:pt idx="80">
                  <c:v>778.26607015635398</c:v>
                </c:pt>
                <c:pt idx="81">
                  <c:v>800.13673298468939</c:v>
                </c:pt>
                <c:pt idx="82">
                  <c:v>821.99532822022059</c:v>
                </c:pt>
                <c:pt idx="83">
                  <c:v>843.84222152004747</c:v>
                </c:pt>
                <c:pt idx="84">
                  <c:v>865.67775808988915</c:v>
                </c:pt>
                <c:pt idx="85">
                  <c:v>739.50939412098796</c:v>
                </c:pt>
                <c:pt idx="86">
                  <c:v>760.20199612837177</c:v>
                </c:pt>
                <c:pt idx="87">
                  <c:v>780.88316920701811</c:v>
                </c:pt>
                <c:pt idx="88">
                  <c:v>801.55325829803803</c:v>
                </c:pt>
                <c:pt idx="89">
                  <c:v>822.21258912382143</c:v>
                </c:pt>
                <c:pt idx="90">
                  <c:v>842.86146972448921</c:v>
                </c:pt>
                <c:pt idx="91">
                  <c:v>863.50019183614086</c:v>
                </c:pt>
                <c:pt idx="92">
                  <c:v>884.12903213065056</c:v>
                </c:pt>
                <c:pt idx="93">
                  <c:v>904.74825333389288</c:v>
                </c:pt>
                <c:pt idx="94">
                  <c:v>925.35810523686405</c:v>
                </c:pt>
                <c:pt idx="95">
                  <c:v>797.845820069345</c:v>
                </c:pt>
                <c:pt idx="96">
                  <c:v>817.88864048869516</c:v>
                </c:pt>
                <c:pt idx="97">
                  <c:v>837.92156775499018</c:v>
                </c:pt>
                <c:pt idx="98">
                  <c:v>857.94487140553736</c:v>
                </c:pt>
                <c:pt idx="99">
                  <c:v>877.95880738674043</c:v>
                </c:pt>
                <c:pt idx="100">
                  <c:v>897.96361903980085</c:v>
                </c:pt>
                <c:pt idx="101">
                  <c:v>917.95953799412416</c:v>
                </c:pt>
                <c:pt idx="102">
                  <c:v>937.94678497894836</c:v>
                </c:pt>
                <c:pt idx="103">
                  <c:v>957.92557056228054</c:v>
                </c:pt>
                <c:pt idx="104">
                  <c:v>977.89609582507774</c:v>
                </c:pt>
                <c:pt idx="105">
                  <c:v>854.16855942292841</c:v>
                </c:pt>
                <c:pt idx="106">
                  <c:v>873.85756025731064</c:v>
                </c:pt>
                <c:pt idx="107">
                  <c:v>893.53768496447447</c:v>
                </c:pt>
                <c:pt idx="108">
                  <c:v>913.20915631920434</c:v>
                </c:pt>
                <c:pt idx="109">
                  <c:v>932.87218672902407</c:v>
                </c:pt>
                <c:pt idx="110">
                  <c:v>952.52697892938522</c:v>
                </c:pt>
                <c:pt idx="111">
                  <c:v>972.17372661857451</c:v>
                </c:pt>
                <c:pt idx="112">
                  <c:v>991.81261503870144</c:v>
                </c:pt>
                <c:pt idx="113">
                  <c:v>1011.4438215083425</c:v>
                </c:pt>
                <c:pt idx="114">
                  <c:v>1031.0675159117477</c:v>
                </c:pt>
                <c:pt idx="115">
                  <c:v>917.49023927832593</c:v>
                </c:pt>
                <c:pt idx="116">
                  <c:v>937.34672021682229</c:v>
                </c:pt>
                <c:pt idx="117">
                  <c:v>957.19484420937408</c:v>
                </c:pt>
                <c:pt idx="118">
                  <c:v>977.03480870800706</c:v>
                </c:pt>
                <c:pt idx="119">
                  <c:v>996.86680250336076</c:v>
                </c:pt>
                <c:pt idx="120">
                  <c:v>1016.6910062728247</c:v>
                </c:pt>
                <c:pt idx="121">
                  <c:v>1036.5075930837606</c:v>
                </c:pt>
                <c:pt idx="122">
                  <c:v>1056.3167288563018</c:v>
                </c:pt>
                <c:pt idx="123">
                  <c:v>1076.1185727896852</c:v>
                </c:pt>
                <c:pt idx="124">
                  <c:v>1095.9132777556217</c:v>
                </c:pt>
                <c:pt idx="125">
                  <c:v>991.27743602878684</c:v>
                </c:pt>
                <c:pt idx="126">
                  <c:v>1011.4794861041528</c:v>
                </c:pt>
                <c:pt idx="127">
                  <c:v>1031.6735812464144</c:v>
                </c:pt>
                <c:pt idx="128">
                  <c:v>1051.8598988634806</c:v>
                </c:pt>
                <c:pt idx="129">
                  <c:v>1072.0386090092638</c:v>
                </c:pt>
                <c:pt idx="130">
                  <c:v>1092.2098748239625</c:v>
                </c:pt>
                <c:pt idx="131">
                  <c:v>1112.3738529401787</c:v>
                </c:pt>
                <c:pt idx="132">
                  <c:v>1132.5306938581068</c:v>
                </c:pt>
                <c:pt idx="133">
                  <c:v>1152.680542292667</c:v>
                </c:pt>
                <c:pt idx="134">
                  <c:v>1172.8235374951462</c:v>
                </c:pt>
                <c:pt idx="135">
                  <c:v>1062.7423720711429</c:v>
                </c:pt>
                <c:pt idx="136">
                  <c:v>1083.0737615701685</c:v>
                </c:pt>
                <c:pt idx="137">
                  <c:v>1103.3976784190309</c:v>
                </c:pt>
                <c:pt idx="138">
                  <c:v>1123.714279426873</c:v>
                </c:pt>
                <c:pt idx="139">
                  <c:v>1144.0237152795919</c:v>
                </c:pt>
                <c:pt idx="140">
                  <c:v>1164.326130885561</c:v>
                </c:pt>
                <c:pt idx="141">
                  <c:v>1184.6216656960294</c:v>
                </c:pt>
                <c:pt idx="142">
                  <c:v>1204.9104540024589</c:v>
                </c:pt>
                <c:pt idx="143">
                  <c:v>1225.1926252128317</c:v>
                </c:pt>
                <c:pt idx="144">
                  <c:v>1245.4683041087394</c:v>
                </c:pt>
                <c:pt idx="145">
                  <c:v>1133.4701465490568</c:v>
                </c:pt>
                <c:pt idx="146">
                  <c:v>1154.2386364848433</c:v>
                </c:pt>
                <c:pt idx="147">
                  <c:v>1174.9998567832326</c:v>
                </c:pt>
                <c:pt idx="148">
                  <c:v>1195.7539537666225</c:v>
                </c:pt>
                <c:pt idx="149">
                  <c:v>1216.5010682727723</c:v>
                </c:pt>
                <c:pt idx="150">
                  <c:v>1237.24133595227</c:v>
                </c:pt>
                <c:pt idx="151">
                  <c:v>1257.9748875450507</c:v>
                </c:pt>
                <c:pt idx="152">
                  <c:v>1278.7018491377714</c:v>
                </c:pt>
                <c:pt idx="153">
                  <c:v>1299.4223424036622</c:v>
                </c:pt>
                <c:pt idx="154">
                  <c:v>1320.1364848263104</c:v>
                </c:pt>
                <c:pt idx="155">
                  <c:v>1210.6870753358355</c:v>
                </c:pt>
                <c:pt idx="156">
                  <c:v>1231.7608407148557</c:v>
                </c:pt>
                <c:pt idx="157">
                  <c:v>1252.8276383219807</c:v>
                </c:pt>
                <c:pt idx="158">
                  <c:v>1273.8876016161232</c:v>
                </c:pt>
                <c:pt idx="159">
                  <c:v>1294.9408592917673</c:v>
                </c:pt>
                <c:pt idx="160">
                  <c:v>1315.9875355252809</c:v>
                </c:pt>
                <c:pt idx="161">
                  <c:v>1337.0277502046813</c:v>
                </c:pt>
                <c:pt idx="162">
                  <c:v>1358.0616191442107</c:v>
                </c:pt>
                <c:pt idx="163">
                  <c:v>1379.0892542849588</c:v>
                </c:pt>
                <c:pt idx="164">
                  <c:v>1400.1107638826322</c:v>
                </c:pt>
                <c:pt idx="165">
                  <c:v>1280.453258617744</c:v>
                </c:pt>
                <c:pt idx="166">
                  <c:v>1301.6984623074479</c:v>
                </c:pt>
                <c:pt idx="167">
                  <c:v>1322.937002325961</c:v>
                </c:pt>
                <c:pt idx="168">
                  <c:v>1344.1690005205469</c:v>
                </c:pt>
                <c:pt idx="169">
                  <c:v>1365.394574582634</c:v>
                </c:pt>
                <c:pt idx="170">
                  <c:v>1386.6138382532347</c:v>
                </c:pt>
                <c:pt idx="171">
                  <c:v>1407.8269015151543</c:v>
                </c:pt>
                <c:pt idx="172">
                  <c:v>1429.0338707730373</c:v>
                </c:pt>
                <c:pt idx="173">
                  <c:v>1450.2348490221973</c:v>
                </c:pt>
                <c:pt idx="174">
                  <c:v>1471.4299360070752</c:v>
                </c:pt>
                <c:pt idx="175">
                  <c:v>957.14485926641635</c:v>
                </c:pt>
                <c:pt idx="176">
                  <c:v>951.74141905771182</c:v>
                </c:pt>
                <c:pt idx="177">
                  <c:v>946.33737002622627</c:v>
                </c:pt>
                <c:pt idx="178">
                  <c:v>669.45329662918141</c:v>
                </c:pt>
                <c:pt idx="179">
                  <c:v>667.70308706672074</c:v>
                </c:pt>
                <c:pt idx="180">
                  <c:v>665.95278314604423</c:v>
                </c:pt>
                <c:pt idx="181">
                  <c:v>477.08884532860861</c:v>
                </c:pt>
                <c:pt idx="182">
                  <c:v>475.18128566319916</c:v>
                </c:pt>
                <c:pt idx="183">
                  <c:v>473.27356302136633</c:v>
                </c:pt>
                <c:pt idx="184">
                  <c:v>56.720334359128351</c:v>
                </c:pt>
                <c:pt idx="185">
                  <c:v>56.720334359128351</c:v>
                </c:pt>
                <c:pt idx="186">
                  <c:v>56.720334359128351</c:v>
                </c:pt>
                <c:pt idx="187">
                  <c:v>56.720334359128351</c:v>
                </c:pt>
                <c:pt idx="188">
                  <c:v>56.720334359128351</c:v>
                </c:pt>
                <c:pt idx="189">
                  <c:v>56.720334359128351</c:v>
                </c:pt>
                <c:pt idx="190">
                  <c:v>56.720334359128351</c:v>
                </c:pt>
                <c:pt idx="191">
                  <c:v>56.720334359128351</c:v>
                </c:pt>
                <c:pt idx="192">
                  <c:v>56.720334359128351</c:v>
                </c:pt>
                <c:pt idx="193">
                  <c:v>56.720334359128351</c:v>
                </c:pt>
                <c:pt idx="194">
                  <c:v>56.720334359128351</c:v>
                </c:pt>
                <c:pt idx="195">
                  <c:v>56.720334359128351</c:v>
                </c:pt>
                <c:pt idx="196">
                  <c:v>56.720334359128351</c:v>
                </c:pt>
                <c:pt idx="197">
                  <c:v>56.720334359128351</c:v>
                </c:pt>
                <c:pt idx="198">
                  <c:v>56.720334359128351</c:v>
                </c:pt>
                <c:pt idx="199">
                  <c:v>56.720334359128351</c:v>
                </c:pt>
                <c:pt idx="200">
                  <c:v>56.720334359128351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2.9974315762854182</c:v>
                </c:pt>
                <c:pt idx="2">
                  <c:v>3.4845337529195226</c:v>
                </c:pt>
                <c:pt idx="3">
                  <c:v>4.0510782788937716</c:v>
                </c:pt>
                <c:pt idx="4">
                  <c:v>4.7100654379658176</c:v>
                </c:pt>
                <c:pt idx="5">
                  <c:v>5.4766296692201557</c:v>
                </c:pt>
                <c:pt idx="6">
                  <c:v>6.3683909442793167</c:v>
                </c:pt>
                <c:pt idx="7">
                  <c:v>7.4058641538048589</c:v>
                </c:pt>
                <c:pt idx="8">
                  <c:v>8.6129361039589352</c:v>
                </c:pt>
                <c:pt idx="9">
                  <c:v>10.017421316044429</c:v>
                </c:pt>
                <c:pt idx="10">
                  <c:v>11.651709679804982</c:v>
                </c:pt>
                <c:pt idx="11">
                  <c:v>13.553521176929786</c:v>
                </c:pt>
                <c:pt idx="12">
                  <c:v>15.766785417609405</c:v>
                </c:pt>
                <c:pt idx="13">
                  <c:v>18.342666679548959</c:v>
                </c:pt>
                <c:pt idx="14">
                  <c:v>21.340758575699883</c:v>
                </c:pt>
                <c:pt idx="15">
                  <c:v>24.83047648584963</c:v>
                </c:pt>
                <c:pt idx="16">
                  <c:v>28.892680563481917</c:v>
                </c:pt>
                <c:pt idx="17">
                  <c:v>33.621567584287831</c:v>
                </c:pt>
                <c:pt idx="18">
                  <c:v>39.126876266258527</c:v>
                </c:pt>
                <c:pt idx="19">
                  <c:v>45.536458115010554</c:v>
                </c:pt>
                <c:pt idx="20">
                  <c:v>52.999274508801761</c:v>
                </c:pt>
                <c:pt idx="21">
                  <c:v>61.688890842071601</c:v>
                </c:pt>
                <c:pt idx="22">
                  <c:v>71.807550335280936</c:v>
                </c:pt>
                <c:pt idx="23">
                  <c:v>83.590923873624732</c:v>
                </c:pt>
                <c:pt idx="24">
                  <c:v>97.313648286165858</c:v>
                </c:pt>
                <c:pt idx="25">
                  <c:v>113.29578420333161</c:v>
                </c:pt>
                <c:pt idx="26">
                  <c:v>131.91034648186303</c:v>
                </c:pt>
                <c:pt idx="27">
                  <c:v>153.59208568440104</c:v>
                </c:pt>
                <c:pt idx="28">
                  <c:v>178.84772885549532</c:v>
                </c:pt>
                <c:pt idx="29">
                  <c:v>208.26792255851652</c:v>
                </c:pt>
                <c:pt idx="30">
                  <c:v>242.54116165944401</c:v>
                </c:pt>
                <c:pt idx="31">
                  <c:v>277.7371665057475</c:v>
                </c:pt>
                <c:pt idx="32">
                  <c:v>312.83300281186945</c:v>
                </c:pt>
                <c:pt idx="33">
                  <c:v>347.84148147218781</c:v>
                </c:pt>
                <c:pt idx="34">
                  <c:v>382.77262197501381</c:v>
                </c:pt>
                <c:pt idx="35">
                  <c:v>335.9459310160268</c:v>
                </c:pt>
                <c:pt idx="36">
                  <c:v>365.81808023408945</c:v>
                </c:pt>
                <c:pt idx="37">
                  <c:v>395.63696922227473</c:v>
                </c:pt>
                <c:pt idx="38">
                  <c:v>425.40717182534786</c:v>
                </c:pt>
                <c:pt idx="39">
                  <c:v>455.1325698964809</c:v>
                </c:pt>
                <c:pt idx="40">
                  <c:v>484.81649727393921</c:v>
                </c:pt>
                <c:pt idx="41">
                  <c:v>514.46184664306247</c:v>
                </c:pt>
                <c:pt idx="42">
                  <c:v>544.07115048057574</c:v>
                </c:pt>
                <c:pt idx="43">
                  <c:v>455.15947093628557</c:v>
                </c:pt>
                <c:pt idx="44">
                  <c:v>485.30005980052869</c:v>
                </c:pt>
                <c:pt idx="45">
                  <c:v>515.40091802859536</c:v>
                </c:pt>
                <c:pt idx="46">
                  <c:v>545.46468894348254</c:v>
                </c:pt>
                <c:pt idx="47">
                  <c:v>575.49370107238622</c:v>
                </c:pt>
                <c:pt idx="48">
                  <c:v>605.4900204321973</c:v>
                </c:pt>
                <c:pt idx="49">
                  <c:v>635.45549192014289</c:v>
                </c:pt>
                <c:pt idx="50">
                  <c:v>665.39177249628278</c:v>
                </c:pt>
                <c:pt idx="51">
                  <c:v>551.89544005164078</c:v>
                </c:pt>
                <c:pt idx="52">
                  <c:v>580.94313987722501</c:v>
                </c:pt>
                <c:pt idx="53">
                  <c:v>609.9605642960862</c:v>
                </c:pt>
                <c:pt idx="54">
                  <c:v>638.94935401013572</c:v>
                </c:pt>
                <c:pt idx="55">
                  <c:v>667.91098891334161</c:v>
                </c:pt>
                <c:pt idx="56">
                  <c:v>696.84681027949625</c:v>
                </c:pt>
                <c:pt idx="57">
                  <c:v>725.75803907659065</c:v>
                </c:pt>
                <c:pt idx="58">
                  <c:v>754.64579121426698</c:v>
                </c:pt>
                <c:pt idx="59">
                  <c:v>649.9358973277225</c:v>
                </c:pt>
                <c:pt idx="60">
                  <c:v>677.8258443228882</c:v>
                </c:pt>
                <c:pt idx="61">
                  <c:v>705.6922377296429</c:v>
                </c:pt>
                <c:pt idx="62">
                  <c:v>733.53613705835642</c:v>
                </c:pt>
                <c:pt idx="63">
                  <c:v>761.35851494777864</c:v>
                </c:pt>
                <c:pt idx="64">
                  <c:v>789.16026726439031</c:v>
                </c:pt>
                <c:pt idx="65">
                  <c:v>816.94222170636033</c:v>
                </c:pt>
                <c:pt idx="66">
                  <c:v>844.70514517781703</c:v>
                </c:pt>
                <c:pt idx="67">
                  <c:v>718.7509684814836</c:v>
                </c:pt>
                <c:pt idx="68">
                  <c:v>744.64631797616437</c:v>
                </c:pt>
                <c:pt idx="69">
                  <c:v>770.52335796634054</c:v>
                </c:pt>
                <c:pt idx="70">
                  <c:v>796.38278896922054</c:v>
                </c:pt>
                <c:pt idx="71">
                  <c:v>822.22526236829606</c:v>
                </c:pt>
                <c:pt idx="72">
                  <c:v>848.05138532588978</c:v>
                </c:pt>
                <c:pt idx="73">
                  <c:v>873.86172506698915</c:v>
                </c:pt>
                <c:pt idx="74">
                  <c:v>899.65681263138219</c:v>
                </c:pt>
                <c:pt idx="75">
                  <c:v>774.78037131911344</c:v>
                </c:pt>
                <c:pt idx="76">
                  <c:v>799.1374221072075</c:v>
                </c:pt>
                <c:pt idx="77">
                  <c:v>823.47948530784936</c:v>
                </c:pt>
                <c:pt idx="78">
                  <c:v>847.80706566483479</c:v>
                </c:pt>
                <c:pt idx="79">
                  <c:v>872.12063663672825</c:v>
                </c:pt>
                <c:pt idx="80">
                  <c:v>896.42064317134543</c:v>
                </c:pt>
                <c:pt idx="81">
                  <c:v>920.70750416418662</c:v>
                </c:pt>
                <c:pt idx="82">
                  <c:v>944.98161464436873</c:v>
                </c:pt>
                <c:pt idx="83">
                  <c:v>854.20140290648499</c:v>
                </c:pt>
                <c:pt idx="84">
                  <c:v>877.85853457901806</c:v>
                </c:pt>
                <c:pt idx="85">
                  <c:v>901.50291665699069</c:v>
                </c:pt>
                <c:pt idx="86">
                  <c:v>925.13493010162131</c:v>
                </c:pt>
                <c:pt idx="87">
                  <c:v>948.75493485481877</c:v>
                </c:pt>
                <c:pt idx="88">
                  <c:v>972.36327150366458</c:v>
                </c:pt>
                <c:pt idx="89">
                  <c:v>995.96026277508724</c:v>
                </c:pt>
                <c:pt idx="90">
                  <c:v>1019.5462148817478</c:v>
                </c:pt>
                <c:pt idx="91">
                  <c:v>908.30314473285273</c:v>
                </c:pt>
                <c:pt idx="92">
                  <c:v>931.11526277634005</c:v>
                </c:pt>
                <c:pt idx="93">
                  <c:v>953.91626993757302</c:v>
                </c:pt>
                <c:pt idx="94">
                  <c:v>976.70646877999297</c:v>
                </c:pt>
                <c:pt idx="95">
                  <c:v>999.48614661827423</c:v>
                </c:pt>
                <c:pt idx="96">
                  <c:v>1022.2555766237365</c:v>
                </c:pt>
                <c:pt idx="97">
                  <c:v>1045.0150188263092</c:v>
                </c:pt>
                <c:pt idx="98">
                  <c:v>1067.7647210248108</c:v>
                </c:pt>
                <c:pt idx="99">
                  <c:v>1090.5049196157511</c:v>
                </c:pt>
                <c:pt idx="100">
                  <c:v>1113.2358403495193</c:v>
                </c:pt>
                <c:pt idx="101">
                  <c:v>954.16001536321698</c:v>
                </c:pt>
                <c:pt idx="102">
                  <c:v>975.47770060068979</c:v>
                </c:pt>
                <c:pt idx="103">
                  <c:v>996.78616755407802</c:v>
                </c:pt>
                <c:pt idx="104">
                  <c:v>1018.0856407371281</c:v>
                </c:pt>
                <c:pt idx="105">
                  <c:v>1039.3763345181203</c:v>
                </c:pt>
                <c:pt idx="106">
                  <c:v>1060.6584537808778</c:v>
                </c:pt>
                <c:pt idx="107">
                  <c:v>1081.9321945300615</c:v>
                </c:pt>
                <c:pt idx="108">
                  <c:v>1103.1977444464494</c:v>
                </c:pt>
                <c:pt idx="109">
                  <c:v>1124.4552833972573</c:v>
                </c:pt>
                <c:pt idx="110">
                  <c:v>1145.7049839059202</c:v>
                </c:pt>
                <c:pt idx="111">
                  <c:v>1024.9817290912683</c:v>
                </c:pt>
                <c:pt idx="112">
                  <c:v>1046.3923324910581</c:v>
                </c:pt>
                <c:pt idx="113">
                  <c:v>1067.7943285264473</c:v>
                </c:pt>
                <c:pt idx="114">
                  <c:v>1089.1879137363931</c:v>
                </c:pt>
                <c:pt idx="115">
                  <c:v>1110.573276322285</c:v>
                </c:pt>
                <c:pt idx="116">
                  <c:v>1131.9505966585587</c:v>
                </c:pt>
                <c:pt idx="117">
                  <c:v>1153.3200477627981</c:v>
                </c:pt>
                <c:pt idx="118">
                  <c:v>1174.6817957292456</c:v>
                </c:pt>
                <c:pt idx="119">
                  <c:v>1196.036000129194</c:v>
                </c:pt>
                <c:pt idx="120">
                  <c:v>1217.3828143813478</c:v>
                </c:pt>
                <c:pt idx="121">
                  <c:v>1111.2431553485806</c:v>
                </c:pt>
                <c:pt idx="122">
                  <c:v>1132.7659809306363</c:v>
                </c:pt>
                <c:pt idx="123">
                  <c:v>1154.280836127059</c:v>
                </c:pt>
                <c:pt idx="124">
                  <c:v>1175.787890169476</c:v>
                </c:pt>
                <c:pt idx="125">
                  <c:v>1197.2873056044853</c:v>
                </c:pt>
                <c:pt idx="126">
                  <c:v>1218.7792386754024</c:v>
                </c:pt>
                <c:pt idx="127">
                  <c:v>1240.2638396757236</c:v>
                </c:pt>
                <c:pt idx="128">
                  <c:v>1261.7412532768747</c:v>
                </c:pt>
                <c:pt idx="129">
                  <c:v>1283.2116188325219</c:v>
                </c:pt>
                <c:pt idx="130">
                  <c:v>1304.6750706614978</c:v>
                </c:pt>
                <c:pt idx="131">
                  <c:v>1180.6130965936718</c:v>
                </c:pt>
                <c:pt idx="132">
                  <c:v>1202.0622909062897</c:v>
                </c:pt>
                <c:pt idx="133">
                  <c:v>1223.5040703422858</c:v>
                </c:pt>
                <c:pt idx="134">
                  <c:v>1244.9385829179339</c:v>
                </c:pt>
                <c:pt idx="135">
                  <c:v>1266.3659711462867</c:v>
                </c:pt>
                <c:pt idx="136">
                  <c:v>1287.7863723332732</c:v>
                </c:pt>
                <c:pt idx="137">
                  <c:v>1309.1999188531099</c:v>
                </c:pt>
                <c:pt idx="138">
                  <c:v>1330.6067384047935</c:v>
                </c:pt>
                <c:pt idx="139">
                  <c:v>1352.0069542512595</c:v>
                </c:pt>
                <c:pt idx="140">
                  <c:v>1373.40068544264</c:v>
                </c:pt>
                <c:pt idx="141">
                  <c:v>1251.8014284941851</c:v>
                </c:pt>
                <c:pt idx="142">
                  <c:v>1273.304545570343</c:v>
                </c:pt>
                <c:pt idx="143">
                  <c:v>1294.8006683579763</c:v>
                </c:pt>
                <c:pt idx="144">
                  <c:v>1316.2899291154069</c:v>
                </c:pt>
                <c:pt idx="145">
                  <c:v>1337.7724554386036</c:v>
                </c:pt>
                <c:pt idx="146">
                  <c:v>1359.248370499248</c:v>
                </c:pt>
                <c:pt idx="147">
                  <c:v>1380.7177932669922</c:v>
                </c:pt>
                <c:pt idx="148">
                  <c:v>1402.1808387172075</c:v>
                </c:pt>
                <c:pt idx="149">
                  <c:v>1423.6376180253774</c:v>
                </c:pt>
                <c:pt idx="150">
                  <c:v>1445.0882387491822</c:v>
                </c:pt>
                <c:pt idx="151">
                  <c:v>947.59611920401665</c:v>
                </c:pt>
                <c:pt idx="152">
                  <c:v>945.0169467435486</c:v>
                </c:pt>
                <c:pt idx="153">
                  <c:v>942.43763449357721</c:v>
                </c:pt>
                <c:pt idx="154">
                  <c:v>639.9536326713345</c:v>
                </c:pt>
                <c:pt idx="155">
                  <c:v>637.9450427398051</c:v>
                </c:pt>
                <c:pt idx="156">
                  <c:v>635.93632213703586</c:v>
                </c:pt>
                <c:pt idx="157">
                  <c:v>447.22038662382903</c:v>
                </c:pt>
                <c:pt idx="158">
                  <c:v>445.66306991531627</c:v>
                </c:pt>
                <c:pt idx="159">
                  <c:v>444.1056366448247</c:v>
                </c:pt>
                <c:pt idx="160">
                  <c:v>48.786614446604354</c:v>
                </c:pt>
                <c:pt idx="161">
                  <c:v>48.786614446604354</c:v>
                </c:pt>
                <c:pt idx="162">
                  <c:v>48.786614446604354</c:v>
                </c:pt>
                <c:pt idx="163">
                  <c:v>48.786614446604354</c:v>
                </c:pt>
                <c:pt idx="164">
                  <c:v>48.786614446604354</c:v>
                </c:pt>
                <c:pt idx="165">
                  <c:v>48.786614446604354</c:v>
                </c:pt>
                <c:pt idx="166">
                  <c:v>48.786614446604354</c:v>
                </c:pt>
                <c:pt idx="167">
                  <c:v>48.786614446604354</c:v>
                </c:pt>
                <c:pt idx="168">
                  <c:v>48.786614446604354</c:v>
                </c:pt>
                <c:pt idx="169">
                  <c:v>48.786614446604354</c:v>
                </c:pt>
                <c:pt idx="170">
                  <c:v>48.786614446604354</c:v>
                </c:pt>
                <c:pt idx="171">
                  <c:v>48.786614446604354</c:v>
                </c:pt>
                <c:pt idx="172">
                  <c:v>48.786614446604354</c:v>
                </c:pt>
                <c:pt idx="173">
                  <c:v>48.786614446604354</c:v>
                </c:pt>
                <c:pt idx="174">
                  <c:v>48.786614446604354</c:v>
                </c:pt>
                <c:pt idx="175">
                  <c:v>48.786614446604354</c:v>
                </c:pt>
                <c:pt idx="176">
                  <c:v>48.786614446604354</c:v>
                </c:pt>
                <c:pt idx="177">
                  <c:v>48.786614446604354</c:v>
                </c:pt>
                <c:pt idx="178">
                  <c:v>48.786614446604354</c:v>
                </c:pt>
                <c:pt idx="179">
                  <c:v>48.786614446604354</c:v>
                </c:pt>
                <c:pt idx="180">
                  <c:v>48.786614446604354</c:v>
                </c:pt>
                <c:pt idx="181">
                  <c:v>48.786614446604354</c:v>
                </c:pt>
                <c:pt idx="182">
                  <c:v>48.786614446604354</c:v>
                </c:pt>
                <c:pt idx="183">
                  <c:v>48.786614446604354</c:v>
                </c:pt>
                <c:pt idx="184">
                  <c:v>48.786614446604354</c:v>
                </c:pt>
                <c:pt idx="185">
                  <c:v>48.786614446604354</c:v>
                </c:pt>
                <c:pt idx="186">
                  <c:v>48.786614446604354</c:v>
                </c:pt>
                <c:pt idx="187">
                  <c:v>48.786614446604354</c:v>
                </c:pt>
                <c:pt idx="188">
                  <c:v>48.786614446604354</c:v>
                </c:pt>
                <c:pt idx="189">
                  <c:v>48.786614446604354</c:v>
                </c:pt>
                <c:pt idx="190">
                  <c:v>48.786614446604354</c:v>
                </c:pt>
                <c:pt idx="191">
                  <c:v>48.786614446604354</c:v>
                </c:pt>
                <c:pt idx="192">
                  <c:v>48.786614446604354</c:v>
                </c:pt>
                <c:pt idx="193">
                  <c:v>48.786614446604354</c:v>
                </c:pt>
                <c:pt idx="194">
                  <c:v>48.786614446604354</c:v>
                </c:pt>
                <c:pt idx="195">
                  <c:v>48.786614446604354</c:v>
                </c:pt>
                <c:pt idx="196">
                  <c:v>48.786614446604354</c:v>
                </c:pt>
                <c:pt idx="197">
                  <c:v>48.786614446604354</c:v>
                </c:pt>
                <c:pt idx="198">
                  <c:v>48.786614446604354</c:v>
                </c:pt>
                <c:pt idx="199">
                  <c:v>48.786614446604354</c:v>
                </c:pt>
                <c:pt idx="200">
                  <c:v>48.786614446604354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H18" sqref="H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51.5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44</v>
      </c>
      <c r="C9" s="264">
        <v>0.52420820000000001</v>
      </c>
      <c r="D9" s="33">
        <f t="shared" ref="D9:D18" si="0">C9*$C$5</f>
        <v>26.996722300000002</v>
      </c>
      <c r="E9" s="265">
        <v>45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24</v>
      </c>
      <c r="C10" s="264">
        <v>0.42519109999999999</v>
      </c>
      <c r="D10" s="33">
        <f t="shared" si="0"/>
        <v>21.897341649999998</v>
      </c>
      <c r="E10" s="265">
        <v>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164</v>
      </c>
      <c r="C11" s="264">
        <v>2.9972100000000002E-2</v>
      </c>
      <c r="D11" s="33">
        <f t="shared" si="0"/>
        <v>1.54356315</v>
      </c>
      <c r="E11" s="265">
        <v>105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36</v>
      </c>
      <c r="C12" s="264">
        <v>1.2862500000000001E-2</v>
      </c>
      <c r="D12" s="33">
        <f t="shared" si="0"/>
        <v>0.66241875000000006</v>
      </c>
      <c r="E12" s="265">
        <v>30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</v>
      </c>
      <c r="C13" s="32">
        <v>3.8830000000000002E-3</v>
      </c>
      <c r="D13" s="33">
        <f t="shared" si="0"/>
        <v>0.1999745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12</v>
      </c>
      <c r="C14" s="32">
        <v>3.8830000000000002E-3</v>
      </c>
      <c r="D14" s="33">
        <f t="shared" si="0"/>
        <v>0.1999745</v>
      </c>
      <c r="E14" s="34">
        <v>159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0.99999989999999994</v>
      </c>
      <c r="D19" s="38">
        <f>SUM(D9:D18)</f>
        <v>51.499994850000007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Robinier faux-acacia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5</v>
      </c>
      <c r="B36" s="259">
        <v>41</v>
      </c>
      <c r="C36" s="259">
        <v>1</v>
      </c>
      <c r="D36" s="259">
        <v>8</v>
      </c>
      <c r="E36" s="260"/>
      <c r="F36" s="260"/>
      <c r="G36" s="260"/>
      <c r="H36" s="260">
        <v>1</v>
      </c>
      <c r="I36" s="49">
        <f>IFERROR(B36/A36,"")</f>
        <v>8.1999999999999993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10</v>
      </c>
      <c r="B37" s="259">
        <v>121</v>
      </c>
      <c r="C37" s="259">
        <v>2</v>
      </c>
      <c r="D37" s="259">
        <v>37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17.600000000000001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15</v>
      </c>
      <c r="B38" s="259">
        <v>170</v>
      </c>
      <c r="C38" s="259">
        <v>3</v>
      </c>
      <c r="D38" s="259">
        <v>29</v>
      </c>
      <c r="E38" s="260"/>
      <c r="F38" s="260"/>
      <c r="G38" s="260"/>
      <c r="H38" s="260">
        <v>1</v>
      </c>
      <c r="I38" s="53">
        <f t="shared" si="1"/>
        <v>17.2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20</v>
      </c>
      <c r="B39" s="259">
        <v>217</v>
      </c>
      <c r="C39" s="259">
        <v>4</v>
      </c>
      <c r="D39" s="259">
        <v>23</v>
      </c>
      <c r="E39" s="260"/>
      <c r="F39" s="260"/>
      <c r="G39" s="260"/>
      <c r="H39" s="260">
        <v>1</v>
      </c>
      <c r="I39" s="49">
        <f t="shared" si="1"/>
        <v>15.2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25</v>
      </c>
      <c r="B40" s="259">
        <v>259</v>
      </c>
      <c r="C40" s="259">
        <v>5</v>
      </c>
      <c r="D40" s="259">
        <v>18</v>
      </c>
      <c r="E40" s="260"/>
      <c r="F40" s="260"/>
      <c r="G40" s="260"/>
      <c r="H40" s="260">
        <v>1</v>
      </c>
      <c r="I40" s="49">
        <f t="shared" si="1"/>
        <v>13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30</v>
      </c>
      <c r="B41" s="259">
        <v>294</v>
      </c>
      <c r="C41" s="259">
        <v>6</v>
      </c>
      <c r="D41" s="259">
        <v>14</v>
      </c>
      <c r="E41" s="260"/>
      <c r="F41" s="260"/>
      <c r="G41" s="260"/>
      <c r="H41" s="260">
        <v>1</v>
      </c>
      <c r="I41" s="53">
        <f t="shared" si="1"/>
        <v>10.6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35</v>
      </c>
      <c r="B42" s="259">
        <v>323</v>
      </c>
      <c r="C42" s="259">
        <v>7</v>
      </c>
      <c r="D42" s="259">
        <v>11</v>
      </c>
      <c r="E42" s="260">
        <v>1</v>
      </c>
      <c r="F42" s="260"/>
      <c r="G42" s="260"/>
      <c r="H42" s="260"/>
      <c r="I42" s="53">
        <f t="shared" si="1"/>
        <v>8.6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40</v>
      </c>
      <c r="B43" s="259">
        <v>350</v>
      </c>
      <c r="C43" s="259">
        <v>8</v>
      </c>
      <c r="D43" s="259">
        <v>9</v>
      </c>
      <c r="E43" s="260">
        <v>1</v>
      </c>
      <c r="F43" s="260"/>
      <c r="G43" s="260"/>
      <c r="H43" s="260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45</v>
      </c>
      <c r="B44" s="259">
        <v>378</v>
      </c>
      <c r="C44" s="259">
        <v>9</v>
      </c>
      <c r="D44" s="259">
        <v>9</v>
      </c>
      <c r="E44" s="260">
        <v>1</v>
      </c>
      <c r="F44" s="260"/>
      <c r="G44" s="260"/>
      <c r="H44" s="260"/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Eucalyptus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</v>
      </c>
      <c r="B62" s="261">
        <v>20</v>
      </c>
      <c r="C62" s="261"/>
      <c r="D62" s="261"/>
      <c r="E62" s="260"/>
      <c r="F62" s="260"/>
      <c r="G62" s="260"/>
      <c r="H62" s="260"/>
      <c r="I62" s="53">
        <f>IFERROR(B62/A62,"")</f>
        <v>10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</v>
      </c>
      <c r="B63" s="261">
        <v>50</v>
      </c>
      <c r="C63" s="261"/>
      <c r="D63" s="261"/>
      <c r="E63" s="260"/>
      <c r="F63" s="260"/>
      <c r="G63" s="260"/>
      <c r="H63" s="260"/>
      <c r="I63" s="49">
        <f>IF(A63&lt;&gt;0,(B63-(B62-D62))/(A63-A62),"")</f>
        <v>30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</v>
      </c>
      <c r="B64" s="261">
        <v>100</v>
      </c>
      <c r="C64" s="261"/>
      <c r="D64" s="261"/>
      <c r="E64" s="260"/>
      <c r="F64" s="260"/>
      <c r="G64" s="260"/>
      <c r="H64" s="260"/>
      <c r="I64" s="49">
        <f>IF(A64&lt;&gt;0,(B64-(B63-D63))/(A64-A63),"")</f>
        <v>50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</v>
      </c>
      <c r="B65" s="261">
        <v>140</v>
      </c>
      <c r="C65" s="261"/>
      <c r="D65" s="261"/>
      <c r="E65" s="260"/>
      <c r="F65" s="260"/>
      <c r="G65" s="260"/>
      <c r="H65" s="260"/>
      <c r="I65" s="49">
        <f>IF(A65&lt;&gt;0,(B65-(B64-D64))/(A65-A64),"")</f>
        <v>40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</v>
      </c>
      <c r="B66" s="261">
        <v>185</v>
      </c>
      <c r="C66" s="261"/>
      <c r="D66" s="261"/>
      <c r="E66" s="260"/>
      <c r="F66" s="260"/>
      <c r="G66" s="260"/>
      <c r="H66" s="260"/>
      <c r="I66" s="49">
        <f t="shared" ref="I66:I81" si="2">IF(A66&lt;&gt;0,(B66-(B65-D65))/(A66-A65),"")</f>
        <v>45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</v>
      </c>
      <c r="B67" s="261">
        <v>230</v>
      </c>
      <c r="C67" s="261"/>
      <c r="D67" s="261"/>
      <c r="E67" s="260"/>
      <c r="F67" s="260"/>
      <c r="G67" s="260"/>
      <c r="H67" s="260"/>
      <c r="I67" s="49">
        <f t="shared" si="2"/>
        <v>45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</v>
      </c>
      <c r="B68" s="261">
        <v>280</v>
      </c>
      <c r="C68" s="261"/>
      <c r="D68" s="261"/>
      <c r="E68" s="260"/>
      <c r="F68" s="260"/>
      <c r="G68" s="260"/>
      <c r="H68" s="260"/>
      <c r="I68" s="49">
        <f t="shared" si="2"/>
        <v>50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</v>
      </c>
      <c r="B69" s="261">
        <v>325</v>
      </c>
      <c r="C69" s="261"/>
      <c r="D69" s="261"/>
      <c r="E69" s="260"/>
      <c r="F69" s="260"/>
      <c r="G69" s="260"/>
      <c r="H69" s="260"/>
      <c r="I69" s="49">
        <f t="shared" si="2"/>
        <v>45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</v>
      </c>
      <c r="B70" s="261">
        <v>380</v>
      </c>
      <c r="C70" s="261"/>
      <c r="D70" s="261"/>
      <c r="E70" s="260"/>
      <c r="F70" s="260"/>
      <c r="G70" s="260"/>
      <c r="H70" s="260"/>
      <c r="I70" s="49">
        <f t="shared" si="2"/>
        <v>55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</v>
      </c>
      <c r="B71" s="261">
        <v>430</v>
      </c>
      <c r="C71" s="261"/>
      <c r="D71" s="261"/>
      <c r="E71" s="260"/>
      <c r="F71" s="260"/>
      <c r="G71" s="260"/>
      <c r="H71" s="260"/>
      <c r="I71" s="49">
        <f t="shared" si="2"/>
        <v>50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</v>
      </c>
      <c r="B72" s="261">
        <v>480</v>
      </c>
      <c r="C72" s="261"/>
      <c r="D72" s="261"/>
      <c r="E72" s="260"/>
      <c r="F72" s="260"/>
      <c r="G72" s="260"/>
      <c r="H72" s="260"/>
      <c r="I72" s="49">
        <f t="shared" si="2"/>
        <v>50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</v>
      </c>
      <c r="B73" s="261">
        <v>512</v>
      </c>
      <c r="C73" s="261"/>
      <c r="D73" s="261"/>
      <c r="E73" s="260"/>
      <c r="F73" s="260"/>
      <c r="G73" s="260"/>
      <c r="H73" s="260"/>
      <c r="I73" s="49">
        <f t="shared" si="2"/>
        <v>32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</v>
      </c>
      <c r="B74" s="261">
        <v>545</v>
      </c>
      <c r="C74" s="261"/>
      <c r="D74" s="261"/>
      <c r="E74" s="260"/>
      <c r="F74" s="260"/>
      <c r="G74" s="260"/>
      <c r="H74" s="260"/>
      <c r="I74" s="49">
        <f t="shared" si="2"/>
        <v>33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</v>
      </c>
      <c r="B75" s="261">
        <v>566</v>
      </c>
      <c r="C75" s="261"/>
      <c r="D75" s="261"/>
      <c r="E75" s="260"/>
      <c r="F75" s="260"/>
      <c r="G75" s="260"/>
      <c r="H75" s="260"/>
      <c r="I75" s="49">
        <f t="shared" si="2"/>
        <v>21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</v>
      </c>
      <c r="B76" s="261">
        <v>586</v>
      </c>
      <c r="C76" s="261"/>
      <c r="D76" s="261"/>
      <c r="E76" s="260"/>
      <c r="F76" s="260"/>
      <c r="G76" s="260"/>
      <c r="H76" s="260"/>
      <c r="I76" s="49">
        <f t="shared" si="2"/>
        <v>20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</v>
      </c>
      <c r="B77" s="257">
        <v>600</v>
      </c>
      <c r="C77" s="256"/>
      <c r="D77" s="256"/>
      <c r="E77" s="255"/>
      <c r="F77" s="255"/>
      <c r="G77" s="255"/>
      <c r="H77" s="255"/>
      <c r="I77" s="49">
        <f t="shared" si="2"/>
        <v>14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18</v>
      </c>
      <c r="B78" s="257">
        <v>610</v>
      </c>
      <c r="C78" s="256"/>
      <c r="D78" s="256"/>
      <c r="E78" s="255"/>
      <c r="F78" s="255"/>
      <c r="G78" s="255"/>
      <c r="H78" s="255"/>
      <c r="I78" s="49">
        <f t="shared" si="2"/>
        <v>10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19</v>
      </c>
      <c r="B79" s="257">
        <v>620</v>
      </c>
      <c r="C79" s="256"/>
      <c r="D79" s="256"/>
      <c r="E79" s="255"/>
      <c r="F79" s="255"/>
      <c r="G79" s="255"/>
      <c r="H79" s="255"/>
      <c r="I79" s="49">
        <f t="shared" si="2"/>
        <v>10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20</v>
      </c>
      <c r="B80" s="257">
        <v>630</v>
      </c>
      <c r="C80" s="256"/>
      <c r="D80" s="256"/>
      <c r="E80" s="255"/>
      <c r="F80" s="255"/>
      <c r="G80" s="255"/>
      <c r="H80" s="255"/>
      <c r="I80" s="49">
        <f t="shared" si="2"/>
        <v>10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199.46</v>
      </c>
      <c r="C88" s="261"/>
      <c r="D88" s="261"/>
      <c r="E88" s="260"/>
      <c r="F88" s="260"/>
      <c r="G88" s="260"/>
      <c r="H88" s="260"/>
      <c r="I88" s="53">
        <f>IFERROR(B88/A88,"")</f>
        <v>6.6486666666666672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42</v>
      </c>
      <c r="B89" s="261">
        <v>422.7</v>
      </c>
      <c r="C89" s="261">
        <v>1</v>
      </c>
      <c r="D89" s="261">
        <v>182.39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18.603333333333332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49</v>
      </c>
      <c r="B90" s="261">
        <v>365.5</v>
      </c>
      <c r="C90" s="261">
        <v>2</v>
      </c>
      <c r="D90" s="261">
        <v>100.16</v>
      </c>
      <c r="E90" s="260">
        <v>1</v>
      </c>
      <c r="F90" s="260"/>
      <c r="G90" s="260"/>
      <c r="H90" s="260"/>
      <c r="I90" s="53">
        <f t="shared" si="3"/>
        <v>17.884285714285713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56</v>
      </c>
      <c r="B91" s="261">
        <v>384.15</v>
      </c>
      <c r="C91" s="261">
        <v>3</v>
      </c>
      <c r="D91" s="261">
        <v>79.39</v>
      </c>
      <c r="E91" s="260">
        <v>1</v>
      </c>
      <c r="F91" s="260"/>
      <c r="G91" s="260"/>
      <c r="H91" s="260"/>
      <c r="I91" s="53">
        <f t="shared" si="3"/>
        <v>16.972857142857134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63</v>
      </c>
      <c r="B92" s="261">
        <v>421.38</v>
      </c>
      <c r="C92" s="261">
        <v>4</v>
      </c>
      <c r="D92" s="261">
        <v>79.099999999999994</v>
      </c>
      <c r="E92" s="260">
        <v>1</v>
      </c>
      <c r="F92" s="260"/>
      <c r="G92" s="260"/>
      <c r="H92" s="260"/>
      <c r="I92" s="53">
        <f t="shared" si="3"/>
        <v>16.66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71</v>
      </c>
      <c r="B93" s="261">
        <v>471.35</v>
      </c>
      <c r="C93" s="261">
        <v>5</v>
      </c>
      <c r="D93" s="261">
        <v>90.8</v>
      </c>
      <c r="E93" s="260">
        <v>1</v>
      </c>
      <c r="F93" s="260"/>
      <c r="G93" s="260"/>
      <c r="H93" s="260"/>
      <c r="I93" s="53">
        <f t="shared" si="3"/>
        <v>16.133750000000006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79</v>
      </c>
      <c r="B94" s="261">
        <v>502.02</v>
      </c>
      <c r="C94" s="261">
        <v>6</v>
      </c>
      <c r="D94" s="261">
        <v>87.99</v>
      </c>
      <c r="E94" s="260">
        <v>1</v>
      </c>
      <c r="F94" s="260"/>
      <c r="G94" s="260"/>
      <c r="H94" s="260"/>
      <c r="I94" s="53">
        <f t="shared" si="3"/>
        <v>15.183749999999996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87</v>
      </c>
      <c r="B95" s="261">
        <v>528.16</v>
      </c>
      <c r="C95" s="261">
        <v>7</v>
      </c>
      <c r="D95" s="261">
        <v>88.62</v>
      </c>
      <c r="E95" s="260">
        <v>1</v>
      </c>
      <c r="F95" s="260"/>
      <c r="G95" s="260"/>
      <c r="H95" s="260"/>
      <c r="I95" s="53">
        <f t="shared" si="3"/>
        <v>14.266249999999999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95</v>
      </c>
      <c r="B96" s="261">
        <v>545.23</v>
      </c>
      <c r="C96" s="261">
        <v>8</v>
      </c>
      <c r="D96" s="261">
        <v>268.81</v>
      </c>
      <c r="E96" s="260">
        <v>1</v>
      </c>
      <c r="F96" s="260"/>
      <c r="G96" s="260"/>
      <c r="H96" s="260"/>
      <c r="I96" s="53">
        <f t="shared" si="3"/>
        <v>13.211250000000007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105</v>
      </c>
      <c r="B97" s="261">
        <v>361.46</v>
      </c>
      <c r="C97" s="261">
        <v>9</v>
      </c>
      <c r="D97" s="261">
        <v>356.68</v>
      </c>
      <c r="E97" s="260">
        <v>1</v>
      </c>
      <c r="F97" s="260"/>
      <c r="G97" s="260"/>
      <c r="H97" s="260"/>
      <c r="I97" s="53">
        <f t="shared" si="3"/>
        <v>8.503999999999996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maritime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11</v>
      </c>
      <c r="B114" s="261">
        <v>83</v>
      </c>
      <c r="C114" s="261"/>
      <c r="D114" s="261"/>
      <c r="E114" s="260"/>
      <c r="F114" s="260"/>
      <c r="G114" s="260"/>
      <c r="H114" s="260"/>
      <c r="I114" s="53">
        <f>IFERROR(B114/A114,"")</f>
        <v>7.5454545454545459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12</v>
      </c>
      <c r="B115" s="261">
        <v>106</v>
      </c>
      <c r="C115" s="261">
        <v>1</v>
      </c>
      <c r="D115" s="261">
        <v>34</v>
      </c>
      <c r="E115" s="260"/>
      <c r="F115" s="260"/>
      <c r="G115" s="260">
        <v>1</v>
      </c>
      <c r="H115" s="260"/>
      <c r="I115" s="53">
        <f t="shared" ref="I115:I133" si="4">IF(A115&lt;&gt;0,(B115-(B114-D114))/(A115-A114),"")</f>
        <v>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13</v>
      </c>
      <c r="B116" s="261">
        <v>89</v>
      </c>
      <c r="C116" s="261"/>
      <c r="D116" s="261"/>
      <c r="E116" s="260"/>
      <c r="F116" s="260"/>
      <c r="G116" s="260"/>
      <c r="H116" s="260"/>
      <c r="I116" s="53">
        <f t="shared" si="4"/>
        <v>17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14</v>
      </c>
      <c r="B117" s="261">
        <v>110</v>
      </c>
      <c r="C117" s="261"/>
      <c r="D117" s="261"/>
      <c r="E117" s="260"/>
      <c r="F117" s="260"/>
      <c r="G117" s="260"/>
      <c r="H117" s="260"/>
      <c r="I117" s="53">
        <f t="shared" si="4"/>
        <v>21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15</v>
      </c>
      <c r="B118" s="261">
        <v>131</v>
      </c>
      <c r="C118" s="261"/>
      <c r="D118" s="261"/>
      <c r="E118" s="260"/>
      <c r="F118" s="260"/>
      <c r="G118" s="260"/>
      <c r="H118" s="260"/>
      <c r="I118" s="53">
        <f t="shared" si="4"/>
        <v>21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16</v>
      </c>
      <c r="B119" s="261">
        <v>153</v>
      </c>
      <c r="C119" s="261"/>
      <c r="D119" s="261"/>
      <c r="E119" s="260"/>
      <c r="F119" s="260"/>
      <c r="G119" s="260"/>
      <c r="H119" s="260"/>
      <c r="I119" s="53">
        <f t="shared" si="4"/>
        <v>22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17</v>
      </c>
      <c r="B120" s="261">
        <v>176</v>
      </c>
      <c r="C120" s="261">
        <v>2</v>
      </c>
      <c r="D120" s="261">
        <v>43</v>
      </c>
      <c r="E120" s="260">
        <v>0.25</v>
      </c>
      <c r="F120" s="260">
        <v>0.75</v>
      </c>
      <c r="G120" s="260"/>
      <c r="H120" s="260"/>
      <c r="I120" s="53">
        <f t="shared" si="4"/>
        <v>23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18</v>
      </c>
      <c r="B121" s="261">
        <v>151</v>
      </c>
      <c r="C121" s="261"/>
      <c r="D121" s="261"/>
      <c r="E121" s="260"/>
      <c r="F121" s="260"/>
      <c r="G121" s="260"/>
      <c r="H121" s="260"/>
      <c r="I121" s="53">
        <f t="shared" si="4"/>
        <v>18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19</v>
      </c>
      <c r="B122" s="261">
        <v>171</v>
      </c>
      <c r="C122" s="261"/>
      <c r="D122" s="261"/>
      <c r="E122" s="260"/>
      <c r="F122" s="260"/>
      <c r="G122" s="260"/>
      <c r="H122" s="260"/>
      <c r="I122" s="53">
        <f t="shared" si="4"/>
        <v>20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20</v>
      </c>
      <c r="B123" s="261">
        <v>192</v>
      </c>
      <c r="C123" s="261"/>
      <c r="D123" s="261"/>
      <c r="E123" s="260"/>
      <c r="F123" s="260"/>
      <c r="G123" s="260"/>
      <c r="H123" s="260"/>
      <c r="I123" s="53">
        <f t="shared" si="4"/>
        <v>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21</v>
      </c>
      <c r="B124" s="261">
        <v>212</v>
      </c>
      <c r="C124" s="261"/>
      <c r="D124" s="261"/>
      <c r="E124" s="260"/>
      <c r="F124" s="260"/>
      <c r="G124" s="260"/>
      <c r="H124" s="260"/>
      <c r="I124" s="53">
        <f t="shared" si="4"/>
        <v>20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22</v>
      </c>
      <c r="B125" s="261">
        <v>232</v>
      </c>
      <c r="C125" s="261">
        <v>3</v>
      </c>
      <c r="D125" s="261">
        <v>56</v>
      </c>
      <c r="E125" s="260">
        <v>0.6</v>
      </c>
      <c r="F125" s="260">
        <v>0.4</v>
      </c>
      <c r="G125" s="260"/>
      <c r="H125" s="260"/>
      <c r="I125" s="53">
        <f t="shared" si="4"/>
        <v>20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23</v>
      </c>
      <c r="B126" s="261">
        <v>192</v>
      </c>
      <c r="C126" s="261"/>
      <c r="D126" s="261"/>
      <c r="E126" s="260"/>
      <c r="F126" s="260"/>
      <c r="G126" s="260"/>
      <c r="H126" s="260"/>
      <c r="I126" s="53">
        <f t="shared" si="4"/>
        <v>16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24</v>
      </c>
      <c r="B127" s="261">
        <v>209</v>
      </c>
      <c r="C127" s="261"/>
      <c r="D127" s="261"/>
      <c r="E127" s="260"/>
      <c r="F127" s="260"/>
      <c r="G127" s="260"/>
      <c r="H127" s="260"/>
      <c r="I127" s="53">
        <f t="shared" si="4"/>
        <v>17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25</v>
      </c>
      <c r="B128" s="261">
        <v>226</v>
      </c>
      <c r="C128" s="261"/>
      <c r="D128" s="261"/>
      <c r="E128" s="260"/>
      <c r="F128" s="260"/>
      <c r="G128" s="260"/>
      <c r="H128" s="260"/>
      <c r="I128" s="53">
        <f t="shared" si="4"/>
        <v>17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26</v>
      </c>
      <c r="B129" s="261">
        <v>244</v>
      </c>
      <c r="C129" s="261"/>
      <c r="D129" s="261"/>
      <c r="E129" s="260"/>
      <c r="F129" s="260"/>
      <c r="G129" s="260"/>
      <c r="H129" s="260"/>
      <c r="I129" s="53">
        <f t="shared" si="4"/>
        <v>18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27</v>
      </c>
      <c r="B130" s="261">
        <v>261</v>
      </c>
      <c r="C130" s="261"/>
      <c r="D130" s="261"/>
      <c r="E130" s="260"/>
      <c r="F130" s="260"/>
      <c r="G130" s="260"/>
      <c r="H130" s="260"/>
      <c r="I130" s="53">
        <f t="shared" si="4"/>
        <v>17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28</v>
      </c>
      <c r="B131" s="261">
        <v>277</v>
      </c>
      <c r="C131" s="261"/>
      <c r="D131" s="261"/>
      <c r="E131" s="260"/>
      <c r="F131" s="260"/>
      <c r="G131" s="260"/>
      <c r="H131" s="260"/>
      <c r="I131" s="53">
        <f t="shared" si="4"/>
        <v>16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29</v>
      </c>
      <c r="B132" s="261">
        <v>293</v>
      </c>
      <c r="C132" s="261"/>
      <c r="D132" s="261"/>
      <c r="E132" s="260"/>
      <c r="F132" s="260"/>
      <c r="G132" s="260"/>
      <c r="H132" s="260"/>
      <c r="I132" s="53">
        <f t="shared" si="4"/>
        <v>16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>
        <v>30</v>
      </c>
      <c r="B133" s="261">
        <v>309</v>
      </c>
      <c r="C133" s="261">
        <v>4</v>
      </c>
      <c r="D133" s="261">
        <v>309</v>
      </c>
      <c r="E133" s="260">
        <v>1</v>
      </c>
      <c r="F133" s="260"/>
      <c r="G133" s="260"/>
      <c r="H133" s="260"/>
      <c r="I133" s="53">
        <f t="shared" si="4"/>
        <v>16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vert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75.346153849999993</v>
      </c>
      <c r="C140" s="50"/>
      <c r="D140" s="60"/>
      <c r="E140" s="51"/>
      <c r="F140" s="51"/>
      <c r="G140" s="51"/>
      <c r="H140" s="51"/>
      <c r="I140" s="57">
        <f>IFERROR(B140/A140,"")</f>
        <v>2.5115384616666665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42</v>
      </c>
      <c r="B141" s="60">
        <v>171.96</v>
      </c>
      <c r="C141" s="50">
        <v>1</v>
      </c>
      <c r="D141" s="60">
        <v>43.21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8.0511538458333352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50</v>
      </c>
      <c r="B142" s="60">
        <v>208.33</v>
      </c>
      <c r="C142" s="50">
        <v>2</v>
      </c>
      <c r="D142" s="60">
        <v>35.58</v>
      </c>
      <c r="E142" s="51">
        <v>1</v>
      </c>
      <c r="F142" s="51"/>
      <c r="G142" s="51"/>
      <c r="H142" s="51"/>
      <c r="I142" s="57">
        <f t="shared" si="5"/>
        <v>9.9475000000000016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58</v>
      </c>
      <c r="B143" s="60">
        <v>253.7</v>
      </c>
      <c r="C143" s="50">
        <v>3</v>
      </c>
      <c r="D143" s="60">
        <v>44.93</v>
      </c>
      <c r="E143" s="51">
        <v>1</v>
      </c>
      <c r="F143" s="51"/>
      <c r="G143" s="51"/>
      <c r="H143" s="51"/>
      <c r="I143" s="57">
        <f t="shared" si="5"/>
        <v>10.118749999999999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66</v>
      </c>
      <c r="B144" s="60">
        <v>286.77</v>
      </c>
      <c r="C144" s="50">
        <v>4</v>
      </c>
      <c r="D144" s="60">
        <v>49.91</v>
      </c>
      <c r="E144" s="51">
        <v>1</v>
      </c>
      <c r="F144" s="51"/>
      <c r="G144" s="51"/>
      <c r="H144" s="51"/>
      <c r="I144" s="57">
        <f t="shared" si="5"/>
        <v>9.75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74</v>
      </c>
      <c r="B145" s="60">
        <v>310.95999999999998</v>
      </c>
      <c r="C145" s="50">
        <v>5</v>
      </c>
      <c r="D145" s="60">
        <v>47.4</v>
      </c>
      <c r="E145" s="51">
        <v>1</v>
      </c>
      <c r="F145" s="51"/>
      <c r="G145" s="51"/>
      <c r="H145" s="51"/>
      <c r="I145" s="57">
        <f t="shared" si="5"/>
        <v>9.2624999999999993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84</v>
      </c>
      <c r="B146" s="60">
        <v>355.09</v>
      </c>
      <c r="C146" s="50">
        <v>6</v>
      </c>
      <c r="D146" s="60">
        <v>61.47</v>
      </c>
      <c r="E146" s="51">
        <v>1</v>
      </c>
      <c r="F146" s="51"/>
      <c r="G146" s="51"/>
      <c r="H146" s="51"/>
      <c r="I146" s="57">
        <f t="shared" si="5"/>
        <v>9.1529999999999969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94</v>
      </c>
      <c r="B147" s="60">
        <v>380.13</v>
      </c>
      <c r="C147" s="50">
        <v>7</v>
      </c>
      <c r="D147" s="60">
        <v>61.85</v>
      </c>
      <c r="E147" s="51">
        <v>1</v>
      </c>
      <c r="F147" s="51"/>
      <c r="G147" s="51"/>
      <c r="H147" s="51"/>
      <c r="I147" s="57">
        <f>IF(A147&lt;&gt;0,(B147-(B146-D146))/(A147-A146),"")</f>
        <v>8.6509999999999998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104</v>
      </c>
      <c r="B148" s="60">
        <v>402.2</v>
      </c>
      <c r="C148" s="50">
        <v>8</v>
      </c>
      <c r="D148" s="60">
        <v>60.19</v>
      </c>
      <c r="E148" s="51">
        <v>1</v>
      </c>
      <c r="F148" s="51"/>
      <c r="G148" s="51"/>
      <c r="H148" s="51"/>
      <c r="I148" s="57">
        <f t="shared" si="5"/>
        <v>8.3920000000000012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114</v>
      </c>
      <c r="B149" s="60">
        <v>424.56</v>
      </c>
      <c r="C149" s="50">
        <v>9</v>
      </c>
      <c r="D149" s="60">
        <v>56.07</v>
      </c>
      <c r="E149" s="51">
        <v>1</v>
      </c>
      <c r="F149" s="51"/>
      <c r="G149" s="51"/>
      <c r="H149" s="51"/>
      <c r="I149" s="57">
        <f t="shared" si="5"/>
        <v>8.2550000000000008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124</v>
      </c>
      <c r="B150" s="60">
        <v>451.86</v>
      </c>
      <c r="C150" s="50">
        <v>10</v>
      </c>
      <c r="D150" s="60">
        <v>52.53</v>
      </c>
      <c r="E150" s="51">
        <v>1</v>
      </c>
      <c r="F150" s="51"/>
      <c r="G150" s="51"/>
      <c r="H150" s="51"/>
      <c r="I150" s="57">
        <f t="shared" si="5"/>
        <v>8.3369999999999997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134</v>
      </c>
      <c r="B151" s="60">
        <v>484.28</v>
      </c>
      <c r="C151" s="50">
        <v>11</v>
      </c>
      <c r="D151" s="60">
        <v>54.95</v>
      </c>
      <c r="E151" s="51">
        <v>1</v>
      </c>
      <c r="F151" s="51"/>
      <c r="G151" s="51"/>
      <c r="H151" s="51"/>
      <c r="I151" s="57">
        <f t="shared" si="5"/>
        <v>8.4949999999999939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144</v>
      </c>
      <c r="B152" s="60">
        <v>514.94000000000005</v>
      </c>
      <c r="C152" s="50">
        <v>12</v>
      </c>
      <c r="D152" s="60">
        <v>56.01</v>
      </c>
      <c r="E152" s="54">
        <v>1</v>
      </c>
      <c r="F152" s="54"/>
      <c r="G152" s="54"/>
      <c r="H152" s="54"/>
      <c r="I152" s="57">
        <f t="shared" si="5"/>
        <v>8.561000000000007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154</v>
      </c>
      <c r="B153" s="60">
        <v>546.49</v>
      </c>
      <c r="C153" s="50">
        <v>13</v>
      </c>
      <c r="D153" s="60">
        <v>55.13</v>
      </c>
      <c r="E153" s="54">
        <v>1</v>
      </c>
      <c r="F153" s="54"/>
      <c r="G153" s="54"/>
      <c r="H153" s="54"/>
      <c r="I153" s="57">
        <f t="shared" si="5"/>
        <v>8.7559999999999949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164</v>
      </c>
      <c r="B154" s="56">
        <v>580.32000000000005</v>
      </c>
      <c r="C154" s="50">
        <v>14</v>
      </c>
      <c r="D154" s="50">
        <v>59.58</v>
      </c>
      <c r="E154" s="54">
        <v>1</v>
      </c>
      <c r="F154" s="54"/>
      <c r="G154" s="54"/>
      <c r="H154" s="54"/>
      <c r="I154" s="57">
        <f t="shared" si="5"/>
        <v>8.8960000000000043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174</v>
      </c>
      <c r="B155" s="56">
        <v>610.52</v>
      </c>
      <c r="C155" s="50">
        <v>15</v>
      </c>
      <c r="D155" s="50">
        <v>214.77</v>
      </c>
      <c r="E155" s="54">
        <v>1</v>
      </c>
      <c r="F155" s="54"/>
      <c r="G155" s="54"/>
      <c r="H155" s="54"/>
      <c r="I155" s="57">
        <f t="shared" si="5"/>
        <v>8.977999999999998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177</v>
      </c>
      <c r="B156" s="56">
        <v>388.94</v>
      </c>
      <c r="C156" s="50">
        <v>16</v>
      </c>
      <c r="D156" s="50">
        <v>115.19</v>
      </c>
      <c r="E156" s="54">
        <v>1</v>
      </c>
      <c r="F156" s="54"/>
      <c r="G156" s="54"/>
      <c r="H156" s="54"/>
      <c r="I156" s="57">
        <f t="shared" si="5"/>
        <v>-2.2700000000000009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180</v>
      </c>
      <c r="B157" s="56">
        <v>271.56</v>
      </c>
      <c r="C157" s="50">
        <v>17</v>
      </c>
      <c r="D157" s="50">
        <v>77.72</v>
      </c>
      <c r="E157" s="54">
        <v>1</v>
      </c>
      <c r="F157" s="54"/>
      <c r="G157" s="54"/>
      <c r="H157" s="54"/>
      <c r="I157" s="57">
        <f t="shared" si="5"/>
        <v>-0.72999999999999921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183</v>
      </c>
      <c r="B158" s="56">
        <v>191.47</v>
      </c>
      <c r="C158" s="50">
        <v>18</v>
      </c>
      <c r="D158" s="50">
        <v>169.76</v>
      </c>
      <c r="E158" s="54">
        <v>1</v>
      </c>
      <c r="F158" s="54"/>
      <c r="G158" s="54"/>
      <c r="H158" s="54"/>
      <c r="I158" s="57">
        <f t="shared" si="5"/>
        <v>-0.79000000000000148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pubescent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30</v>
      </c>
      <c r="B166" s="60">
        <v>108.4230769</v>
      </c>
      <c r="C166" s="60"/>
      <c r="D166" s="60"/>
      <c r="E166" s="51"/>
      <c r="F166" s="51"/>
      <c r="G166" s="51"/>
      <c r="H166" s="51"/>
      <c r="I166" s="49">
        <f>IFERROR(B166/A166,"")</f>
        <v>3.6141025633333332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34</v>
      </c>
      <c r="B167" s="60">
        <v>173.04</v>
      </c>
      <c r="C167" s="60">
        <v>1</v>
      </c>
      <c r="D167" s="60">
        <v>35.450000000000003</v>
      </c>
      <c r="E167" s="51">
        <v>1</v>
      </c>
      <c r="F167" s="51"/>
      <c r="G167" s="51"/>
      <c r="H167" s="51"/>
      <c r="I167" s="49">
        <f t="shared" ref="I167:I185" si="6">IF(A167&lt;&gt;0,(B167-(B166-D166))/(A167-A166),"")</f>
        <v>16.154230774999998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42</v>
      </c>
      <c r="B168" s="60">
        <v>248.01</v>
      </c>
      <c r="C168" s="60">
        <v>2</v>
      </c>
      <c r="D168" s="60">
        <v>55.41</v>
      </c>
      <c r="E168" s="51">
        <v>1</v>
      </c>
      <c r="F168" s="51"/>
      <c r="G168" s="51"/>
      <c r="H168" s="51"/>
      <c r="I168" s="49">
        <f t="shared" si="6"/>
        <v>13.802500000000002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50</v>
      </c>
      <c r="B169" s="60">
        <v>304.72000000000003</v>
      </c>
      <c r="C169" s="60">
        <v>3</v>
      </c>
      <c r="D169" s="60">
        <v>66.62</v>
      </c>
      <c r="E169" s="51">
        <v>1</v>
      </c>
      <c r="F169" s="51"/>
      <c r="G169" s="51"/>
      <c r="H169" s="51"/>
      <c r="I169" s="49">
        <f t="shared" si="6"/>
        <v>14.015000000000004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58</v>
      </c>
      <c r="B170" s="60">
        <v>346.58</v>
      </c>
      <c r="C170" s="60">
        <v>4</v>
      </c>
      <c r="D170" s="60">
        <v>62.16</v>
      </c>
      <c r="E170" s="51">
        <v>1</v>
      </c>
      <c r="F170" s="51"/>
      <c r="G170" s="51"/>
      <c r="H170" s="51"/>
      <c r="I170" s="49">
        <f t="shared" si="6"/>
        <v>13.559999999999995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66</v>
      </c>
      <c r="B171" s="60">
        <v>388.92</v>
      </c>
      <c r="C171" s="60">
        <v>5</v>
      </c>
      <c r="D171" s="60">
        <v>71.34</v>
      </c>
      <c r="E171" s="51">
        <v>1</v>
      </c>
      <c r="F171" s="51"/>
      <c r="G171" s="51"/>
      <c r="H171" s="51"/>
      <c r="I171" s="49">
        <f t="shared" si="6"/>
        <v>13.062500000000007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74</v>
      </c>
      <c r="B172" s="60">
        <v>414.8</v>
      </c>
      <c r="C172" s="60">
        <v>6</v>
      </c>
      <c r="D172" s="60">
        <v>70.209999999999994</v>
      </c>
      <c r="E172" s="51">
        <v>1</v>
      </c>
      <c r="F172" s="51"/>
      <c r="G172" s="51"/>
      <c r="H172" s="51"/>
      <c r="I172" s="49">
        <f t="shared" si="6"/>
        <v>12.152499999999996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82</v>
      </c>
      <c r="B173" s="50">
        <v>436.17</v>
      </c>
      <c r="C173" s="50">
        <v>7</v>
      </c>
      <c r="D173" s="50">
        <v>53.92</v>
      </c>
      <c r="E173" s="51">
        <v>1</v>
      </c>
      <c r="F173" s="51"/>
      <c r="G173" s="51"/>
      <c r="H173" s="51"/>
      <c r="I173" s="49">
        <f t="shared" si="6"/>
        <v>11.447499999999998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90</v>
      </c>
      <c r="B174" s="50">
        <v>471.37</v>
      </c>
      <c r="C174" s="50">
        <v>8</v>
      </c>
      <c r="D174" s="50">
        <v>63.25</v>
      </c>
      <c r="E174" s="51">
        <v>1</v>
      </c>
      <c r="F174" s="51"/>
      <c r="G174" s="51"/>
      <c r="H174" s="51"/>
      <c r="I174" s="49">
        <f t="shared" si="6"/>
        <v>11.14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100</v>
      </c>
      <c r="B175" s="50">
        <v>515.66999999999996</v>
      </c>
      <c r="C175" s="50">
        <v>9</v>
      </c>
      <c r="D175" s="50">
        <v>85.23</v>
      </c>
      <c r="E175" s="51">
        <v>1</v>
      </c>
      <c r="F175" s="51"/>
      <c r="G175" s="51"/>
      <c r="H175" s="51"/>
      <c r="I175" s="49">
        <f t="shared" si="6"/>
        <v>10.754999999999995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110</v>
      </c>
      <c r="B176" s="50">
        <v>531.04</v>
      </c>
      <c r="C176" s="50">
        <v>10</v>
      </c>
      <c r="D176" s="50">
        <v>67.22</v>
      </c>
      <c r="E176" s="51">
        <v>1</v>
      </c>
      <c r="F176" s="51"/>
      <c r="G176" s="51"/>
      <c r="H176" s="51"/>
      <c r="I176" s="49">
        <f t="shared" si="6"/>
        <v>10.060000000000002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120</v>
      </c>
      <c r="B177" s="50">
        <v>565</v>
      </c>
      <c r="C177" s="50">
        <v>11</v>
      </c>
      <c r="D177" s="50">
        <v>60.46</v>
      </c>
      <c r="E177" s="51">
        <v>1</v>
      </c>
      <c r="F177" s="51"/>
      <c r="G177" s="51"/>
      <c r="H177" s="51"/>
      <c r="I177" s="49">
        <f t="shared" si="6"/>
        <v>10.118000000000006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130</v>
      </c>
      <c r="B178" s="50">
        <v>606.41</v>
      </c>
      <c r="C178" s="50">
        <v>12</v>
      </c>
      <c r="D178" s="50">
        <v>69</v>
      </c>
      <c r="E178" s="51">
        <v>1</v>
      </c>
      <c r="F178" s="51"/>
      <c r="G178" s="51"/>
      <c r="H178" s="51"/>
      <c r="I178" s="49">
        <f t="shared" si="6"/>
        <v>10.186999999999994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140</v>
      </c>
      <c r="B179" s="50">
        <v>639.04999999999995</v>
      </c>
      <c r="C179" s="50">
        <v>13</v>
      </c>
      <c r="D179" s="50">
        <v>67.930000000000007</v>
      </c>
      <c r="E179" s="51">
        <v>1</v>
      </c>
      <c r="F179" s="51"/>
      <c r="G179" s="51"/>
      <c r="H179" s="51"/>
      <c r="I179" s="49">
        <f t="shared" si="6"/>
        <v>10.163999999999998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150</v>
      </c>
      <c r="B180" s="50">
        <v>673.13</v>
      </c>
      <c r="C180" s="50">
        <v>14</v>
      </c>
      <c r="D180" s="50">
        <v>234.51</v>
      </c>
      <c r="E180" s="51">
        <v>1</v>
      </c>
      <c r="F180" s="51"/>
      <c r="G180" s="51"/>
      <c r="H180" s="51"/>
      <c r="I180" s="49">
        <f t="shared" si="6"/>
        <v>10.201000000000011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153</v>
      </c>
      <c r="B181" s="50">
        <v>434.97</v>
      </c>
      <c r="C181" s="50">
        <v>15</v>
      </c>
      <c r="D181" s="50">
        <v>141.22</v>
      </c>
      <c r="E181" s="51">
        <v>1</v>
      </c>
      <c r="F181" s="51"/>
      <c r="G181" s="51"/>
      <c r="H181" s="51"/>
      <c r="I181" s="49">
        <f t="shared" si="6"/>
        <v>-1.216666666666659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156</v>
      </c>
      <c r="B182" s="50">
        <v>290.93</v>
      </c>
      <c r="C182" s="50">
        <v>16</v>
      </c>
      <c r="D182" s="50">
        <v>87.28</v>
      </c>
      <c r="E182" s="51">
        <v>1</v>
      </c>
      <c r="F182" s="51"/>
      <c r="G182" s="51"/>
      <c r="H182" s="51"/>
      <c r="I182" s="49">
        <f t="shared" si="6"/>
        <v>-0.93999999999999773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159</v>
      </c>
      <c r="B183" s="50">
        <v>201.48</v>
      </c>
      <c r="C183" s="50">
        <v>17</v>
      </c>
      <c r="D183" s="50">
        <v>180.6</v>
      </c>
      <c r="E183" s="51">
        <v>1</v>
      </c>
      <c r="F183" s="51"/>
      <c r="G183" s="51"/>
      <c r="H183" s="51"/>
      <c r="I183" s="49">
        <f t="shared" si="6"/>
        <v>-0.7233333333333386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="87" zoomScaleNormal="87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Robinier faux-acacia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Eucalyptus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Cèdre de l'Atlas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Pin maritime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 vert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Chêne pubescent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436.4497226650281</v>
      </c>
      <c r="T3" s="59">
        <f>IF('Données projet'!E9&gt;30,$R$33-$H$33,LOOKUP('Données projet'!$E$9,$A$3:$A$203,R3:R203)-LOOKUP('Données projet'!$E$9,$A$3:$A$203,$H$3:$H$203))</f>
        <v>611.43967996341871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662.13838733542616</v>
      </c>
      <c r="AO3" s="59">
        <f>IF('Données projet'!E10&gt;30,$AM$33-$H$33,LOOKUP('Données projet'!$E$10,$A$3:$A$203,AM3:AM203)-LOOKUP('Données projet'!$E$10,$A$3:$A$203,$H$3:$H$203))</f>
        <v>1194.915361841041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321.82962838167799</v>
      </c>
      <c r="BJ3" s="59">
        <f>IF('Données projet'!E11&gt;30,$BH$33-$H$33,LOOKUP('Données projet'!$E$11,$A$3:$A$203,BH3:BH203)-LOOKUP('Données projet'!$E$11,$A$3:$A$203,$H$3:$H$203))</f>
        <v>243.43396255104295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187.80389738728508</v>
      </c>
      <c r="CE3" s="59">
        <f>IF('Données projet'!E12&gt;30,$CC$33-$H$33,LOOKUP('Données projet'!$E$12,$A$3:$A$203,CC3:CC203)-LOOKUP('Données projet'!$E$12,$A$3:$A$203,$H$3:$H$203))</f>
        <v>439.28159165815265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770.11410336045037</v>
      </c>
      <c r="CZ3" s="59">
        <f>IF('Données projet'!E13&gt;30,$CX$33-$H$33,LOOKUP('Données projet'!$E$13,$A$3:$A$203,CX3:CX203)-LOOKUP('Données projet'!$E$13,$A$3:$A$203,$H$3:$H$203))</f>
        <v>227.12611049004596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778.88878505968955</v>
      </c>
      <c r="DU3" s="59">
        <f>IF('Données projet'!E14&gt;30,$DS$33-$H$33,LOOKUP('Données projet'!$E$14,$A$3:$A$203,DS3:DS203)-LOOKUP('Données projet'!$E$14,$A$3:$A$203,$H$3:$H$203))</f>
        <v>279.20782832611059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8.1999999999999993</v>
      </c>
      <c r="N4" s="13">
        <f>IF('Données projet'!$A$36&gt;35,N3+M4-V3,IF(A4&lt;'Données projet'!$A$36,$K$205^A4,IF(A4='Données projet'!$A$36,'Données projet'!$B$36,N3+M4-V3)))</f>
        <v>2.1016324782757847</v>
      </c>
      <c r="O4" s="13">
        <f>N4*VLOOKUP('Données projet'!$B$9,Paramètres!$A$1:$I$89,3,0)*VLOOKUP('Données projet'!$B$9,Paramètres!$A$1:$I$89,5,0)</f>
        <v>1.9015570663439298</v>
      </c>
      <c r="P4" s="13">
        <f>EXP(-1.0587+0.8836*LN(O4)+0.284)</f>
        <v>0.81315455339418119</v>
      </c>
      <c r="Q4" s="20">
        <f t="shared" ref="Q4:Q34" si="2">(O4+P4)*0.475*44/12</f>
        <v>4.7281227377105433</v>
      </c>
      <c r="R4" s="59">
        <f t="shared" si="0"/>
        <v>262.61701162659938</v>
      </c>
      <c r="S4" s="59">
        <f ca="1">AVERAGE(OFFSET($R$3,0,0,'Données projet'!$E$9+1,1))-AVERAGE(OFFSET($H$3,0,0,'Données projet'!$E$9+1,1))</f>
        <v>436.4497226650281</v>
      </c>
      <c r="T4" s="59">
        <f>$T$3</f>
        <v>611.43967996341871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</v>
      </c>
      <c r="AI4" s="13">
        <f>IF('Données projet'!$A$62&gt;35,AI3+AH4-AQ3,IF(A4&lt;'Données projet'!$A$62,$AF$205^A4,IF(A4='Données projet'!$A$62,'Données projet'!$B$62,AI3+AH4-AQ3)))</f>
        <v>4.4721359549995787</v>
      </c>
      <c r="AJ4" s="13">
        <f>AI4*VLOOKUP('Données projet'!$B$10,Paramètres!$A$1:$I$89,3,0)*VLOOKUP('Données projet'!$B$10,Paramètres!$A$1:$I$89,5,0)</f>
        <v>3.9068579702876329</v>
      </c>
      <c r="AK4" s="13">
        <f>EXP(-1.0587+0.8836*LN(AJ4)+0.284)</f>
        <v>1.5363527875031868</v>
      </c>
      <c r="AL4" s="20">
        <f t="shared" ref="AL4:AL67" si="4">(AJ4+AK4)*0.475*44/12</f>
        <v>9.4802587364856787</v>
      </c>
      <c r="AM4" s="59">
        <f t="shared" ref="AM4:AM67" si="5">AL4+(AD4+AE4)*44/12</f>
        <v>267.36914762537452</v>
      </c>
      <c r="AN4" s="59">
        <f ca="1">AVERAGE(OFFSET($AM$3,0,0,'Données projet'!$E$10+1,1))-AVERAGE(OFFSET($H$3,0,0,'Données projet'!$E$10+1,1))</f>
        <v>662.13838733542616</v>
      </c>
      <c r="AO4" s="59">
        <f>$AO$3</f>
        <v>1194.915361841041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6.6486666666666672</v>
      </c>
      <c r="BD4" s="12">
        <f>IF('Données projet'!$A$88&gt;35,BD3+BC4-BL3,IF(A4&lt;'Données projet'!$A$88,$BA$205^A4,IF(A4='Données projet'!$A$88,'Données projet'!$B$88,BD3+BC4-BL3)))</f>
        <v>1.1930588331123015</v>
      </c>
      <c r="BE4" s="13">
        <f>BD4*VLOOKUP('Données projet'!$B$11,Paramètres!$A$1:$I$89,3,0)*VLOOKUP('Données projet'!$B$11,Paramètres!$A$1:$I$89,5,0)</f>
        <v>0.55835153389655712</v>
      </c>
      <c r="BF4" s="13">
        <f>EXP(-1.0587+0.8836*LN(BE4)+0.284)</f>
        <v>0.27537196306436035</v>
      </c>
      <c r="BG4" s="20">
        <f t="shared" ref="BG4:BG67" si="7">(BE4+BF4)*0.475*44/12</f>
        <v>1.4520684238735979</v>
      </c>
      <c r="BH4" s="59">
        <f t="shared" ref="BH4:BH67" si="8">BG4+(AY4+AZ4)*44/12</f>
        <v>259.34095731276244</v>
      </c>
      <c r="BI4" s="59">
        <f ca="1">AVERAGE(OFFSET($BH$3,0,0,'Données projet'!$E$11+1,1))-AVERAGE(OFFSET($H$3,0,0,'Données projet'!$E$11+1,1))</f>
        <v>321.82962838167799</v>
      </c>
      <c r="BJ4" s="59">
        <f>$BJ$3</f>
        <v>243.43396255104295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7.5454545454545459</v>
      </c>
      <c r="BY4" s="12">
        <f>IF('Données projet'!$A$114&gt;35,BY3+BX4-CG3,IF(A4&lt;'Données projet'!$A$114,$BV$205^A4,IF(A4='Données projet'!$A$114,'Données projet'!$B$114,BY3+BX4-CG3)))</f>
        <v>1.4943820583928935</v>
      </c>
      <c r="BZ4" s="13">
        <f>BY4*VLOOKUP('Données projet'!$B$12,Paramètres!$A$1:$I$89,3,0)*VLOOKUP('Données projet'!$B$12,Paramètres!$A$1:$I$89,5,0)</f>
        <v>0.89364047091895038</v>
      </c>
      <c r="CA4" s="13">
        <f>EXP(-1.0587+0.8836*LN(BZ4)+0.284)</f>
        <v>0.41725306962072783</v>
      </c>
      <c r="CB4" s="20">
        <f t="shared" ref="CB4:CB67" si="10">(BZ4+CA4)*0.475*44/12</f>
        <v>2.2831395831066059</v>
      </c>
      <c r="CC4" s="59">
        <f t="shared" ref="CC4:CC67" si="11">CB4+(BT4+BU4)*44/12</f>
        <v>260.17202847199547</v>
      </c>
      <c r="CD4" s="59">
        <f ca="1">AVERAGE(OFFSET($CC$3,0,0,'Données projet'!$E$12+1,1))-AVERAGE(OFFSET($H$3,0,0,'Données projet'!$E$12+1,1))</f>
        <v>187.80389738728508</v>
      </c>
      <c r="CE4" s="59">
        <f>$CE$3</f>
        <v>439.28159165815265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2.5115384616666665</v>
      </c>
      <c r="CT4" s="12">
        <f>IF('Données projet'!$A$140&gt;35,CT3+CS4-DB3,IF(A4&lt;'Données projet'!$A$140,$CQ$205^A4,IF(A4='Données projet'!$A$140,'Données projet'!$B$140,CT3+CS4-DB3)))</f>
        <v>1.1549646791293957</v>
      </c>
      <c r="CU4" s="17">
        <f>CT4*VLOOKUP('Données projet'!$B$13,Paramètres!$A$1:$I$89,3,0)*VLOOKUP('Données projet'!$B$13,Paramètres!$A$1:$I$89,5,0)</f>
        <v>1.3152737765925557</v>
      </c>
      <c r="CV4" s="13">
        <f>EXP(-1.0587+0.8836*LN(CU4)+0.284)</f>
        <v>0.58710360229799052</v>
      </c>
      <c r="CW4" s="20">
        <f t="shared" ref="CW4:CW67" si="13">(CU4+CV4)*0.475*44/12</f>
        <v>3.3133072682343681</v>
      </c>
      <c r="CX4" s="59">
        <f t="shared" ref="CX4:CX67" si="14">CW4+(CO4+CP4)*44/12</f>
        <v>261.20219615712324</v>
      </c>
      <c r="CY4" s="59">
        <f ca="1">AVERAGE(OFFSET($CX$3,0,0,'Données projet'!$E$13+1,1))-AVERAGE(OFFSET($H$3,0,0,'Données projet'!$E$13+1,1))</f>
        <v>770.11410336045037</v>
      </c>
      <c r="CZ4" s="59">
        <f>$CZ$3</f>
        <v>227.12611049004596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3.6141025633333332</v>
      </c>
      <c r="DO4" s="12">
        <f>IF('Données projet'!$A$166&gt;35,DO3+DN4-DW3,IF(A4&lt;'Données projet'!$A$166,$DL$205^A4,IF(A4='Données projet'!$A$166,'Données projet'!$B$166,DO3+DN4-DW3)))</f>
        <v>1.1690615875887691</v>
      </c>
      <c r="DP4" s="17">
        <f>DO4*VLOOKUP('Données projet'!$B$14,Paramètres!$A$1:$I$89,3,0)*VLOOKUP('Données projet'!$B$14,Paramètres!$A$1:$I$89,5,0)</f>
        <v>1.1854284498150121</v>
      </c>
      <c r="DQ4" s="13">
        <f>EXP(-1.0587+0.8836*LN(DP4)+0.284)</f>
        <v>0.5355848954206347</v>
      </c>
      <c r="DR4" s="20">
        <f t="shared" ref="DR4:DR67" si="16">(DP4+DQ4)*0.475*44/12</f>
        <v>2.9974315762854182</v>
      </c>
      <c r="DS4" s="59">
        <f t="shared" ref="DS4:DS67" si="17">DR4+(DJ4+DK4)*44/12</f>
        <v>260.88632046517426</v>
      </c>
      <c r="DT4" s="59">
        <f ca="1">AVERAGE(OFFSET($DS$3,0,0,'Données projet'!$E$14+1,1))-AVERAGE(OFFSET($H$3,0,0,'Données projet'!$E$14+1,1))</f>
        <v>778.88878505968955</v>
      </c>
      <c r="DU4" s="59">
        <f>$DU$3</f>
        <v>279.20782832611059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8.1999999999999993</v>
      </c>
      <c r="N5" s="13">
        <f>IF('Données projet'!$A$36&gt;35,N4+M5-V4,IF(A5&lt;'Données projet'!$A$36,$K$205^A5,IF(A5='Données projet'!$A$36,'Données projet'!$B$36,N4+M5-V4)))</f>
        <v>4.4168590737436171</v>
      </c>
      <c r="O5" s="13">
        <f>N5*VLOOKUP('Données projet'!$B$9,Paramètres!$A$1:$I$89,3,0)*VLOOKUP('Données projet'!$B$9,Paramètres!$A$1:$I$89,5,0)</f>
        <v>3.9963740899232247</v>
      </c>
      <c r="P5" s="13">
        <f t="shared" ref="P5:P68" si="33">EXP(-1.0587+0.8836*LN(O5)+0.284)</f>
        <v>1.567415948479109</v>
      </c>
      <c r="Q5" s="20">
        <f t="shared" si="2"/>
        <v>9.6902676502173968</v>
      </c>
      <c r="R5" s="59">
        <f t="shared" si="0"/>
        <v>268.80137876132852</v>
      </c>
      <c r="S5" s="59">
        <f ca="1">AVERAGE(OFFSET($R$3,0,0,'Données projet'!$E$9+1,1))-AVERAGE(OFFSET($H$3,0,0,'Données projet'!$E$9+1,1))</f>
        <v>436.4497226650281</v>
      </c>
      <c r="T5" s="59">
        <f t="shared" ref="T5:T68" si="34">$T$3</f>
        <v>611.43967996341871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>
        <f>VLOOKUP(A5,'Données projet'!$A$61:$I$81,2,0)</f>
        <v>20</v>
      </c>
      <c r="AG5" s="12">
        <f>VLOOKUP(A5,'Données projet'!$A$61:$I$81,9,0)</f>
        <v>10</v>
      </c>
      <c r="AH5" s="12">
        <f t="array" ref="AH5">INDEX(AG:AG,MIN(IF(ISNUMBER(AG5:AG201),ROW(AG5:AG201),"")))</f>
        <v>10</v>
      </c>
      <c r="AI5" s="13">
        <f>IF('Données projet'!$A$62&gt;35,AI4+AH5-AQ4,IF(A5&lt;'Données projet'!$A$62,$AF$205^A5,IF(A5='Données projet'!$A$62,'Données projet'!$B$62,AI4+AH5-AQ4)))</f>
        <v>20</v>
      </c>
      <c r="AJ5" s="13">
        <f>AI5*VLOOKUP('Données projet'!$B$10,Paramètres!$A$1:$I$89,3,0)*VLOOKUP('Données projet'!$B$10,Paramètres!$A$1:$I$89,5,0)</f>
        <v>17.472000000000001</v>
      </c>
      <c r="AK5" s="13">
        <f t="shared" ref="AK5:AK68" si="35">EXP(-1.0587+0.8836*LN(AJ5)+0.284)</f>
        <v>5.7714641827626956</v>
      </c>
      <c r="AL5" s="20">
        <f t="shared" si="4"/>
        <v>40.48236678497836</v>
      </c>
      <c r="AM5" s="59">
        <f t="shared" si="5"/>
        <v>299.5934778960895</v>
      </c>
      <c r="AN5" s="59">
        <f ca="1">AVERAGE(OFFSET($AM$3,0,0,'Données projet'!$E$10+1,1))-AVERAGE(OFFSET($H$3,0,0,'Données projet'!$E$10+1,1))</f>
        <v>662.13838733542616</v>
      </c>
      <c r="AO5" s="59">
        <f t="shared" ref="AO5:AO68" si="36">$AO$3</f>
        <v>1194.915361841041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6.6486666666666672</v>
      </c>
      <c r="BD5" s="12">
        <f>IF('Données projet'!$A$88&gt;35,BD4+BC5-BL4,IF(A5&lt;'Données projet'!$A$88,$BA$205^A5,IF(A5='Données projet'!$A$88,'Données projet'!$B$88,BD4+BC5-BL4)))</f>
        <v>1.4233893792672865</v>
      </c>
      <c r="BE5" s="13">
        <f>BD5*VLOOKUP('Données projet'!$B$11,Paramètres!$A$1:$I$89,3,0)*VLOOKUP('Données projet'!$B$11,Paramètres!$A$1:$I$89,5,0)</f>
        <v>0.66614622949709001</v>
      </c>
      <c r="BF5" s="13">
        <f t="shared" ref="BF5:BF68" si="37">EXP(-1.0587+0.8836*LN(BE5)+0.284)</f>
        <v>0.32185342905680275</v>
      </c>
      <c r="BG5" s="20">
        <f t="shared" si="7"/>
        <v>1.7207660719813633</v>
      </c>
      <c r="BH5" s="59">
        <f t="shared" si="8"/>
        <v>260.8318771830925</v>
      </c>
      <c r="BI5" s="59">
        <f ca="1">AVERAGE(OFFSET($BH$3,0,0,'Données projet'!$E$11+1,1))-AVERAGE(OFFSET($H$3,0,0,'Données projet'!$E$11+1,1))</f>
        <v>321.82962838167799</v>
      </c>
      <c r="BJ5" s="59">
        <f t="shared" ref="BJ5:BJ68" si="38">$BJ$3</f>
        <v>243.43396255104295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7.5454545454545459</v>
      </c>
      <c r="BY5" s="12">
        <f>IF('Données projet'!$A$114&gt;35,BY4+BX5-CG4,IF(A5&lt;'Données projet'!$A$114,$BV$205^A5,IF(A5='Données projet'!$A$114,'Données projet'!$B$114,BY4+BX5-CG4)))</f>
        <v>2.2331777364465815</v>
      </c>
      <c r="BZ5" s="13">
        <f>BY5*VLOOKUP('Données projet'!$B$12,Paramètres!$A$1:$I$89,3,0)*VLOOKUP('Données projet'!$B$12,Paramètres!$A$1:$I$89,5,0)</f>
        <v>1.3354402863950559</v>
      </c>
      <c r="CA5" s="13">
        <f t="shared" ref="CA5:CA68" si="39">EXP(-1.0587+0.8836*LN(BZ5)+0.284)</f>
        <v>0.59505053454406853</v>
      </c>
      <c r="CB5" s="20">
        <f t="shared" si="10"/>
        <v>3.3622715131356418</v>
      </c>
      <c r="CC5" s="59">
        <f t="shared" si="11"/>
        <v>262.47338262424677</v>
      </c>
      <c r="CD5" s="59">
        <f ca="1">AVERAGE(OFFSET($CC$3,0,0,'Données projet'!$E$12+1,1))-AVERAGE(OFFSET($H$3,0,0,'Données projet'!$E$12+1,1))</f>
        <v>187.80389738728508</v>
      </c>
      <c r="CE5" s="59">
        <f t="shared" ref="CE5:CE68" si="40">$CE$3</f>
        <v>439.28159165815265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2.5115384616666665</v>
      </c>
      <c r="CT5" s="12">
        <f>IF('Données projet'!$A$140&gt;35,CT4+CS5-DB4,IF(A5&lt;'Données projet'!$A$140,$CQ$205^A5,IF(A5='Données projet'!$A$140,'Données projet'!$B$140,CT4+CS5-DB4)))</f>
        <v>1.333943410036468</v>
      </c>
      <c r="CU5" s="17">
        <f>CT5*VLOOKUP('Données projet'!$B$13,Paramètres!$A$1:$I$89,3,0)*VLOOKUP('Données projet'!$B$13,Paramètres!$A$1:$I$89,5,0)</f>
        <v>1.5190947553495298</v>
      </c>
      <c r="CV5" s="13">
        <f t="shared" ref="CV5:CV68" si="41">EXP(-1.0587+0.8836*LN(CU5)+0.284)</f>
        <v>0.66680746167695093</v>
      </c>
      <c r="CW5" s="20">
        <f t="shared" si="13"/>
        <v>3.8071130279877874</v>
      </c>
      <c r="CX5" s="59">
        <f t="shared" si="14"/>
        <v>262.91822413909892</v>
      </c>
      <c r="CY5" s="59">
        <f ca="1">AVERAGE(OFFSET($CX$3,0,0,'Données projet'!$E$13+1,1))-AVERAGE(OFFSET($H$3,0,0,'Données projet'!$E$13+1,1))</f>
        <v>770.11410336045037</v>
      </c>
      <c r="CZ5" s="59">
        <f t="shared" ref="CZ5:CZ68" si="42">$CZ$3</f>
        <v>227.12611049004596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3.6141025633333332</v>
      </c>
      <c r="DO5" s="12">
        <f>IF('Données projet'!$A$166&gt;35,DO4+DN5-DW4,IF(A5&lt;'Données projet'!$A$166,$DL$205^A5,IF(A5='Données projet'!$A$166,'Données projet'!$B$166,DO4+DN5-DW4)))</f>
        <v>1.3667049955755732</v>
      </c>
      <c r="DP5" s="17">
        <f>DO5*VLOOKUP('Données projet'!$B$14,Paramètres!$A$1:$I$89,3,0)*VLOOKUP('Données projet'!$B$14,Paramètres!$A$1:$I$89,5,0)</f>
        <v>1.3858388655136313</v>
      </c>
      <c r="DQ5" s="13">
        <f t="shared" ref="DQ5:DQ68" si="43">EXP(-1.0587+0.8836*LN(DP5)+0.284)</f>
        <v>0.61485037061241021</v>
      </c>
      <c r="DR5" s="20">
        <f t="shared" si="16"/>
        <v>3.4845337529195226</v>
      </c>
      <c r="DS5" s="59">
        <f t="shared" si="17"/>
        <v>262.59564486403065</v>
      </c>
      <c r="DT5" s="59">
        <f ca="1">AVERAGE(OFFSET($DS$3,0,0,'Données projet'!$E$14+1,1))-AVERAGE(OFFSET($H$3,0,0,'Données projet'!$E$14+1,1))</f>
        <v>778.88878505968955</v>
      </c>
      <c r="DU5" s="59">
        <f t="shared" ref="DU5:DU68" si="44">$DU$3</f>
        <v>279.20782832611059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8.1999999999999993</v>
      </c>
      <c r="N6" s="13">
        <f>IF('Données projet'!$A$36&gt;35,N5+M6-V5,IF(A6&lt;'Données projet'!$A$36,$K$205^A6,IF(A6='Données projet'!$A$36,'Données projet'!$B$36,N5+M6-V5)))</f>
        <v>9.282614481346684</v>
      </c>
      <c r="O6" s="13">
        <f>N6*VLOOKUP('Données projet'!$B$9,Paramètres!$A$1:$I$89,3,0)*VLOOKUP('Données projet'!$B$9,Paramètres!$A$1:$I$89,5,0)</f>
        <v>8.3989095827224798</v>
      </c>
      <c r="P6" s="13">
        <f t="shared" si="33"/>
        <v>3.0213109491815406</v>
      </c>
      <c r="Q6" s="20">
        <f t="shared" si="2"/>
        <v>19.890217426399502</v>
      </c>
      <c r="R6" s="59">
        <f t="shared" si="0"/>
        <v>280.2235507597328</v>
      </c>
      <c r="S6" s="59">
        <f ca="1">AVERAGE(OFFSET($R$3,0,0,'Données projet'!$E$9+1,1))-AVERAGE(OFFSET($H$3,0,0,'Données projet'!$E$9+1,1))</f>
        <v>436.4497226650281</v>
      </c>
      <c r="T6" s="59">
        <f t="shared" si="34"/>
        <v>611.43967996341871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>
        <f>VLOOKUP(A6,'Données projet'!$A$61:$I$81,2,0)</f>
        <v>50</v>
      </c>
      <c r="AG6" s="12">
        <f>VLOOKUP(A6,'Données projet'!$A$61:$I$81,9,0)</f>
        <v>30</v>
      </c>
      <c r="AH6" s="12">
        <f t="array" ref="AH6">INDEX(AG:AG,MIN(IF(ISNUMBER(AG6:AG202),ROW(AG6:AG202),"")))</f>
        <v>30</v>
      </c>
      <c r="AI6" s="13">
        <f>IF('Données projet'!$A$62&gt;35,AI5+AH6-AQ5,IF(A6&lt;'Données projet'!$A$62,$AF$205^A6,IF(A6='Données projet'!$A$62,'Données projet'!$B$62,AI5+AH6-AQ5)))</f>
        <v>50</v>
      </c>
      <c r="AJ6" s="13">
        <f>AI6*VLOOKUP('Données projet'!$B$10,Paramètres!$A$1:$I$89,3,0)*VLOOKUP('Données projet'!$B$10,Paramètres!$A$1:$I$89,5,0)</f>
        <v>43.680000000000007</v>
      </c>
      <c r="AK6" s="13">
        <f t="shared" si="35"/>
        <v>12.968979282088577</v>
      </c>
      <c r="AL6" s="20">
        <f t="shared" si="4"/>
        <v>98.663638916304294</v>
      </c>
      <c r="AM6" s="59">
        <f t="shared" si="5"/>
        <v>358.99697224963762</v>
      </c>
      <c r="AN6" s="59">
        <f ca="1">AVERAGE(OFFSET($AM$3,0,0,'Données projet'!$E$10+1,1))-AVERAGE(OFFSET($H$3,0,0,'Données projet'!$E$10+1,1))</f>
        <v>662.13838733542616</v>
      </c>
      <c r="AO6" s="59">
        <f t="shared" si="36"/>
        <v>1194.915361841041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6.6486666666666672</v>
      </c>
      <c r="BD6" s="12">
        <f>IF('Données projet'!$A$88&gt;35,BD5+BC6-BL5,IF(A6&lt;'Données projet'!$A$88,$BA$205^A6,IF(A6='Données projet'!$A$88,'Données projet'!$B$88,BD5+BC6-BL5)))</f>
        <v>1.6981872718930719</v>
      </c>
      <c r="BE6" s="13">
        <f>BD6*VLOOKUP('Données projet'!$B$11,Paramètres!$A$1:$I$89,3,0)*VLOOKUP('Données projet'!$B$11,Paramètres!$A$1:$I$89,5,0)</f>
        <v>0.79475164324595771</v>
      </c>
      <c r="BF6" s="13">
        <f t="shared" si="37"/>
        <v>0.3761807434673779</v>
      </c>
      <c r="BG6" s="20">
        <f t="shared" si="7"/>
        <v>2.0393739068590597</v>
      </c>
      <c r="BH6" s="59">
        <f t="shared" si="8"/>
        <v>262.37270724019237</v>
      </c>
      <c r="BI6" s="59">
        <f ca="1">AVERAGE(OFFSET($BH$3,0,0,'Données projet'!$E$11+1,1))-AVERAGE(OFFSET($H$3,0,0,'Données projet'!$E$11+1,1))</f>
        <v>321.82962838167799</v>
      </c>
      <c r="BJ6" s="59">
        <f t="shared" si="38"/>
        <v>243.43396255104295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7.5454545454545459</v>
      </c>
      <c r="BY6" s="12">
        <f>IF('Données projet'!$A$114&gt;35,BY5+BX6-CG5,IF(A6&lt;'Données projet'!$A$114,$BV$205^A6,IF(A6='Données projet'!$A$114,'Données projet'!$B$114,BY5+BX6-CG5)))</f>
        <v>3.337220742548225</v>
      </c>
      <c r="BZ6" s="13">
        <f>BY6*VLOOKUP('Données projet'!$B$12,Paramètres!$A$1:$I$89,3,0)*VLOOKUP('Données projet'!$B$12,Paramètres!$A$1:$I$89,5,0)</f>
        <v>1.9956580040438385</v>
      </c>
      <c r="CA6" s="13">
        <f t="shared" si="39"/>
        <v>0.84861002696285914</v>
      </c>
      <c r="CB6" s="20">
        <f t="shared" si="10"/>
        <v>4.9537668206699985</v>
      </c>
      <c r="CC6" s="59">
        <f t="shared" si="11"/>
        <v>265.28710015400333</v>
      </c>
      <c r="CD6" s="59">
        <f ca="1">AVERAGE(OFFSET($CC$3,0,0,'Données projet'!$E$12+1,1))-AVERAGE(OFFSET($H$3,0,0,'Données projet'!$E$12+1,1))</f>
        <v>187.80389738728508</v>
      </c>
      <c r="CE6" s="59">
        <f t="shared" si="40"/>
        <v>439.28159165815265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2.5115384616666665</v>
      </c>
      <c r="CT6" s="12">
        <f>IF('Données projet'!$A$140&gt;35,CT5+CS6-DB5,IF(A6&lt;'Données projet'!$A$140,$CQ$205^A6,IF(A6='Données projet'!$A$140,'Données projet'!$B$140,CT5+CS6-DB5)))</f>
        <v>1.5406575225495411</v>
      </c>
      <c r="CU6" s="17">
        <f>CT6*VLOOKUP('Données projet'!$B$13,Paramètres!$A$1:$I$89,3,0)*VLOOKUP('Données projet'!$B$13,Paramètres!$A$1:$I$89,5,0)</f>
        <v>1.7545007866794173</v>
      </c>
      <c r="CV6" s="13">
        <f t="shared" si="41"/>
        <v>0.75733173703536683</v>
      </c>
      <c r="CW6" s="20">
        <f t="shared" si="13"/>
        <v>4.3747749788032486</v>
      </c>
      <c r="CX6" s="59">
        <f t="shared" si="14"/>
        <v>264.70810831213657</v>
      </c>
      <c r="CY6" s="59">
        <f ca="1">AVERAGE(OFFSET($CX$3,0,0,'Données projet'!$E$13+1,1))-AVERAGE(OFFSET($H$3,0,0,'Données projet'!$E$13+1,1))</f>
        <v>770.11410336045037</v>
      </c>
      <c r="CZ6" s="59">
        <f t="shared" si="42"/>
        <v>227.12611049004596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3.6141025633333332</v>
      </c>
      <c r="DO6" s="12">
        <f>IF('Données projet'!$A$166&gt;35,DO5+DN6-DW5,IF(A6&lt;'Données projet'!$A$166,$DL$205^A6,IF(A6='Données projet'!$A$166,'Données projet'!$B$166,DO5+DN6-DW5)))</f>
        <v>1.5977623118930813</v>
      </c>
      <c r="DP6" s="17">
        <f>DO6*VLOOKUP('Données projet'!$B$14,Paramètres!$A$1:$I$89,3,0)*VLOOKUP('Données projet'!$B$14,Paramètres!$A$1:$I$89,5,0)</f>
        <v>1.6201309842595846</v>
      </c>
      <c r="DQ6" s="13">
        <f t="shared" si="43"/>
        <v>0.70584697491387349</v>
      </c>
      <c r="DR6" s="20">
        <f t="shared" si="16"/>
        <v>4.0510782788937716</v>
      </c>
      <c r="DS6" s="59">
        <f t="shared" si="17"/>
        <v>264.3844116122271</v>
      </c>
      <c r="DT6" s="59">
        <f ca="1">AVERAGE(OFFSET($DS$3,0,0,'Données projet'!$E$14+1,1))-AVERAGE(OFFSET($H$3,0,0,'Données projet'!$E$14+1,1))</f>
        <v>778.88878505968955</v>
      </c>
      <c r="DU6" s="59">
        <f t="shared" si="44"/>
        <v>279.20782832611059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8.1999999999999993</v>
      </c>
      <c r="N7" s="13">
        <f>IF('Données projet'!$A$36&gt;35,N6+M7-V6,IF(A7&lt;'Données projet'!$A$36,$K$205^A7,IF(A7='Données projet'!$A$36,'Données projet'!$B$36,N6+M7-V6)))</f>
        <v>19.508644077311324</v>
      </c>
      <c r="O7" s="13">
        <f>N7*VLOOKUP('Données projet'!$B$9,Paramètres!$A$1:$I$89,3,0)*VLOOKUP('Données projet'!$B$9,Paramètres!$A$1:$I$89,5,0)</f>
        <v>17.651421161151287</v>
      </c>
      <c r="P7" s="13">
        <f t="shared" si="33"/>
        <v>5.8238018188481702</v>
      </c>
      <c r="Q7" s="20">
        <f t="shared" si="2"/>
        <v>40.886013356832393</v>
      </c>
      <c r="R7" s="59">
        <f t="shared" si="0"/>
        <v>302.44156891238794</v>
      </c>
      <c r="S7" s="59">
        <f ca="1">AVERAGE(OFFSET($R$3,0,0,'Données projet'!$E$9+1,1))-AVERAGE(OFFSET($H$3,0,0,'Données projet'!$E$9+1,1))</f>
        <v>436.4497226650281</v>
      </c>
      <c r="T7" s="59">
        <f t="shared" si="34"/>
        <v>611.43967996341871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100</v>
      </c>
      <c r="AG7" s="12">
        <f>VLOOKUP(A7,'Données projet'!$A$61:$I$81,9,0)</f>
        <v>50</v>
      </c>
      <c r="AH7" s="12">
        <f t="array" ref="AH7">INDEX(AG:AG,MIN(IF(ISNUMBER(AG7:AG203),ROW(AG7:AG203),"")))</f>
        <v>50</v>
      </c>
      <c r="AI7" s="13">
        <f>IF('Données projet'!$A$62&gt;35,AI6+AH7-AQ6,IF(A7&lt;'Données projet'!$A$62,$AF$205^A7,IF(A7='Données projet'!$A$62,'Données projet'!$B$62,AI6+AH7-AQ6)))</f>
        <v>100</v>
      </c>
      <c r="AJ7" s="13">
        <f>AI7*VLOOKUP('Données projet'!$B$10,Paramètres!$A$1:$I$89,3,0)*VLOOKUP('Données projet'!$B$10,Paramètres!$A$1:$I$89,5,0)</f>
        <v>87.360000000000014</v>
      </c>
      <c r="AK7" s="13">
        <f t="shared" si="35"/>
        <v>23.927421530185931</v>
      </c>
      <c r="AL7" s="20">
        <f t="shared" si="4"/>
        <v>193.82559249840719</v>
      </c>
      <c r="AM7" s="59">
        <f t="shared" si="5"/>
        <v>455.38114805396276</v>
      </c>
      <c r="AN7" s="59">
        <f ca="1">AVERAGE(OFFSET($AM$3,0,0,'Données projet'!$E$10+1,1))-AVERAGE(OFFSET($H$3,0,0,'Données projet'!$E$10+1,1))</f>
        <v>662.13838733542616</v>
      </c>
      <c r="AO7" s="59">
        <f t="shared" si="36"/>
        <v>1194.915361841041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6.6486666666666672</v>
      </c>
      <c r="BD7" s="12">
        <f>IF('Données projet'!$A$88&gt;35,BD6+BC7-BL6,IF(A7&lt;'Données projet'!$A$88,$BA$205^A7,IF(A7='Données projet'!$A$88,'Données projet'!$B$88,BD6+BC7-BL6)))</f>
        <v>2.0260373250109112</v>
      </c>
      <c r="BE7" s="13">
        <f>BD7*VLOOKUP('Données projet'!$B$11,Paramètres!$A$1:$I$89,3,0)*VLOOKUP('Données projet'!$B$11,Paramètres!$A$1:$I$89,5,0)</f>
        <v>0.9481854681051064</v>
      </c>
      <c r="BF7" s="13">
        <f t="shared" si="37"/>
        <v>0.43967824786074972</v>
      </c>
      <c r="BG7" s="20">
        <f t="shared" si="7"/>
        <v>2.4171959719738663</v>
      </c>
      <c r="BH7" s="59">
        <f t="shared" si="8"/>
        <v>263.9727515275294</v>
      </c>
      <c r="BI7" s="59">
        <f ca="1">AVERAGE(OFFSET($BH$3,0,0,'Données projet'!$E$11+1,1))-AVERAGE(OFFSET($H$3,0,0,'Données projet'!$E$11+1,1))</f>
        <v>321.82962838167799</v>
      </c>
      <c r="BJ7" s="59">
        <f t="shared" si="38"/>
        <v>243.43396255104295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7.5454545454545459</v>
      </c>
      <c r="BY7" s="12">
        <f>IF('Données projet'!$A$114&gt;35,BY6+BX7-CG6,IF(A7&lt;'Données projet'!$A$114,$BV$205^A7,IF(A7='Données projet'!$A$114,'Données projet'!$B$114,BY6+BX7-CG6)))</f>
        <v>4.9870828025606775</v>
      </c>
      <c r="BZ7" s="13">
        <f>BY7*VLOOKUP('Données projet'!$B$12,Paramètres!$A$1:$I$89,3,0)*VLOOKUP('Données projet'!$B$12,Paramètres!$A$1:$I$89,5,0)</f>
        <v>2.9822755159312857</v>
      </c>
      <c r="CA7" s="13">
        <f t="shared" si="39"/>
        <v>1.2102148238782438</v>
      </c>
      <c r="CB7" s="20">
        <f t="shared" si="10"/>
        <v>7.3019206751682626</v>
      </c>
      <c r="CC7" s="59">
        <f t="shared" si="11"/>
        <v>268.85747623072382</v>
      </c>
      <c r="CD7" s="59">
        <f ca="1">AVERAGE(OFFSET($CC$3,0,0,'Données projet'!$E$12+1,1))-AVERAGE(OFFSET($H$3,0,0,'Données projet'!$E$12+1,1))</f>
        <v>187.80389738728508</v>
      </c>
      <c r="CE7" s="59">
        <f t="shared" si="40"/>
        <v>439.28159165815265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2.5115384616666665</v>
      </c>
      <c r="CT7" s="12">
        <f>IF('Données projet'!$A$140&gt;35,CT6+CS7-DB6,IF(A7&lt;'Données projet'!$A$140,$CQ$205^A7,IF(A7='Données projet'!$A$140,'Données projet'!$B$140,CT6+CS7-DB6)))</f>
        <v>1.7794050211797205</v>
      </c>
      <c r="CU7" s="17">
        <f>CT7*VLOOKUP('Données projet'!$B$13,Paramètres!$A$1:$I$89,3,0)*VLOOKUP('Données projet'!$B$13,Paramètres!$A$1:$I$89,5,0)</f>
        <v>2.0263864381194661</v>
      </c>
      <c r="CV7" s="13">
        <f t="shared" si="41"/>
        <v>0.86014538361431125</v>
      </c>
      <c r="CW7" s="20">
        <f t="shared" si="13"/>
        <v>5.0273762561863284</v>
      </c>
      <c r="CX7" s="59">
        <f t="shared" si="14"/>
        <v>266.58293181174184</v>
      </c>
      <c r="CY7" s="59">
        <f ca="1">AVERAGE(OFFSET($CX$3,0,0,'Données projet'!$E$13+1,1))-AVERAGE(OFFSET($H$3,0,0,'Données projet'!$E$13+1,1))</f>
        <v>770.11410336045037</v>
      </c>
      <c r="CZ7" s="59">
        <f t="shared" si="42"/>
        <v>227.12611049004596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3.6141025633333332</v>
      </c>
      <c r="DO7" s="12">
        <f>IF('Données projet'!$A$166&gt;35,DO6+DN7-DW6,IF(A7&lt;'Données projet'!$A$166,$DL$205^A7,IF(A7='Données projet'!$A$166,'Données projet'!$B$166,DO6+DN7-DW6)))</f>
        <v>1.8678825449312277</v>
      </c>
      <c r="DP7" s="17">
        <f>DO7*VLOOKUP('Données projet'!$B$14,Paramètres!$A$1:$I$89,3,0)*VLOOKUP('Données projet'!$B$14,Paramètres!$A$1:$I$89,5,0)</f>
        <v>1.894032900560265</v>
      </c>
      <c r="DQ7" s="13">
        <f t="shared" si="43"/>
        <v>0.81031089157321901</v>
      </c>
      <c r="DR7" s="20">
        <f t="shared" si="16"/>
        <v>4.7100654379658176</v>
      </c>
      <c r="DS7" s="59">
        <f t="shared" si="17"/>
        <v>266.26562099352134</v>
      </c>
      <c r="DT7" s="59">
        <f ca="1">AVERAGE(OFFSET($DS$3,0,0,'Données projet'!$E$14+1,1))-AVERAGE(OFFSET($H$3,0,0,'Données projet'!$E$14+1,1))</f>
        <v>778.88878505968955</v>
      </c>
      <c r="DU7" s="59">
        <f t="shared" si="44"/>
        <v>279.20782832611059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41</v>
      </c>
      <c r="L8" s="12">
        <f>VLOOKUP(A8,'Données projet'!$A$35:$I$55,9,0)</f>
        <v>8.1999999999999993</v>
      </c>
      <c r="M8" s="12">
        <f t="array" ref="M8">INDEX(L:L,MIN(IF(ISNUMBER(L8:L204),ROW(L8:L204),"")))</f>
        <v>8.1999999999999993</v>
      </c>
      <c r="N8" s="13">
        <f>IF('Données projet'!$A$36&gt;35,N7+M8-V7,IF(A8&lt;'Données projet'!$A$36,$K$205^A8,IF(A8='Données projet'!$A$36,'Données projet'!$B$36,N7+M8-V7)))</f>
        <v>41</v>
      </c>
      <c r="O8" s="13">
        <f>N8*VLOOKUP('Données projet'!$B$9,Paramètres!$A$1:$I$89,3,0)*VLOOKUP('Données projet'!$B$9,Paramètres!$A$1:$I$89,5,0)</f>
        <v>37.096799999999995</v>
      </c>
      <c r="P8" s="13">
        <f t="shared" si="33"/>
        <v>11.225811641270189</v>
      </c>
      <c r="Q8" s="20">
        <f t="shared" si="2"/>
        <v>84.161881941878903</v>
      </c>
      <c r="R8" s="59">
        <f t="shared" si="0"/>
        <v>346.93965971965667</v>
      </c>
      <c r="S8" s="59">
        <f ca="1">AVERAGE(OFFSET($R$3,0,0,'Données projet'!$E$9+1,1))-AVERAGE(OFFSET($H$3,0,0,'Données projet'!$E$9+1,1))</f>
        <v>436.4497226650281</v>
      </c>
      <c r="T8" s="59">
        <f t="shared" si="34"/>
        <v>611.43967996341871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8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140</v>
      </c>
      <c r="AG8" s="12">
        <f>VLOOKUP(A8,'Données projet'!$A$61:$I$81,9,0)</f>
        <v>40</v>
      </c>
      <c r="AH8" s="12">
        <f t="array" ref="AH8">INDEX(AG:AG,MIN(IF(ISNUMBER(AG8:AG204),ROW(AG8:AG204),"")))</f>
        <v>40</v>
      </c>
      <c r="AI8" s="13">
        <f>IF('Données projet'!$A$62&gt;35,AI7+AH8-AQ7,IF(A8&lt;'Données projet'!$A$62,$AF$205^A8,IF(A8='Données projet'!$A$62,'Données projet'!$B$62,AI7+AH8-AQ7)))</f>
        <v>140</v>
      </c>
      <c r="AJ8" s="13">
        <f>AI8*VLOOKUP('Données projet'!$B$10,Paramètres!$A$1:$I$89,3,0)*VLOOKUP('Données projet'!$B$10,Paramètres!$A$1:$I$89,5,0)</f>
        <v>122.30400000000002</v>
      </c>
      <c r="AK8" s="13">
        <f t="shared" si="35"/>
        <v>32.211773226559373</v>
      </c>
      <c r="AL8" s="20">
        <f t="shared" si="4"/>
        <v>269.11497170292427</v>
      </c>
      <c r="AM8" s="59">
        <f t="shared" si="5"/>
        <v>531.89274948070204</v>
      </c>
      <c r="AN8" s="59">
        <f ca="1">AVERAGE(OFFSET($AM$3,0,0,'Données projet'!$E$10+1,1))-AVERAGE(OFFSET($H$3,0,0,'Données projet'!$E$10+1,1))</f>
        <v>662.13838733542616</v>
      </c>
      <c r="AO8" s="59">
        <f t="shared" si="36"/>
        <v>1194.915361841041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6.6486666666666672</v>
      </c>
      <c r="BD8" s="12">
        <f>IF('Données projet'!$A$88&gt;35,BD7+BC8-BL7,IF(A8&lt;'Données projet'!$A$88,$BA$205^A8,IF(A8='Données projet'!$A$88,'Données projet'!$B$88,BD7+BC8-BL7)))</f>
        <v>2.4171817268194866</v>
      </c>
      <c r="BE8" s="13">
        <f>BD8*VLOOKUP('Données projet'!$B$11,Paramètres!$A$1:$I$89,3,0)*VLOOKUP('Données projet'!$B$11,Paramètres!$A$1:$I$89,5,0)</f>
        <v>1.1312410481515196</v>
      </c>
      <c r="BF8" s="13">
        <f t="shared" si="37"/>
        <v>0.51389382630284253</v>
      </c>
      <c r="BG8" s="20">
        <f t="shared" si="7"/>
        <v>2.8652765730080141</v>
      </c>
      <c r="BH8" s="59">
        <f t="shared" si="8"/>
        <v>265.6430543507858</v>
      </c>
      <c r="BI8" s="59">
        <f ca="1">AVERAGE(OFFSET($BH$3,0,0,'Données projet'!$E$11+1,1))-AVERAGE(OFFSET($H$3,0,0,'Données projet'!$E$11+1,1))</f>
        <v>321.82962838167799</v>
      </c>
      <c r="BJ8" s="59">
        <f t="shared" si="38"/>
        <v>243.43396255104295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7.5454545454545459</v>
      </c>
      <c r="BY8" s="12">
        <f>IF('Données projet'!$A$114&gt;35,BY7+BX8-CG7,IF(A8&lt;'Données projet'!$A$114,$BV$205^A8,IF(A8='Données projet'!$A$114,'Données projet'!$B$114,BY7+BX8-CG7)))</f>
        <v>7.4526070638664255</v>
      </c>
      <c r="BZ8" s="13">
        <f>BY8*VLOOKUP('Données projet'!$B$12,Paramètres!$A$1:$I$89,3,0)*VLOOKUP('Données projet'!$B$12,Paramètres!$A$1:$I$89,5,0)</f>
        <v>4.4566590241921231</v>
      </c>
      <c r="CA8" s="13">
        <f t="shared" si="39"/>
        <v>1.7259045655829262</v>
      </c>
      <c r="CB8" s="20">
        <f t="shared" si="10"/>
        <v>10.76796491885821</v>
      </c>
      <c r="CC8" s="59">
        <f t="shared" si="11"/>
        <v>273.54574269663595</v>
      </c>
      <c r="CD8" s="59">
        <f ca="1">AVERAGE(OFFSET($CC$3,0,0,'Données projet'!$E$12+1,1))-AVERAGE(OFFSET($H$3,0,0,'Données projet'!$E$12+1,1))</f>
        <v>187.80389738728508</v>
      </c>
      <c r="CE8" s="59">
        <f t="shared" si="40"/>
        <v>439.28159165815265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2.5115384616666665</v>
      </c>
      <c r="CT8" s="12">
        <f>IF('Données projet'!$A$140&gt;35,CT7+CS8-DB7,IF(A8&lt;'Données projet'!$A$140,$CQ$205^A8,IF(A8='Données projet'!$A$140,'Données projet'!$B$140,CT7+CS8-DB7)))</f>
        <v>2.0551499493280714</v>
      </c>
      <c r="CU8" s="17">
        <f>CT8*VLOOKUP('Données projet'!$B$13,Paramètres!$A$1:$I$89,3,0)*VLOOKUP('Données projet'!$B$13,Paramètres!$A$1:$I$89,5,0)</f>
        <v>2.3404047622948077</v>
      </c>
      <c r="CV8" s="13">
        <f t="shared" si="41"/>
        <v>0.97691677870151117</v>
      </c>
      <c r="CW8" s="20">
        <f t="shared" si="13"/>
        <v>5.7776683505685886</v>
      </c>
      <c r="CX8" s="59">
        <f t="shared" si="14"/>
        <v>268.55544612834638</v>
      </c>
      <c r="CY8" s="59">
        <f ca="1">AVERAGE(OFFSET($CX$3,0,0,'Données projet'!$E$13+1,1))-AVERAGE(OFFSET($H$3,0,0,'Données projet'!$E$13+1,1))</f>
        <v>770.11410336045037</v>
      </c>
      <c r="CZ8" s="59">
        <f t="shared" si="42"/>
        <v>227.12611049004596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3.6141025633333332</v>
      </c>
      <c r="DO8" s="12">
        <f>IF('Données projet'!$A$166&gt;35,DO7+DN8-DW7,IF(A8&lt;'Données projet'!$A$166,$DL$205^A8,IF(A8='Données projet'!$A$166,'Données projet'!$B$166,DO7+DN8-DW7)))</f>
        <v>2.1836697334066515</v>
      </c>
      <c r="DP8" s="17">
        <f>DO8*VLOOKUP('Données projet'!$B$14,Paramètres!$A$1:$I$89,3,0)*VLOOKUP('Données projet'!$B$14,Paramètres!$A$1:$I$89,5,0)</f>
        <v>2.2142411096743446</v>
      </c>
      <c r="DQ8" s="13">
        <f t="shared" si="43"/>
        <v>0.93023525542813745</v>
      </c>
      <c r="DR8" s="20">
        <f t="shared" si="16"/>
        <v>5.4766296692201557</v>
      </c>
      <c r="DS8" s="59">
        <f t="shared" si="17"/>
        <v>268.2544074469979</v>
      </c>
      <c r="DT8" s="59">
        <f ca="1">AVERAGE(OFFSET($DS$3,0,0,'Données projet'!$E$14+1,1))-AVERAGE(OFFSET($H$3,0,0,'Données projet'!$E$14+1,1))</f>
        <v>778.88878505968955</v>
      </c>
      <c r="DU8" s="59">
        <f t="shared" si="44"/>
        <v>279.20782832611059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17.600000000000001</v>
      </c>
      <c r="N9" s="13">
        <f>IF('Données projet'!$A$36&gt;35,N8+M9-V8,IF(A9&lt;'Données projet'!$A$36,$K$205^A9,IF(A9='Données projet'!$A$36,'Données projet'!$B$36,N8+M9-V8)))</f>
        <v>50.6</v>
      </c>
      <c r="O9" s="13">
        <f>N9*VLOOKUP('Données projet'!$B$9,Paramètres!$A$1:$I$89,3,0)*VLOOKUP('Données projet'!$B$9,Paramètres!$A$1:$I$89,5,0)</f>
        <v>45.782879999999999</v>
      </c>
      <c r="P9" s="13">
        <f t="shared" si="33"/>
        <v>13.519148289060759</v>
      </c>
      <c r="Q9" s="20">
        <f t="shared" si="2"/>
        <v>103.28436593678082</v>
      </c>
      <c r="R9" s="59">
        <f t="shared" si="0"/>
        <v>367.28436593678083</v>
      </c>
      <c r="S9" s="59">
        <f ca="1">AVERAGE(OFFSET($R$3,0,0,'Données projet'!$E$9+1,1))-AVERAGE(OFFSET($H$3,0,0,'Données projet'!$E$9+1,1))</f>
        <v>436.4497226650281</v>
      </c>
      <c r="T9" s="59">
        <f t="shared" si="34"/>
        <v>611.43967996341871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185</v>
      </c>
      <c r="AG9" s="12">
        <f>VLOOKUP(A9,'Données projet'!$A$61:$I$81,9,0)</f>
        <v>45</v>
      </c>
      <c r="AH9" s="12">
        <f t="array" ref="AH9">INDEX(AG:AG,MIN(IF(ISNUMBER(AG9:AG205),ROW(AG9:AG205),"")))</f>
        <v>45</v>
      </c>
      <c r="AI9" s="13">
        <f>IF('Données projet'!$A$62&gt;35,AI8+AH9-AQ8,IF(A9&lt;'Données projet'!$A$62,$AF$205^A9,IF(A9='Données projet'!$A$62,'Données projet'!$B$62,AI8+AH9-AQ8)))</f>
        <v>185</v>
      </c>
      <c r="AJ9" s="13">
        <f>AI9*VLOOKUP('Données projet'!$B$10,Paramètres!$A$1:$I$89,3,0)*VLOOKUP('Données projet'!$B$10,Paramètres!$A$1:$I$89,5,0)</f>
        <v>161.61600000000001</v>
      </c>
      <c r="AK9" s="13">
        <f t="shared" si="35"/>
        <v>41.20679526204917</v>
      </c>
      <c r="AL9" s="20">
        <f t="shared" si="4"/>
        <v>353.24970174806896</v>
      </c>
      <c r="AM9" s="59">
        <f t="shared" si="5"/>
        <v>617.2497017480689</v>
      </c>
      <c r="AN9" s="59">
        <f ca="1">AVERAGE(OFFSET($AM$3,0,0,'Données projet'!$E$10+1,1))-AVERAGE(OFFSET($H$3,0,0,'Données projet'!$E$10+1,1))</f>
        <v>662.13838733542616</v>
      </c>
      <c r="AO9" s="59">
        <f t="shared" si="36"/>
        <v>1194.915361841041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6.6486666666666672</v>
      </c>
      <c r="BD9" s="12">
        <f>IF('Données projet'!$A$88&gt;35,BD8+BC9-BL8,IF(A9&lt;'Données projet'!$A$88,$BA$205^A9,IF(A9='Données projet'!$A$88,'Données projet'!$B$88,BD8+BC9-BL8)))</f>
        <v>2.8838400104196342</v>
      </c>
      <c r="BE9" s="13">
        <f>BD9*VLOOKUP('Données projet'!$B$11,Paramètres!$A$1:$I$89,3,0)*VLOOKUP('Données projet'!$B$11,Paramètres!$A$1:$I$89,5,0)</f>
        <v>1.3496371248763888</v>
      </c>
      <c r="BF9" s="13">
        <f t="shared" si="37"/>
        <v>0.60063663826238434</v>
      </c>
      <c r="BG9" s="20">
        <f t="shared" si="7"/>
        <v>3.3967268041333631</v>
      </c>
      <c r="BH9" s="59">
        <f t="shared" si="8"/>
        <v>267.39672680413338</v>
      </c>
      <c r="BI9" s="59">
        <f ca="1">AVERAGE(OFFSET($BH$3,0,0,'Données projet'!$E$11+1,1))-AVERAGE(OFFSET($H$3,0,0,'Données projet'!$E$11+1,1))</f>
        <v>321.82962838167799</v>
      </c>
      <c r="BJ9" s="59">
        <f t="shared" si="38"/>
        <v>243.43396255104295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7.5454545454545459</v>
      </c>
      <c r="BY9" s="12">
        <f>IF('Données projet'!$A$114&gt;35,BY8+BX9-CG8,IF(A9&lt;'Données projet'!$A$114,$BV$205^A9,IF(A9='Données projet'!$A$114,'Données projet'!$B$114,BY8+BX9-CG8)))</f>
        <v>11.137042284494127</v>
      </c>
      <c r="BZ9" s="13">
        <f>BY9*VLOOKUP('Données projet'!$B$12,Paramètres!$A$1:$I$89,3,0)*VLOOKUP('Données projet'!$B$12,Paramètres!$A$1:$I$89,5,0)</f>
        <v>6.6599512861274883</v>
      </c>
      <c r="CA9" s="13">
        <f t="shared" si="39"/>
        <v>2.461337037629669</v>
      </c>
      <c r="CB9" s="20">
        <f t="shared" si="10"/>
        <v>15.886243830543714</v>
      </c>
      <c r="CC9" s="59">
        <f t="shared" si="11"/>
        <v>279.88624383054372</v>
      </c>
      <c r="CD9" s="59">
        <f ca="1">AVERAGE(OFFSET($CC$3,0,0,'Données projet'!$E$12+1,1))-AVERAGE(OFFSET($H$3,0,0,'Données projet'!$E$12+1,1))</f>
        <v>187.80389738728508</v>
      </c>
      <c r="CE9" s="59">
        <f t="shared" si="40"/>
        <v>439.28159165815265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2.5115384616666665</v>
      </c>
      <c r="CT9" s="12">
        <f>IF('Données projet'!$A$140&gt;35,CT8+CS9-DB8,IF(A9&lt;'Données projet'!$A$140,$CQ$205^A9,IF(A9='Données projet'!$A$140,'Données projet'!$B$140,CT8+CS9-DB8)))</f>
        <v>2.3736256017884898</v>
      </c>
      <c r="CU9" s="17">
        <f>CT9*VLOOKUP('Données projet'!$B$13,Paramètres!$A$1:$I$89,3,0)*VLOOKUP('Données projet'!$B$13,Paramètres!$A$1:$I$89,5,0)</f>
        <v>2.7030848353167323</v>
      </c>
      <c r="CV9" s="13">
        <f t="shared" si="41"/>
        <v>1.1095407947181111</v>
      </c>
      <c r="CW9" s="20">
        <f t="shared" si="13"/>
        <v>6.6403229723106856</v>
      </c>
      <c r="CX9" s="59">
        <f t="shared" si="14"/>
        <v>270.64032297231068</v>
      </c>
      <c r="CY9" s="59">
        <f ca="1">AVERAGE(OFFSET($CX$3,0,0,'Données projet'!$E$13+1,1))-AVERAGE(OFFSET($H$3,0,0,'Données projet'!$E$13+1,1))</f>
        <v>770.11410336045037</v>
      </c>
      <c r="CZ9" s="59">
        <f t="shared" si="42"/>
        <v>227.12611049004596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3.6141025633333332</v>
      </c>
      <c r="DO9" s="12">
        <f>IF('Données projet'!$A$166&gt;35,DO8+DN9-DW8,IF(A9&lt;'Données projet'!$A$166,$DL$205^A9,IF(A9='Données projet'!$A$166,'Données projet'!$B$166,DO8+DN9-DW8)))</f>
        <v>2.5528444053059243</v>
      </c>
      <c r="DP9" s="17">
        <f>DO9*VLOOKUP('Données projet'!$B$14,Paramètres!$A$1:$I$89,3,0)*VLOOKUP('Données projet'!$B$14,Paramètres!$A$1:$I$89,5,0)</f>
        <v>2.5885842269802075</v>
      </c>
      <c r="DQ9" s="13">
        <f t="shared" si="43"/>
        <v>1.0679081812184439</v>
      </c>
      <c r="DR9" s="20">
        <f t="shared" si="16"/>
        <v>6.3683909442793167</v>
      </c>
      <c r="DS9" s="59">
        <f t="shared" si="17"/>
        <v>270.36839094427933</v>
      </c>
      <c r="DT9" s="59">
        <f ca="1">AVERAGE(OFFSET($DS$3,0,0,'Données projet'!$E$14+1,1))-AVERAGE(OFFSET($H$3,0,0,'Données projet'!$E$14+1,1))</f>
        <v>778.88878505968955</v>
      </c>
      <c r="DU9" s="59">
        <f t="shared" si="44"/>
        <v>279.20782832611059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17.600000000000001</v>
      </c>
      <c r="N10" s="13">
        <f>IF('Données projet'!$A$36&gt;35,N9+M10-V9,IF(A10&lt;'Données projet'!$A$36,$K$205^A10,IF(A10='Données projet'!$A$36,'Données projet'!$B$36,N9+M10-V9)))</f>
        <v>68.2</v>
      </c>
      <c r="O10" s="13">
        <f>N10*VLOOKUP('Données projet'!$B$9,Paramètres!$A$1:$I$89,3,0)*VLOOKUP('Données projet'!$B$9,Paramètres!$A$1:$I$89,5,0)</f>
        <v>61.707360000000001</v>
      </c>
      <c r="P10" s="13">
        <f t="shared" si="33"/>
        <v>17.599235734890414</v>
      </c>
      <c r="Q10" s="20">
        <f t="shared" si="2"/>
        <v>138.12565423826746</v>
      </c>
      <c r="R10" s="59">
        <f t="shared" si="0"/>
        <v>403.34787646048972</v>
      </c>
      <c r="S10" s="59">
        <f ca="1">AVERAGE(OFFSET($R$3,0,0,'Données projet'!$E$9+1,1))-AVERAGE(OFFSET($H$3,0,0,'Données projet'!$E$9+1,1))</f>
        <v>436.4497226650281</v>
      </c>
      <c r="T10" s="59">
        <f t="shared" si="34"/>
        <v>611.43967996341871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230</v>
      </c>
      <c r="AG10" s="12">
        <f>VLOOKUP(A10,'Données projet'!$A$61:$I$81,9,0)</f>
        <v>45</v>
      </c>
      <c r="AH10" s="12">
        <f t="array" ref="AH10">INDEX(AG:AG,MIN(IF(ISNUMBER(AG10:AG206),ROW(AG10:AG206),"")))</f>
        <v>45</v>
      </c>
      <c r="AI10" s="13">
        <f>IF('Données projet'!$A$62&gt;35,AI9+AH10-AQ9,IF(A10&lt;'Données projet'!$A$62,$AF$205^A10,IF(A10='Données projet'!$A$62,'Données projet'!$B$62,AI9+AH10-AQ9)))</f>
        <v>230</v>
      </c>
      <c r="AJ10" s="13">
        <f>AI10*VLOOKUP('Données projet'!$B$10,Paramètres!$A$1:$I$89,3,0)*VLOOKUP('Données projet'!$B$10,Paramètres!$A$1:$I$89,5,0)</f>
        <v>200.92800000000003</v>
      </c>
      <c r="AK10" s="13">
        <f t="shared" si="35"/>
        <v>49.948059057189042</v>
      </c>
      <c r="AL10" s="20">
        <f t="shared" si="4"/>
        <v>436.94246952460429</v>
      </c>
      <c r="AM10" s="59">
        <f t="shared" si="5"/>
        <v>702.16469174682652</v>
      </c>
      <c r="AN10" s="59">
        <f ca="1">AVERAGE(OFFSET($AM$3,0,0,'Données projet'!$E$10+1,1))-AVERAGE(OFFSET($H$3,0,0,'Données projet'!$E$10+1,1))</f>
        <v>662.13838733542616</v>
      </c>
      <c r="AO10" s="59">
        <f t="shared" si="36"/>
        <v>1194.915361841041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6.6486666666666672</v>
      </c>
      <c r="BD10" s="12">
        <f>IF('Données projet'!$A$88&gt;35,BD9+BC10-BL9,IF(A10&lt;'Données projet'!$A$88,$BA$205^A10,IF(A10='Données projet'!$A$88,'Données projet'!$B$88,BD9+BC10-BL9)))</f>
        <v>3.4405907977138162</v>
      </c>
      <c r="BE10" s="13">
        <f>BD10*VLOOKUP('Données projet'!$B$11,Paramètres!$A$1:$I$89,3,0)*VLOOKUP('Données projet'!$B$11,Paramètres!$A$1:$I$89,5,0)</f>
        <v>1.6101964933300661</v>
      </c>
      <c r="BF10" s="13">
        <f t="shared" si="37"/>
        <v>0.70202122064516981</v>
      </c>
      <c r="BG10" s="20">
        <f t="shared" si="7"/>
        <v>4.0271125185068684</v>
      </c>
      <c r="BH10" s="59">
        <f t="shared" si="8"/>
        <v>269.24933474072907</v>
      </c>
      <c r="BI10" s="59">
        <f ca="1">AVERAGE(OFFSET($BH$3,0,0,'Données projet'!$E$11+1,1))-AVERAGE(OFFSET($H$3,0,0,'Données projet'!$E$11+1,1))</f>
        <v>321.82962838167799</v>
      </c>
      <c r="BJ10" s="59">
        <f t="shared" si="38"/>
        <v>243.43396255104295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7.5454545454545459</v>
      </c>
      <c r="BY10" s="12">
        <f>IF('Données projet'!$A$114&gt;35,BY9+BX10-CG9,IF(A10&lt;'Données projet'!$A$114,$BV$205^A10,IF(A10='Données projet'!$A$114,'Données projet'!$B$114,BY9+BX10-CG9)))</f>
        <v>16.642996173511026</v>
      </c>
      <c r="BZ10" s="13">
        <f>BY10*VLOOKUP('Données projet'!$B$12,Paramètres!$A$1:$I$89,3,0)*VLOOKUP('Données projet'!$B$12,Paramètres!$A$1:$I$89,5,0)</f>
        <v>9.9525117117595947</v>
      </c>
      <c r="CA10" s="13">
        <f t="shared" si="39"/>
        <v>3.5101477414317164</v>
      </c>
      <c r="CB10" s="20">
        <f t="shared" si="10"/>
        <v>23.447465214308199</v>
      </c>
      <c r="CC10" s="59">
        <f t="shared" si="11"/>
        <v>288.66968743653041</v>
      </c>
      <c r="CD10" s="59">
        <f ca="1">AVERAGE(OFFSET($CC$3,0,0,'Données projet'!$E$12+1,1))-AVERAGE(OFFSET($H$3,0,0,'Données projet'!$E$12+1,1))</f>
        <v>187.80389738728508</v>
      </c>
      <c r="CE10" s="59">
        <f t="shared" si="40"/>
        <v>439.28159165815265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2.5115384616666665</v>
      </c>
      <c r="CT10" s="12">
        <f>IF('Données projet'!$A$140&gt;35,CT9+CS10-DB9,IF(A10&lt;'Données projet'!$A$140,$CQ$205^A10,IF(A10='Données projet'!$A$140,'Données projet'!$B$140,CT9+CS10-DB9)))</f>
        <v>2.7414537315429621</v>
      </c>
      <c r="CU10" s="17">
        <f>CT10*VLOOKUP('Données projet'!$B$13,Paramètres!$A$1:$I$89,3,0)*VLOOKUP('Données projet'!$B$13,Paramètres!$A$1:$I$89,5,0)</f>
        <v>3.1219675094811254</v>
      </c>
      <c r="CV10" s="13">
        <f t="shared" si="41"/>
        <v>1.2601695476865633</v>
      </c>
      <c r="CW10" s="20">
        <f t="shared" si="13"/>
        <v>7.6322220412337236</v>
      </c>
      <c r="CX10" s="59">
        <f t="shared" si="14"/>
        <v>272.85444426345595</v>
      </c>
      <c r="CY10" s="59">
        <f ca="1">AVERAGE(OFFSET($CX$3,0,0,'Données projet'!$E$13+1,1))-AVERAGE(OFFSET($H$3,0,0,'Données projet'!$E$13+1,1))</f>
        <v>770.11410336045037</v>
      </c>
      <c r="CZ10" s="59">
        <f t="shared" si="42"/>
        <v>227.12611049004596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3.6141025633333332</v>
      </c>
      <c r="DO10" s="12">
        <f>IF('Données projet'!$A$166&gt;35,DO9+DN10-DW9,IF(A10&lt;'Données projet'!$A$166,$DL$205^A10,IF(A10='Données projet'!$A$166,'Données projet'!$B$166,DO9+DN10-DW9)))</f>
        <v>2.9844323333340506</v>
      </c>
      <c r="DP10" s="17">
        <f>DO10*VLOOKUP('Données projet'!$B$14,Paramètres!$A$1:$I$89,3,0)*VLOOKUP('Données projet'!$B$14,Paramètres!$A$1:$I$89,5,0)</f>
        <v>3.0262143860007273</v>
      </c>
      <c r="DQ10" s="13">
        <f t="shared" si="43"/>
        <v>1.2259564200116313</v>
      </c>
      <c r="DR10" s="20">
        <f t="shared" si="16"/>
        <v>7.4058641538048589</v>
      </c>
      <c r="DS10" s="59">
        <f t="shared" si="17"/>
        <v>272.62808637602711</v>
      </c>
      <c r="DT10" s="59">
        <f ca="1">AVERAGE(OFFSET($DS$3,0,0,'Données projet'!$E$14+1,1))-AVERAGE(OFFSET($H$3,0,0,'Données projet'!$E$14+1,1))</f>
        <v>778.88878505968955</v>
      </c>
      <c r="DU10" s="59">
        <f t="shared" si="44"/>
        <v>279.20782832611059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17.600000000000001</v>
      </c>
      <c r="N11" s="13">
        <f>IF('Données projet'!$A$36&gt;35,N10+M11-V10,IF(A11&lt;'Données projet'!$A$36,$K$205^A11,IF(A11='Données projet'!$A$36,'Données projet'!$B$36,N10+M11-V10)))</f>
        <v>85.800000000000011</v>
      </c>
      <c r="O11" s="13">
        <f>N11*VLOOKUP('Données projet'!$B$9,Paramètres!$A$1:$I$89,3,0)*VLOOKUP('Données projet'!$B$9,Paramètres!$A$1:$I$89,5,0)</f>
        <v>77.631840000000011</v>
      </c>
      <c r="P11" s="13">
        <f t="shared" si="33"/>
        <v>21.557147963295233</v>
      </c>
      <c r="Q11" s="20">
        <f t="shared" si="2"/>
        <v>172.75415403607255</v>
      </c>
      <c r="R11" s="59">
        <f t="shared" si="0"/>
        <v>439.19859848051703</v>
      </c>
      <c r="S11" s="59">
        <f ca="1">AVERAGE(OFFSET($R$3,0,0,'Données projet'!$E$9+1,1))-AVERAGE(OFFSET($H$3,0,0,'Données projet'!$E$9+1,1))</f>
        <v>436.4497226650281</v>
      </c>
      <c r="T11" s="59">
        <f t="shared" si="34"/>
        <v>611.43967996341871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280</v>
      </c>
      <c r="AG11" s="12">
        <f>VLOOKUP(A11,'Données projet'!$A$61:$I$81,9,0)</f>
        <v>50</v>
      </c>
      <c r="AH11" s="12">
        <f t="array" ref="AH11">INDEX(AG:AG,MIN(IF(ISNUMBER(AG11:AG207),ROW(AG11:AG207),"")))</f>
        <v>50</v>
      </c>
      <c r="AI11" s="13">
        <f>IF('Données projet'!$A$62&gt;35,AI10+AH11-AQ10,IF(A11&lt;'Données projet'!$A$62,$AF$205^A11,IF(A11='Données projet'!$A$62,'Données projet'!$B$62,AI10+AH11-AQ10)))</f>
        <v>280</v>
      </c>
      <c r="AJ11" s="13">
        <f>AI11*VLOOKUP('Données projet'!$B$10,Paramètres!$A$1:$I$89,3,0)*VLOOKUP('Données projet'!$B$10,Paramètres!$A$1:$I$89,5,0)</f>
        <v>244.60800000000003</v>
      </c>
      <c r="AK11" s="13">
        <f t="shared" si="35"/>
        <v>59.429864098180566</v>
      </c>
      <c r="AL11" s="20">
        <f t="shared" si="4"/>
        <v>529.53261330433122</v>
      </c>
      <c r="AM11" s="59">
        <f t="shared" si="5"/>
        <v>795.97705774877568</v>
      </c>
      <c r="AN11" s="59">
        <f ca="1">AVERAGE(OFFSET($AM$3,0,0,'Données projet'!$E$10+1,1))-AVERAGE(OFFSET($H$3,0,0,'Données projet'!$E$10+1,1))</f>
        <v>662.13838733542616</v>
      </c>
      <c r="AO11" s="59">
        <f t="shared" si="36"/>
        <v>1194.915361841041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6.6486666666666672</v>
      </c>
      <c r="BD11" s="12">
        <f>IF('Données projet'!$A$88&gt;35,BD10+BC11-BL10,IF(A11&lt;'Données projet'!$A$88,$BA$205^A11,IF(A11='Données projet'!$A$88,'Données projet'!$B$88,BD10+BC11-BL10)))</f>
        <v>4.1048272423373682</v>
      </c>
      <c r="BE11" s="13">
        <f>BD11*VLOOKUP('Données projet'!$B$11,Paramètres!$A$1:$I$89,3,0)*VLOOKUP('Données projet'!$B$11,Paramètres!$A$1:$I$89,5,0)</f>
        <v>1.9210591494138882</v>
      </c>
      <c r="BF11" s="13">
        <f t="shared" si="37"/>
        <v>0.82051903404008264</v>
      </c>
      <c r="BG11" s="20">
        <f t="shared" si="7"/>
        <v>4.7749153361823318</v>
      </c>
      <c r="BH11" s="59">
        <f t="shared" si="8"/>
        <v>271.2193597806268</v>
      </c>
      <c r="BI11" s="59">
        <f ca="1">AVERAGE(OFFSET($BH$3,0,0,'Données projet'!$E$11+1,1))-AVERAGE(OFFSET($H$3,0,0,'Données projet'!$E$11+1,1))</f>
        <v>321.82962838167799</v>
      </c>
      <c r="BJ11" s="59">
        <f t="shared" si="38"/>
        <v>243.43396255104295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7.5454545454545459</v>
      </c>
      <c r="BY11" s="12">
        <f>IF('Données projet'!$A$114&gt;35,BY10+BX11-CG10,IF(A11&lt;'Données projet'!$A$114,$BV$205^A11,IF(A11='Données projet'!$A$114,'Données projet'!$B$114,BY10+BX11-CG10)))</f>
        <v>24.870994879596463</v>
      </c>
      <c r="BZ11" s="13">
        <f>BY11*VLOOKUP('Données projet'!$B$12,Paramètres!$A$1:$I$89,3,0)*VLOOKUP('Données projet'!$B$12,Paramètres!$A$1:$I$89,5,0)</f>
        <v>14.872854937998687</v>
      </c>
      <c r="CA11" s="13">
        <f t="shared" si="39"/>
        <v>5.0058715967414829</v>
      </c>
      <c r="CB11" s="20">
        <f t="shared" si="10"/>
        <v>34.622115381339128</v>
      </c>
      <c r="CC11" s="59">
        <f t="shared" si="11"/>
        <v>301.0665598257836</v>
      </c>
      <c r="CD11" s="59">
        <f ca="1">AVERAGE(OFFSET($CC$3,0,0,'Données projet'!$E$12+1,1))-AVERAGE(OFFSET($H$3,0,0,'Données projet'!$E$12+1,1))</f>
        <v>187.80389738728508</v>
      </c>
      <c r="CE11" s="59">
        <f t="shared" si="40"/>
        <v>439.28159165815265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2.5115384616666665</v>
      </c>
      <c r="CT11" s="12">
        <f>IF('Données projet'!$A$140&gt;35,CT10+CS11-DB10,IF(A11&lt;'Données projet'!$A$140,$CQ$205^A11,IF(A11='Données projet'!$A$140,'Données projet'!$B$140,CT10+CS11-DB10)))</f>
        <v>3.1662822293996018</v>
      </c>
      <c r="CU11" s="17">
        <f>CT11*VLOOKUP('Données projet'!$B$13,Paramètres!$A$1:$I$89,3,0)*VLOOKUP('Données projet'!$B$13,Paramètres!$A$1:$I$89,5,0)</f>
        <v>3.6057622028402663</v>
      </c>
      <c r="CV11" s="13">
        <f t="shared" si="41"/>
        <v>1.4312473200410891</v>
      </c>
      <c r="CW11" s="20">
        <f t="shared" si="13"/>
        <v>8.7727915856850256</v>
      </c>
      <c r="CX11" s="59">
        <f t="shared" si="14"/>
        <v>275.21723603012947</v>
      </c>
      <c r="CY11" s="59">
        <f ca="1">AVERAGE(OFFSET($CX$3,0,0,'Données projet'!$E$13+1,1))-AVERAGE(OFFSET($H$3,0,0,'Données projet'!$E$13+1,1))</f>
        <v>770.11410336045037</v>
      </c>
      <c r="CZ11" s="59">
        <f t="shared" si="42"/>
        <v>227.12611049004596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3.6141025633333332</v>
      </c>
      <c r="DO11" s="12">
        <f>IF('Données projet'!$A$166&gt;35,DO10+DN11-DW10,IF(A11&lt;'Données projet'!$A$166,$DL$205^A11,IF(A11='Données projet'!$A$166,'Données projet'!$B$166,DO10+DN11-DW10)))</f>
        <v>3.4889852016587599</v>
      </c>
      <c r="DP11" s="17">
        <f>DO11*VLOOKUP('Données projet'!$B$14,Paramètres!$A$1:$I$89,3,0)*VLOOKUP('Données projet'!$B$14,Paramètres!$A$1:$I$89,5,0)</f>
        <v>3.5378309944819826</v>
      </c>
      <c r="DQ11" s="13">
        <f t="shared" si="43"/>
        <v>1.4073954766906112</v>
      </c>
      <c r="DR11" s="20">
        <f t="shared" si="16"/>
        <v>8.6129361039589352</v>
      </c>
      <c r="DS11" s="59">
        <f t="shared" si="17"/>
        <v>275.05738054840339</v>
      </c>
      <c r="DT11" s="59">
        <f ca="1">AVERAGE(OFFSET($DS$3,0,0,'Données projet'!$E$14+1,1))-AVERAGE(OFFSET($H$3,0,0,'Données projet'!$E$14+1,1))</f>
        <v>778.88878505968955</v>
      </c>
      <c r="DU11" s="59">
        <f t="shared" si="44"/>
        <v>279.20782832611059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17.600000000000001</v>
      </c>
      <c r="N12" s="13">
        <f>IF('Données projet'!$A$36&gt;35,N11+M12-V11,IF(A12&lt;'Données projet'!$A$36,$K$205^A12,IF(A12='Données projet'!$A$36,'Données projet'!$B$36,N11+M12-V11)))</f>
        <v>103.4</v>
      </c>
      <c r="O12" s="13">
        <f>N12*VLOOKUP('Données projet'!$B$9,Paramètres!$A$1:$I$89,3,0)*VLOOKUP('Données projet'!$B$9,Paramètres!$A$1:$I$89,5,0)</f>
        <v>93.556319999999999</v>
      </c>
      <c r="P12" s="13">
        <f t="shared" si="33"/>
        <v>25.420979659258073</v>
      </c>
      <c r="Q12" s="20">
        <f t="shared" si="2"/>
        <v>207.21879690654114</v>
      </c>
      <c r="R12" s="59">
        <f t="shared" si="0"/>
        <v>474.88546357320786</v>
      </c>
      <c r="S12" s="59">
        <f ca="1">AVERAGE(OFFSET($R$3,0,0,'Données projet'!$E$9+1,1))-AVERAGE(OFFSET($H$3,0,0,'Données projet'!$E$9+1,1))</f>
        <v>436.4497226650281</v>
      </c>
      <c r="T12" s="59">
        <f t="shared" si="34"/>
        <v>611.43967996341871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325</v>
      </c>
      <c r="AG12" s="12">
        <f>VLOOKUP(A12,'Données projet'!$A$61:$I$81,9,0)</f>
        <v>45</v>
      </c>
      <c r="AH12" s="12">
        <f t="array" ref="AH12">INDEX(AG:AG,MIN(IF(ISNUMBER(AG12:AG208),ROW(AG12:AG208),"")))</f>
        <v>45</v>
      </c>
      <c r="AI12" s="13">
        <f>IF('Données projet'!$A$62&gt;35,AI11+AH12-AQ11,IF(A12&lt;'Données projet'!$A$62,$AF$205^A12,IF(A12='Données projet'!$A$62,'Données projet'!$B$62,AI11+AH12-AQ11)))</f>
        <v>325</v>
      </c>
      <c r="AJ12" s="13">
        <f>AI12*VLOOKUP('Données projet'!$B$10,Paramètres!$A$1:$I$89,3,0)*VLOOKUP('Données projet'!$B$10,Paramètres!$A$1:$I$89,5,0)</f>
        <v>283.92000000000007</v>
      </c>
      <c r="AK12" s="13">
        <f t="shared" si="35"/>
        <v>67.794746071143635</v>
      </c>
      <c r="AL12" s="20">
        <f t="shared" si="4"/>
        <v>612.56984940724203</v>
      </c>
      <c r="AM12" s="59">
        <f t="shared" si="5"/>
        <v>880.23651607390866</v>
      </c>
      <c r="AN12" s="59">
        <f ca="1">AVERAGE(OFFSET($AM$3,0,0,'Données projet'!$E$10+1,1))-AVERAGE(OFFSET($H$3,0,0,'Données projet'!$E$10+1,1))</f>
        <v>662.13838733542616</v>
      </c>
      <c r="AO12" s="59">
        <f t="shared" si="36"/>
        <v>1194.915361841041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6.6486666666666672</v>
      </c>
      <c r="BD12" s="12">
        <f>IF('Données projet'!$A$88&gt;35,BD11+BC12-BL11,IF(A12&lt;'Données projet'!$A$88,$BA$205^A12,IF(A12='Données projet'!$A$88,'Données projet'!$B$88,BD11+BC12-BL11)))</f>
        <v>4.8973003998706073</v>
      </c>
      <c r="BE12" s="13">
        <f>BD12*VLOOKUP('Données projet'!$B$11,Paramètres!$A$1:$I$89,3,0)*VLOOKUP('Données projet'!$B$11,Paramètres!$A$1:$I$89,5,0)</f>
        <v>2.2919365871394444</v>
      </c>
      <c r="BF12" s="13">
        <f t="shared" si="37"/>
        <v>0.95901870972410275</v>
      </c>
      <c r="BG12" s="20">
        <f t="shared" si="7"/>
        <v>5.6620804753706784</v>
      </c>
      <c r="BH12" s="59">
        <f t="shared" si="8"/>
        <v>273.32874714203734</v>
      </c>
      <c r="BI12" s="59">
        <f ca="1">AVERAGE(OFFSET($BH$3,0,0,'Données projet'!$E$11+1,1))-AVERAGE(OFFSET($H$3,0,0,'Données projet'!$E$11+1,1))</f>
        <v>321.82962838167799</v>
      </c>
      <c r="BJ12" s="59">
        <f t="shared" si="38"/>
        <v>243.43396255104295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7.5454545454545459</v>
      </c>
      <c r="BY12" s="12">
        <f>IF('Données projet'!$A$114&gt;35,BY11+BX12-CG11,IF(A12&lt;'Données projet'!$A$114,$BV$205^A12,IF(A12='Données projet'!$A$114,'Données projet'!$B$114,BY11+BX12-CG11)))</f>
        <v>37.166768522450475</v>
      </c>
      <c r="BZ12" s="13">
        <f>BY12*VLOOKUP('Données projet'!$B$12,Paramètres!$A$1:$I$89,3,0)*VLOOKUP('Données projet'!$B$12,Paramètres!$A$1:$I$89,5,0)</f>
        <v>22.225727576425388</v>
      </c>
      <c r="CA12" s="13">
        <f t="shared" si="39"/>
        <v>7.1389446510425687</v>
      </c>
      <c r="CB12" s="20">
        <f t="shared" si="10"/>
        <v>51.143470796173354</v>
      </c>
      <c r="CC12" s="59">
        <f t="shared" si="11"/>
        <v>318.81013746284003</v>
      </c>
      <c r="CD12" s="59">
        <f ca="1">AVERAGE(OFFSET($CC$3,0,0,'Données projet'!$E$12+1,1))-AVERAGE(OFFSET($H$3,0,0,'Données projet'!$E$12+1,1))</f>
        <v>187.80389738728508</v>
      </c>
      <c r="CE12" s="59">
        <f t="shared" si="40"/>
        <v>439.28159165815265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2.5115384616666665</v>
      </c>
      <c r="CT12" s="12">
        <f>IF('Données projet'!$A$140&gt;35,CT11+CS12-DB11,IF(A12&lt;'Données projet'!$A$140,$CQ$205^A12,IF(A12='Données projet'!$A$140,'Données projet'!$B$140,CT11+CS12-DB11)))</f>
        <v>3.6569441391116189</v>
      </c>
      <c r="CU12" s="17">
        <f>CT12*VLOOKUP('Données projet'!$B$13,Paramètres!$A$1:$I$89,3,0)*VLOOKUP('Données projet'!$B$13,Paramètres!$A$1:$I$89,5,0)</f>
        <v>4.1645279856203112</v>
      </c>
      <c r="CV12" s="13">
        <f t="shared" si="41"/>
        <v>1.6255502244800379</v>
      </c>
      <c r="CW12" s="20">
        <f t="shared" si="13"/>
        <v>10.084386215924773</v>
      </c>
      <c r="CX12" s="59">
        <f t="shared" si="14"/>
        <v>277.75105288259147</v>
      </c>
      <c r="CY12" s="59">
        <f ca="1">AVERAGE(OFFSET($CX$3,0,0,'Données projet'!$E$13+1,1))-AVERAGE(OFFSET($H$3,0,0,'Données projet'!$E$13+1,1))</f>
        <v>770.11410336045037</v>
      </c>
      <c r="CZ12" s="59">
        <f t="shared" si="42"/>
        <v>227.12611049004596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3.6141025633333332</v>
      </c>
      <c r="DO12" s="12">
        <f>IF('Données projet'!$A$166&gt;35,DO11+DN12-DW11,IF(A12&lt;'Données projet'!$A$166,$DL$205^A12,IF(A12='Données projet'!$A$166,'Données projet'!$B$166,DO11+DN12-DW11)))</f>
        <v>4.0788385789249118</v>
      </c>
      <c r="DP12" s="17">
        <f>DO12*VLOOKUP('Données projet'!$B$14,Paramètres!$A$1:$I$89,3,0)*VLOOKUP('Données projet'!$B$14,Paramètres!$A$1:$I$89,5,0)</f>
        <v>4.1359423190298612</v>
      </c>
      <c r="DQ12" s="13">
        <f t="shared" si="43"/>
        <v>1.6156871447277057</v>
      </c>
      <c r="DR12" s="20">
        <f t="shared" si="16"/>
        <v>10.017421316044429</v>
      </c>
      <c r="DS12" s="59">
        <f t="shared" si="17"/>
        <v>277.68408798271111</v>
      </c>
      <c r="DT12" s="59">
        <f ca="1">AVERAGE(OFFSET($DS$3,0,0,'Données projet'!$E$14+1,1))-AVERAGE(OFFSET($H$3,0,0,'Données projet'!$E$14+1,1))</f>
        <v>778.88878505968955</v>
      </c>
      <c r="DU12" s="59">
        <f t="shared" si="44"/>
        <v>279.20782832611059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121</v>
      </c>
      <c r="L13" s="12">
        <f>VLOOKUP(A13,'Données projet'!$A$35:$I$55,9,0)</f>
        <v>17.600000000000001</v>
      </c>
      <c r="M13" s="12">
        <f t="array" ref="M13">INDEX(L:L,MIN(IF(ISNUMBER(L13:L209),ROW(L13:L209),"")))</f>
        <v>17.600000000000001</v>
      </c>
      <c r="N13" s="13">
        <f>IF('Données projet'!$A$36&gt;35,N12+M13-V12,IF(A13&lt;'Données projet'!$A$36,$K$205^A13,IF(A13='Données projet'!$A$36,'Données projet'!$B$36,N12+M13-V12)))</f>
        <v>121</v>
      </c>
      <c r="O13" s="13">
        <f>N13*VLOOKUP('Données projet'!$B$9,Paramètres!$A$1:$I$89,3,0)*VLOOKUP('Données projet'!$B$9,Paramètres!$A$1:$I$89,5,0)</f>
        <v>109.48079999999999</v>
      </c>
      <c r="P13" s="13">
        <f t="shared" si="33"/>
        <v>29.208623339903898</v>
      </c>
      <c r="Q13" s="20">
        <f t="shared" si="2"/>
        <v>241.5507456503326</v>
      </c>
      <c r="R13" s="59">
        <f t="shared" si="0"/>
        <v>510.43963453922146</v>
      </c>
      <c r="S13" s="59">
        <f ca="1">AVERAGE(OFFSET($R$3,0,0,'Données projet'!$E$9+1,1))-AVERAGE(OFFSET($H$3,0,0,'Données projet'!$E$9+1,1))</f>
        <v>436.4497226650281</v>
      </c>
      <c r="T13" s="59">
        <f t="shared" si="34"/>
        <v>611.43967996341871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37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380</v>
      </c>
      <c r="AG13" s="12">
        <f>VLOOKUP(A13,'Données projet'!$A$61:$I$81,9,0)</f>
        <v>55</v>
      </c>
      <c r="AH13" s="12">
        <f t="array" ref="AH13">INDEX(AG:AG,MIN(IF(ISNUMBER(AG13:AG209),ROW(AG13:AG209),"")))</f>
        <v>55</v>
      </c>
      <c r="AI13" s="13">
        <f>IF('Données projet'!$A$62&gt;35,AI12+AH13-AQ12,IF(A13&lt;'Données projet'!$A$62,$AF$205^A13,IF(A13='Données projet'!$A$62,'Données projet'!$B$62,AI12+AH13-AQ12)))</f>
        <v>380</v>
      </c>
      <c r="AJ13" s="13">
        <f>AI13*VLOOKUP('Données projet'!$B$10,Paramètres!$A$1:$I$89,3,0)*VLOOKUP('Données projet'!$B$10,Paramètres!$A$1:$I$89,5,0)</f>
        <v>331.96800000000002</v>
      </c>
      <c r="AK13" s="13">
        <f t="shared" si="35"/>
        <v>77.838182479570108</v>
      </c>
      <c r="AL13" s="20">
        <f t="shared" si="4"/>
        <v>713.74576781858457</v>
      </c>
      <c r="AM13" s="59">
        <f t="shared" si="5"/>
        <v>982.63465670747337</v>
      </c>
      <c r="AN13" s="59">
        <f ca="1">AVERAGE(OFFSET($AM$3,0,0,'Données projet'!$E$10+1,1))-AVERAGE(OFFSET($H$3,0,0,'Données projet'!$E$10+1,1))</f>
        <v>662.13838733542616</v>
      </c>
      <c r="AO13" s="59">
        <f t="shared" si="36"/>
        <v>1194.915361841041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6.6486666666666672</v>
      </c>
      <c r="BD13" s="12">
        <f>IF('Données projet'!$A$88&gt;35,BD12+BC13-BL12,IF(A13&lt;'Données projet'!$A$88,$BA$205^A13,IF(A13='Données projet'!$A$88,'Données projet'!$B$88,BD12+BC13-BL12)))</f>
        <v>5.8427675004700337</v>
      </c>
      <c r="BE13" s="13">
        <f>BD13*VLOOKUP('Données projet'!$B$11,Paramètres!$A$1:$I$89,3,0)*VLOOKUP('Données projet'!$B$11,Paramètres!$A$1:$I$89,5,0)</f>
        <v>2.734415190219976</v>
      </c>
      <c r="BF13" s="13">
        <f t="shared" si="37"/>
        <v>1.1208964660726617</v>
      </c>
      <c r="BG13" s="20">
        <f t="shared" si="7"/>
        <v>6.7146678013763434</v>
      </c>
      <c r="BH13" s="59">
        <f t="shared" si="8"/>
        <v>275.60355669026518</v>
      </c>
      <c r="BI13" s="59">
        <f ca="1">AVERAGE(OFFSET($BH$3,0,0,'Données projet'!$E$11+1,1))-AVERAGE(OFFSET($H$3,0,0,'Données projet'!$E$11+1,1))</f>
        <v>321.82962838167799</v>
      </c>
      <c r="BJ13" s="59">
        <f t="shared" si="38"/>
        <v>243.43396255104295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7.5454545454545459</v>
      </c>
      <c r="BY13" s="12">
        <f>IF('Données projet'!$A$114&gt;35,BY12+BX13-CG12,IF(A13&lt;'Données projet'!$A$114,$BV$205^A13,IF(A13='Données projet'!$A$114,'Données projet'!$B$114,BY12+BX13-CG12)))</f>
        <v>55.541352048391744</v>
      </c>
      <c r="BZ13" s="13">
        <f>BY13*VLOOKUP('Données projet'!$B$12,Paramètres!$A$1:$I$89,3,0)*VLOOKUP('Données projet'!$B$12,Paramètres!$A$1:$I$89,5,0)</f>
        <v>33.213728524938269</v>
      </c>
      <c r="CA13" s="13">
        <f t="shared" si="39"/>
        <v>10.180950459021789</v>
      </c>
      <c r="CB13" s="20">
        <f t="shared" si="10"/>
        <v>75.579065897063757</v>
      </c>
      <c r="CC13" s="59">
        <f t="shared" si="11"/>
        <v>344.4679547859526</v>
      </c>
      <c r="CD13" s="59">
        <f ca="1">AVERAGE(OFFSET($CC$3,0,0,'Données projet'!$E$12+1,1))-AVERAGE(OFFSET($H$3,0,0,'Données projet'!$E$12+1,1))</f>
        <v>187.80389738728508</v>
      </c>
      <c r="CE13" s="59">
        <f t="shared" si="40"/>
        <v>439.28159165815265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2.5115384616666665</v>
      </c>
      <c r="CT13" s="12">
        <f>IF('Données projet'!$A$140&gt;35,CT12+CS13-DB12,IF(A13&lt;'Données projet'!$A$140,$CQ$205^A13,IF(A13='Données projet'!$A$140,'Données projet'!$B$140,CT12+CS13-DB12)))</f>
        <v>4.2236413142231752</v>
      </c>
      <c r="CU13" s="17">
        <f>CT13*VLOOKUP('Données projet'!$B$13,Paramètres!$A$1:$I$89,3,0)*VLOOKUP('Données projet'!$B$13,Paramètres!$A$1:$I$89,5,0)</f>
        <v>4.8098827286373522</v>
      </c>
      <c r="CV13" s="13">
        <f t="shared" si="41"/>
        <v>1.846231252493274</v>
      </c>
      <c r="CW13" s="20">
        <f t="shared" si="13"/>
        <v>11.592731850469173</v>
      </c>
      <c r="CX13" s="59">
        <f t="shared" si="14"/>
        <v>280.48162073935805</v>
      </c>
      <c r="CY13" s="59">
        <f ca="1">AVERAGE(OFFSET($CX$3,0,0,'Données projet'!$E$13+1,1))-AVERAGE(OFFSET($H$3,0,0,'Données projet'!$E$13+1,1))</f>
        <v>770.11410336045037</v>
      </c>
      <c r="CZ13" s="59">
        <f t="shared" si="42"/>
        <v>227.12611049004596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3.6141025633333332</v>
      </c>
      <c r="DO13" s="12">
        <f>IF('Données projet'!$A$166&gt;35,DO12+DN13-DW12,IF(A13&lt;'Données projet'!$A$166,$DL$205^A13,IF(A13='Données projet'!$A$166,'Données projet'!$B$166,DO12+DN13-DW12)))</f>
        <v>4.7684135045962757</v>
      </c>
      <c r="DP13" s="17">
        <f>DO13*VLOOKUP('Données projet'!$B$14,Paramètres!$A$1:$I$89,3,0)*VLOOKUP('Données projet'!$B$14,Paramètres!$A$1:$I$89,5,0)</f>
        <v>4.8351712936606237</v>
      </c>
      <c r="DQ13" s="13">
        <f t="shared" si="43"/>
        <v>1.8548055559881711</v>
      </c>
      <c r="DR13" s="20">
        <f t="shared" si="16"/>
        <v>11.651709679804982</v>
      </c>
      <c r="DS13" s="59">
        <f t="shared" si="17"/>
        <v>280.54059856869384</v>
      </c>
      <c r="DT13" s="59">
        <f ca="1">AVERAGE(OFFSET($DS$3,0,0,'Données projet'!$E$14+1,1))-AVERAGE(OFFSET($H$3,0,0,'Données projet'!$E$14+1,1))</f>
        <v>778.88878505968955</v>
      </c>
      <c r="DU13" s="59">
        <f t="shared" si="44"/>
        <v>279.20782832611059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17.2</v>
      </c>
      <c r="N14" s="13">
        <f>IF('Données projet'!$A$36&gt;35,N13+M14-V13,IF(A14&lt;'Données projet'!$A$36,$K$205^A14,IF(A14='Données projet'!$A$36,'Données projet'!$B$36,N13+M14-V13)))</f>
        <v>101.19999999999999</v>
      </c>
      <c r="O14" s="13">
        <f>N14*VLOOKUP('Données projet'!$B$9,Paramètres!$A$1:$I$89,3,0)*VLOOKUP('Données projet'!$B$9,Paramètres!$A$1:$I$89,5,0)</f>
        <v>91.565759999999983</v>
      </c>
      <c r="P14" s="13">
        <f t="shared" si="33"/>
        <v>24.942468702082348</v>
      </c>
      <c r="Q14" s="20">
        <f t="shared" si="2"/>
        <v>202.9184983227934</v>
      </c>
      <c r="R14" s="59">
        <f t="shared" si="0"/>
        <v>473.02960943390451</v>
      </c>
      <c r="S14" s="59">
        <f ca="1">AVERAGE(OFFSET($R$3,0,0,'Données projet'!$E$9+1,1))-AVERAGE(OFFSET($H$3,0,0,'Données projet'!$E$9+1,1))</f>
        <v>436.4497226650281</v>
      </c>
      <c r="T14" s="59">
        <f t="shared" si="34"/>
        <v>611.43967996341871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430</v>
      </c>
      <c r="AG14" s="12">
        <f>VLOOKUP(A14,'Données projet'!$A$61:$I$81,9,0)</f>
        <v>50</v>
      </c>
      <c r="AH14" s="12">
        <f t="array" ref="AH14">INDEX(AG:AG,MIN(IF(ISNUMBER(AG14:AG210),ROW(AG14:AG210),"")))</f>
        <v>50</v>
      </c>
      <c r="AI14" s="13">
        <f>IF('Données projet'!$A$62&gt;35,AI13+AH14-AQ13,IF(A14&lt;'Données projet'!$A$62,$AF$205^A14,IF(A14='Données projet'!$A$62,'Données projet'!$B$62,AI13+AH14-AQ13)))</f>
        <v>430</v>
      </c>
      <c r="AJ14" s="13">
        <f>AI14*VLOOKUP('Données projet'!$B$10,Paramètres!$A$1:$I$89,3,0)*VLOOKUP('Données projet'!$B$10,Paramètres!$A$1:$I$89,5,0)</f>
        <v>375.64800000000002</v>
      </c>
      <c r="AK14" s="13">
        <f t="shared" si="35"/>
        <v>86.821768522835924</v>
      </c>
      <c r="AL14" s="20">
        <f t="shared" si="4"/>
        <v>805.46818017727253</v>
      </c>
      <c r="AM14" s="59">
        <f t="shared" si="5"/>
        <v>1075.5792912883837</v>
      </c>
      <c r="AN14" s="59">
        <f ca="1">AVERAGE(OFFSET($AM$3,0,0,'Données projet'!$E$10+1,1))-AVERAGE(OFFSET($H$3,0,0,'Données projet'!$E$10+1,1))</f>
        <v>662.13838733542616</v>
      </c>
      <c r="AO14" s="59">
        <f t="shared" si="36"/>
        <v>1194.915361841041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6.6486666666666672</v>
      </c>
      <c r="BD14" s="12">
        <f>IF('Données projet'!$A$88&gt;35,BD13+BC14-BL13,IF(A14&lt;'Données projet'!$A$88,$BA$205^A14,IF(A14='Données projet'!$A$88,'Données projet'!$B$88,BD13+BC14-BL13)))</f>
        <v>6.9707653762572566</v>
      </c>
      <c r="BE14" s="13">
        <f>BD14*VLOOKUP('Données projet'!$B$11,Paramètres!$A$1:$I$89,3,0)*VLOOKUP('Données projet'!$B$11,Paramètres!$A$1:$I$89,5,0)</f>
        <v>3.2623181960883958</v>
      </c>
      <c r="BF14" s="13">
        <f t="shared" si="37"/>
        <v>1.3100984109221749</v>
      </c>
      <c r="BG14" s="20">
        <f t="shared" si="7"/>
        <v>7.9636255905434084</v>
      </c>
      <c r="BH14" s="59">
        <f t="shared" si="8"/>
        <v>278.07473670165456</v>
      </c>
      <c r="BI14" s="59">
        <f ca="1">AVERAGE(OFFSET($BH$3,0,0,'Données projet'!$E$11+1,1))-AVERAGE(OFFSET($H$3,0,0,'Données projet'!$E$11+1,1))</f>
        <v>321.82962838167799</v>
      </c>
      <c r="BJ14" s="59">
        <f t="shared" si="38"/>
        <v>243.43396255104295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>
        <f>VLOOKUP(A14,'Données projet'!$A$113:$I$133,2,0)</f>
        <v>83</v>
      </c>
      <c r="BW14" s="12">
        <f>VLOOKUP(A14,'Données projet'!$A$113:$I$133,9,0)</f>
        <v>7.5454545454545459</v>
      </c>
      <c r="BX14" s="12">
        <f t="array" ref="BX14">INDEX(BW:BW,MIN(IF(ISNUMBER(BW14:BW210),ROW(BW14:BW210),"")))</f>
        <v>7.5454545454545459</v>
      </c>
      <c r="BY14" s="12">
        <f>IF('Données projet'!$A$114&gt;35,BY13+BX14-CG13,IF(A14&lt;'Données projet'!$A$114,$BV$205^A14,IF(A14='Données projet'!$A$114,'Données projet'!$B$114,BY13+BX14-CG13)))</f>
        <v>83</v>
      </c>
      <c r="BZ14" s="13">
        <f>BY14*VLOOKUP('Données projet'!$B$12,Paramètres!$A$1:$I$89,3,0)*VLOOKUP('Données projet'!$B$12,Paramètres!$A$1:$I$89,5,0)</f>
        <v>49.634</v>
      </c>
      <c r="CA14" s="13">
        <f t="shared" si="39"/>
        <v>14.519198189037462</v>
      </c>
      <c r="CB14" s="20">
        <f t="shared" si="10"/>
        <v>111.73348684590691</v>
      </c>
      <c r="CC14" s="59">
        <f t="shared" si="11"/>
        <v>381.84459795701804</v>
      </c>
      <c r="CD14" s="59">
        <f ca="1">AVERAGE(OFFSET($CC$3,0,0,'Données projet'!$E$12+1,1))-AVERAGE(OFFSET($H$3,0,0,'Données projet'!$E$12+1,1))</f>
        <v>187.80389738728508</v>
      </c>
      <c r="CE14" s="59">
        <f t="shared" si="40"/>
        <v>439.28159165815265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2.5115384616666665</v>
      </c>
      <c r="CT14" s="12">
        <f>IF('Données projet'!$A$140&gt;35,CT13+CS14-DB13,IF(A14&lt;'Données projet'!$A$140,$CQ$205^A14,IF(A14='Données projet'!$A$140,'Données projet'!$B$140,CT13+CS14-DB13)))</f>
        <v>4.8781565352394285</v>
      </c>
      <c r="CU14" s="17">
        <f>CT14*VLOOKUP('Données projet'!$B$13,Paramètres!$A$1:$I$89,3,0)*VLOOKUP('Données projet'!$B$13,Paramètres!$A$1:$I$89,5,0)</f>
        <v>5.5552446623306606</v>
      </c>
      <c r="CV14" s="13">
        <f t="shared" si="41"/>
        <v>2.0968714385759291</v>
      </c>
      <c r="CW14" s="20">
        <f t="shared" si="13"/>
        <v>13.327435542412308</v>
      </c>
      <c r="CX14" s="59">
        <f t="shared" si="14"/>
        <v>283.43854665352347</v>
      </c>
      <c r="CY14" s="59">
        <f ca="1">AVERAGE(OFFSET($CX$3,0,0,'Données projet'!$E$13+1,1))-AVERAGE(OFFSET($H$3,0,0,'Données projet'!$E$13+1,1))</f>
        <v>770.11410336045037</v>
      </c>
      <c r="CZ14" s="59">
        <f t="shared" si="42"/>
        <v>227.12611049004596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3.6141025633333332</v>
      </c>
      <c r="DO14" s="12">
        <f>IF('Données projet'!$A$166&gt;35,DO13+DN14-DW13,IF(A14&lt;'Données projet'!$A$166,$DL$205^A14,IF(A14='Données projet'!$A$166,'Données projet'!$B$166,DO13+DN14-DW13)))</f>
        <v>5.5745690619630484</v>
      </c>
      <c r="DP14" s="17">
        <f>DO14*VLOOKUP('Données projet'!$B$14,Paramètres!$A$1:$I$89,3,0)*VLOOKUP('Données projet'!$B$14,Paramètres!$A$1:$I$89,5,0)</f>
        <v>5.6526130288305314</v>
      </c>
      <c r="DQ14" s="13">
        <f t="shared" si="43"/>
        <v>2.1293130057703027</v>
      </c>
      <c r="DR14" s="20">
        <f t="shared" si="16"/>
        <v>13.553521176929786</v>
      </c>
      <c r="DS14" s="59">
        <f t="shared" si="17"/>
        <v>283.66463228804093</v>
      </c>
      <c r="DT14" s="59">
        <f ca="1">AVERAGE(OFFSET($DS$3,0,0,'Données projet'!$E$14+1,1))-AVERAGE(OFFSET($H$3,0,0,'Données projet'!$E$14+1,1))</f>
        <v>778.88878505968955</v>
      </c>
      <c r="DU14" s="59">
        <f t="shared" si="44"/>
        <v>279.20782832611059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17.2</v>
      </c>
      <c r="N15" s="13">
        <f>IF('Données projet'!$A$36&gt;35,N14+M15-V14,IF(A15&lt;'Données projet'!$A$36,$K$205^A15,IF(A15='Données projet'!$A$36,'Données projet'!$B$36,N14+M15-V14)))</f>
        <v>118.39999999999999</v>
      </c>
      <c r="O15" s="13">
        <f>N15*VLOOKUP('Données projet'!$B$9,Paramètres!$A$1:$I$89,3,0)*VLOOKUP('Données projet'!$B$9,Paramètres!$A$1:$I$89,5,0)</f>
        <v>107.12832</v>
      </c>
      <c r="P15" s="13">
        <f t="shared" si="33"/>
        <v>28.653356241593332</v>
      </c>
      <c r="Q15" s="20">
        <f t="shared" si="2"/>
        <v>236.48641945410841</v>
      </c>
      <c r="R15" s="59">
        <f t="shared" si="0"/>
        <v>507.81975278744176</v>
      </c>
      <c r="S15" s="59">
        <f ca="1">AVERAGE(OFFSET($R$3,0,0,'Données projet'!$E$9+1,1))-AVERAGE(OFFSET($H$3,0,0,'Données projet'!$E$9+1,1))</f>
        <v>436.4497226650281</v>
      </c>
      <c r="T15" s="59">
        <f t="shared" si="34"/>
        <v>611.43967996341871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480</v>
      </c>
      <c r="AG15" s="12">
        <f>VLOOKUP(A15,'Données projet'!$A$61:$I$81,9,0)</f>
        <v>50</v>
      </c>
      <c r="AH15" s="12">
        <f t="array" ref="AH15">INDEX(AG:AG,MIN(IF(ISNUMBER(AG15:AG211),ROW(AG15:AG211),"")))</f>
        <v>50</v>
      </c>
      <c r="AI15" s="13">
        <f>IF('Données projet'!$A$62&gt;35,AI14+AH15-AQ14,IF(A15&lt;'Données projet'!$A$62,$AF$205^A15,IF(A15='Données projet'!$A$62,'Données projet'!$B$62,AI14+AH15-AQ14)))</f>
        <v>480</v>
      </c>
      <c r="AJ15" s="13">
        <f>AI15*VLOOKUP('Données projet'!$B$10,Paramètres!$A$1:$I$89,3,0)*VLOOKUP('Données projet'!$B$10,Paramètres!$A$1:$I$89,5,0)</f>
        <v>419.32800000000003</v>
      </c>
      <c r="AK15" s="13">
        <f t="shared" si="35"/>
        <v>95.68429425940235</v>
      </c>
      <c r="AL15" s="20">
        <f t="shared" si="4"/>
        <v>896.97974583512553</v>
      </c>
      <c r="AM15" s="59">
        <f t="shared" si="5"/>
        <v>1168.3130791684589</v>
      </c>
      <c r="AN15" s="59">
        <f ca="1">AVERAGE(OFFSET($AM$3,0,0,'Données projet'!$E$10+1,1))-AVERAGE(OFFSET($H$3,0,0,'Données projet'!$E$10+1,1))</f>
        <v>662.13838733542616</v>
      </c>
      <c r="AO15" s="59">
        <f t="shared" si="36"/>
        <v>1194.915361841041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6.6486666666666672</v>
      </c>
      <c r="BD15" s="12">
        <f>IF('Données projet'!$A$88&gt;35,BD14+BC15-BL14,IF(A15&lt;'Données projet'!$A$88,$BA$205^A15,IF(A15='Données projet'!$A$88,'Données projet'!$B$88,BD14+BC15-BL14)))</f>
        <v>8.316533205697116</v>
      </c>
      <c r="BE15" s="13">
        <f>BD15*VLOOKUP('Données projet'!$B$11,Paramètres!$A$1:$I$89,3,0)*VLOOKUP('Données projet'!$B$11,Paramètres!$A$1:$I$89,5,0)</f>
        <v>3.8921375402662504</v>
      </c>
      <c r="BF15" s="13">
        <f t="shared" si="37"/>
        <v>1.5312367361764403</v>
      </c>
      <c r="BG15" s="20">
        <f t="shared" si="7"/>
        <v>9.4457101981376859</v>
      </c>
      <c r="BH15" s="59">
        <f t="shared" si="8"/>
        <v>280.77904353147102</v>
      </c>
      <c r="BI15" s="59">
        <f ca="1">AVERAGE(OFFSET($BH$3,0,0,'Données projet'!$E$11+1,1))-AVERAGE(OFFSET($H$3,0,0,'Données projet'!$E$11+1,1))</f>
        <v>321.82962838167799</v>
      </c>
      <c r="BJ15" s="59">
        <f t="shared" si="38"/>
        <v>243.43396255104295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106</v>
      </c>
      <c r="BW15" s="12">
        <f>VLOOKUP(A15,'Données projet'!$A$113:$I$133,9,0)</f>
        <v>23</v>
      </c>
      <c r="BX15" s="12">
        <f t="array" ref="BX15">INDEX(BW:BW,MIN(IF(ISNUMBER(BW15:BW211),ROW(BW15:BW211),"")))</f>
        <v>23</v>
      </c>
      <c r="BY15" s="12">
        <f>IF('Données projet'!$A$114&gt;35,BY14+BX15-CG14,IF(A15&lt;'Données projet'!$A$114,$BV$205^A15,IF(A15='Données projet'!$A$114,'Données projet'!$B$114,BY14+BX15-CG14)))</f>
        <v>106</v>
      </c>
      <c r="BZ15" s="13">
        <f>BY15*VLOOKUP('Données projet'!$B$12,Paramètres!$A$1:$I$89,3,0)*VLOOKUP('Données projet'!$B$12,Paramètres!$A$1:$I$89,5,0)</f>
        <v>63.388000000000012</v>
      </c>
      <c r="CA15" s="13">
        <f t="shared" si="39"/>
        <v>18.022104085041263</v>
      </c>
      <c r="CB15" s="20">
        <f t="shared" si="10"/>
        <v>141.78926461478019</v>
      </c>
      <c r="CC15" s="59">
        <f t="shared" si="11"/>
        <v>413.12259794811348</v>
      </c>
      <c r="CD15" s="59">
        <f ca="1">AVERAGE(OFFSET($CC$3,0,0,'Données projet'!$E$12+1,1))-AVERAGE(OFFSET($H$3,0,0,'Données projet'!$E$12+1,1))</f>
        <v>187.80389738728508</v>
      </c>
      <c r="CE15" s="59">
        <f t="shared" si="40"/>
        <v>439.28159165815265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34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1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23.020547073308105</v>
      </c>
      <c r="CN15" s="22">
        <f t="shared" si="12"/>
        <v>23.020547073308105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2.5115384616666665</v>
      </c>
      <c r="CT15" s="12">
        <f>IF('Données projet'!$A$140&gt;35,CT14+CS15-DB14,IF(A15&lt;'Données projet'!$A$140,$CQ$205^A15,IF(A15='Données projet'!$A$140,'Données projet'!$B$140,CT14+CS15-DB14)))</f>
        <v>5.6340984974657715</v>
      </c>
      <c r="CU15" s="17">
        <f>CT15*VLOOKUP('Données projet'!$B$13,Paramètres!$A$1:$I$89,3,0)*VLOOKUP('Données projet'!$B$13,Paramètres!$A$1:$I$89,5,0)</f>
        <v>6.4161113689140201</v>
      </c>
      <c r="CV15" s="13">
        <f t="shared" si="41"/>
        <v>2.381537970380287</v>
      </c>
      <c r="CW15" s="20">
        <f t="shared" si="13"/>
        <v>15.322572599270915</v>
      </c>
      <c r="CX15" s="59">
        <f t="shared" si="14"/>
        <v>286.65590593260424</v>
      </c>
      <c r="CY15" s="59">
        <f ca="1">AVERAGE(OFFSET($CX$3,0,0,'Données projet'!$E$13+1,1))-AVERAGE(OFFSET($H$3,0,0,'Données projet'!$E$13+1,1))</f>
        <v>770.11410336045037</v>
      </c>
      <c r="CZ15" s="59">
        <f t="shared" si="42"/>
        <v>227.12611049004596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3.6141025633333332</v>
      </c>
      <c r="DO15" s="12">
        <f>IF('Données projet'!$A$166&gt;35,DO14+DN15-DW14,IF(A15&lt;'Données projet'!$A$166,$DL$205^A15,IF(A15='Données projet'!$A$166,'Données projet'!$B$166,DO14+DN15-DW14)))</f>
        <v>6.5170145577017573</v>
      </c>
      <c r="DP15" s="17">
        <f>DO15*VLOOKUP('Données projet'!$B$14,Paramètres!$A$1:$I$89,3,0)*VLOOKUP('Données projet'!$B$14,Paramètres!$A$1:$I$89,5,0)</f>
        <v>6.6082527615095827</v>
      </c>
      <c r="DQ15" s="13">
        <f t="shared" si="43"/>
        <v>2.4444469997972531</v>
      </c>
      <c r="DR15" s="20">
        <f t="shared" si="16"/>
        <v>15.766785417609405</v>
      </c>
      <c r="DS15" s="59">
        <f t="shared" si="17"/>
        <v>287.10011875094273</v>
      </c>
      <c r="DT15" s="59">
        <f ca="1">AVERAGE(OFFSET($DS$3,0,0,'Données projet'!$E$14+1,1))-AVERAGE(OFFSET($H$3,0,0,'Données projet'!$E$14+1,1))</f>
        <v>778.88878505968955</v>
      </c>
      <c r="DU15" s="59">
        <f t="shared" si="44"/>
        <v>279.20782832611059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17.2</v>
      </c>
      <c r="N16" s="13">
        <f>IF('Données projet'!$A$36&gt;35,N15+M16-V15,IF(A16&lt;'Données projet'!$A$36,$K$205^A16,IF(A16='Données projet'!$A$36,'Données projet'!$B$36,N15+M16-V15)))</f>
        <v>135.6</v>
      </c>
      <c r="O16" s="13">
        <f>N16*VLOOKUP('Données projet'!$B$9,Paramètres!$A$1:$I$89,3,0)*VLOOKUP('Données projet'!$B$9,Paramètres!$A$1:$I$89,5,0)</f>
        <v>122.69087999999999</v>
      </c>
      <c r="P16" s="13">
        <f t="shared" si="33"/>
        <v>32.301790548935521</v>
      </c>
      <c r="Q16" s="20">
        <f t="shared" si="2"/>
        <v>269.94556787272933</v>
      </c>
      <c r="R16" s="59">
        <f t="shared" si="0"/>
        <v>542.50112342828493</v>
      </c>
      <c r="S16" s="59">
        <f ca="1">AVERAGE(OFFSET($R$3,0,0,'Données projet'!$E$9+1,1))-AVERAGE(OFFSET($H$3,0,0,'Données projet'!$E$9+1,1))</f>
        <v>436.4497226650281</v>
      </c>
      <c r="T16" s="59">
        <f t="shared" si="34"/>
        <v>611.43967996341871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512</v>
      </c>
      <c r="AG16" s="12">
        <f>VLOOKUP(A16,'Données projet'!$A$61:$I$81,9,0)</f>
        <v>32</v>
      </c>
      <c r="AH16" s="12">
        <f t="array" ref="AH16">INDEX(AG:AG,MIN(IF(ISNUMBER(AG16:AG212),ROW(AG16:AG212),"")))</f>
        <v>32</v>
      </c>
      <c r="AI16" s="13">
        <f>IF('Données projet'!$A$62&gt;35,AI15+AH16-AQ15,IF(A16&lt;'Données projet'!$A$62,$AF$205^A16,IF(A16='Données projet'!$A$62,'Données projet'!$B$62,AI15+AH16-AQ15)))</f>
        <v>512</v>
      </c>
      <c r="AJ16" s="13">
        <f>AI16*VLOOKUP('Données projet'!$B$10,Paramètres!$A$1:$I$89,3,0)*VLOOKUP('Données projet'!$B$10,Paramètres!$A$1:$I$89,5,0)</f>
        <v>447.28320000000008</v>
      </c>
      <c r="AK16" s="13">
        <f t="shared" si="35"/>
        <v>101.2993918666628</v>
      </c>
      <c r="AL16" s="20">
        <f t="shared" si="4"/>
        <v>955.44801416777102</v>
      </c>
      <c r="AM16" s="59">
        <f t="shared" si="5"/>
        <v>1228.0035697233266</v>
      </c>
      <c r="AN16" s="59">
        <f ca="1">AVERAGE(OFFSET($AM$3,0,0,'Données projet'!$E$10+1,1))-AVERAGE(OFFSET($H$3,0,0,'Données projet'!$E$10+1,1))</f>
        <v>662.13838733542616</v>
      </c>
      <c r="AO16" s="59">
        <f t="shared" si="36"/>
        <v>1194.915361841041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6.6486666666666672</v>
      </c>
      <c r="BD16" s="12">
        <f>IF('Données projet'!$A$88&gt;35,BD15+BC16-BL15,IF(A16&lt;'Données projet'!$A$88,$BA$205^A16,IF(A16='Données projet'!$A$88,'Données projet'!$B$88,BD15+BC16-BL15)))</f>
        <v>9.9221134019287103</v>
      </c>
      <c r="BE16" s="13">
        <f>BD16*VLOOKUP('Données projet'!$B$11,Paramètres!$A$1:$I$89,3,0)*VLOOKUP('Données projet'!$B$11,Paramètres!$A$1:$I$89,5,0)</f>
        <v>4.6435490721026369</v>
      </c>
      <c r="BF16" s="13">
        <f t="shared" si="37"/>
        <v>1.7897021496010046</v>
      </c>
      <c r="BG16" s="20">
        <f t="shared" si="7"/>
        <v>11.204579211133842</v>
      </c>
      <c r="BH16" s="59">
        <f t="shared" si="8"/>
        <v>283.76013476668936</v>
      </c>
      <c r="BI16" s="59">
        <f ca="1">AVERAGE(OFFSET($BH$3,0,0,'Données projet'!$E$11+1,1))-AVERAGE(OFFSET($H$3,0,0,'Données projet'!$E$11+1,1))</f>
        <v>321.82962838167799</v>
      </c>
      <c r="BJ16" s="59">
        <f t="shared" si="38"/>
        <v>243.43396255104295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89</v>
      </c>
      <c r="BW16" s="12">
        <f>VLOOKUP(A16,'Données projet'!$A$113:$I$133,9,0)</f>
        <v>17</v>
      </c>
      <c r="BX16" s="12">
        <f t="array" ref="BX16">INDEX(BW:BW,MIN(IF(ISNUMBER(BW16:BW212),ROW(BW16:BW212),"")))</f>
        <v>17</v>
      </c>
      <c r="BY16" s="12">
        <f>IF('Données projet'!$A$114&gt;35,BY15+BX16-CG15,IF(A16&lt;'Données projet'!$A$114,$BV$205^A16,IF(A16='Données projet'!$A$114,'Données projet'!$B$114,BY15+BX16-CG15)))</f>
        <v>89</v>
      </c>
      <c r="BZ16" s="13">
        <f>BY16*VLOOKUP('Données projet'!$B$12,Paramètres!$A$1:$I$89,3,0)*VLOOKUP('Données projet'!$B$12,Paramètres!$A$1:$I$89,5,0)</f>
        <v>53.222000000000008</v>
      </c>
      <c r="CA16" s="13">
        <f t="shared" si="39"/>
        <v>15.442806897867877</v>
      </c>
      <c r="CB16" s="20">
        <f t="shared" si="10"/>
        <v>119.59120534711991</v>
      </c>
      <c r="CC16" s="59">
        <f t="shared" si="11"/>
        <v>392.14676090267545</v>
      </c>
      <c r="CD16" s="59">
        <f ca="1">AVERAGE(OFFSET($CC$3,0,0,'Données projet'!$E$12+1,1))-AVERAGE(OFFSET($H$3,0,0,'Données projet'!$E$12+1,1))</f>
        <v>187.80389738728508</v>
      </c>
      <c r="CE16" s="59">
        <f t="shared" si="40"/>
        <v>439.28159165815265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16.277984942160291</v>
      </c>
      <c r="CN16" s="22">
        <f t="shared" si="12"/>
        <v>16.277984942160291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2.5115384616666665</v>
      </c>
      <c r="CT16" s="12">
        <f>IF('Données projet'!$A$140&gt;35,CT15+CS16-DB15,IF(A16&lt;'Données projet'!$A$140,$CQ$205^A16,IF(A16='Données projet'!$A$140,'Données projet'!$B$140,CT15+CS16-DB15)))</f>
        <v>6.5071847633089641</v>
      </c>
      <c r="CU16" s="17">
        <f>CT16*VLOOKUP('Données projet'!$B$13,Paramètres!$A$1:$I$89,3,0)*VLOOKUP('Données projet'!$B$13,Paramètres!$A$1:$I$89,5,0)</f>
        <v>7.4103820084562493</v>
      </c>
      <c r="CV16" s="13">
        <f t="shared" si="41"/>
        <v>2.704850187770671</v>
      </c>
      <c r="CW16" s="20">
        <f t="shared" si="13"/>
        <v>17.617362741761884</v>
      </c>
      <c r="CX16" s="59">
        <f t="shared" si="14"/>
        <v>290.17291829731744</v>
      </c>
      <c r="CY16" s="59">
        <f ca="1">AVERAGE(OFFSET($CX$3,0,0,'Données projet'!$E$13+1,1))-AVERAGE(OFFSET($H$3,0,0,'Données projet'!$E$13+1,1))</f>
        <v>770.11410336045037</v>
      </c>
      <c r="CZ16" s="59">
        <f t="shared" si="42"/>
        <v>227.12611049004596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3.6141025633333332</v>
      </c>
      <c r="DO16" s="12">
        <f>IF('Données projet'!$A$166&gt;35,DO15+DN16-DW15,IF(A16&lt;'Données projet'!$A$166,$DL$205^A16,IF(A16='Données projet'!$A$166,'Données projet'!$B$166,DO15+DN16-DW15)))</f>
        <v>7.6187913851659363</v>
      </c>
      <c r="DP16" s="17">
        <f>DO16*VLOOKUP('Données projet'!$B$14,Paramètres!$A$1:$I$89,3,0)*VLOOKUP('Données projet'!$B$14,Paramètres!$A$1:$I$89,5,0)</f>
        <v>7.7254544645582595</v>
      </c>
      <c r="DQ16" s="13">
        <f t="shared" si="43"/>
        <v>2.8062201839865959</v>
      </c>
      <c r="DR16" s="20">
        <f t="shared" si="16"/>
        <v>18.342666679548959</v>
      </c>
      <c r="DS16" s="59">
        <f t="shared" si="17"/>
        <v>290.89822223510453</v>
      </c>
      <c r="DT16" s="59">
        <f ca="1">AVERAGE(OFFSET($DS$3,0,0,'Données projet'!$E$14+1,1))-AVERAGE(OFFSET($H$3,0,0,'Données projet'!$E$14+1,1))</f>
        <v>778.88878505968955</v>
      </c>
      <c r="DU16" s="59">
        <f t="shared" si="44"/>
        <v>279.20782832611059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17.2</v>
      </c>
      <c r="N17" s="13">
        <f>IF('Données projet'!$A$36&gt;35,N16+M17-V16,IF(A17&lt;'Données projet'!$A$36,$K$205^A17,IF(A17='Données projet'!$A$36,'Données projet'!$B$36,N16+M17-V16)))</f>
        <v>152.79999999999998</v>
      </c>
      <c r="O17" s="13">
        <f>N17*VLOOKUP('Données projet'!$B$9,Paramètres!$A$1:$I$89,3,0)*VLOOKUP('Données projet'!$B$9,Paramètres!$A$1:$I$89,5,0)</f>
        <v>138.25343999999998</v>
      </c>
      <c r="P17" s="13">
        <f t="shared" si="33"/>
        <v>35.896601257774428</v>
      </c>
      <c r="Q17" s="20">
        <f t="shared" si="2"/>
        <v>303.31132185729041</v>
      </c>
      <c r="R17" s="59">
        <f t="shared" si="0"/>
        <v>577.08909963506812</v>
      </c>
      <c r="S17" s="59">
        <f ca="1">AVERAGE(OFFSET($R$3,0,0,'Données projet'!$E$9+1,1))-AVERAGE(OFFSET($H$3,0,0,'Données projet'!$E$9+1,1))</f>
        <v>436.4497226650281</v>
      </c>
      <c r="T17" s="59">
        <f t="shared" si="34"/>
        <v>611.43967996341871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545</v>
      </c>
      <c r="AG17" s="12">
        <f>VLOOKUP(A17,'Données projet'!$A$61:$I$81,9,0)</f>
        <v>33</v>
      </c>
      <c r="AH17" s="12">
        <f t="array" ref="AH17">INDEX(AG:AG,MIN(IF(ISNUMBER(AG17:AG213),ROW(AG17:AG213),"")))</f>
        <v>33</v>
      </c>
      <c r="AI17" s="13">
        <f>IF('Données projet'!$A$62&gt;35,AI16+AH17-AQ16,IF(A17&lt;'Données projet'!$A$62,$AF$205^A17,IF(A17='Données projet'!$A$62,'Données projet'!$B$62,AI16+AH17-AQ16)))</f>
        <v>545</v>
      </c>
      <c r="AJ17" s="13">
        <f>AI17*VLOOKUP('Données projet'!$B$10,Paramètres!$A$1:$I$89,3,0)*VLOOKUP('Données projet'!$B$10,Paramètres!$A$1:$I$89,5,0)</f>
        <v>476.11200000000008</v>
      </c>
      <c r="AK17" s="13">
        <f t="shared" si="35"/>
        <v>107.0473326030677</v>
      </c>
      <c r="AL17" s="20">
        <f t="shared" si="4"/>
        <v>1015.6691709503431</v>
      </c>
      <c r="AM17" s="59">
        <f t="shared" si="5"/>
        <v>1289.4469487281208</v>
      </c>
      <c r="AN17" s="59">
        <f ca="1">AVERAGE(OFFSET($AM$3,0,0,'Données projet'!$E$10+1,1))-AVERAGE(OFFSET($H$3,0,0,'Données projet'!$E$10+1,1))</f>
        <v>662.13838733542616</v>
      </c>
      <c r="AO17" s="59">
        <f t="shared" si="36"/>
        <v>1194.915361841041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6.6486666666666672</v>
      </c>
      <c r="BD17" s="12">
        <f>IF('Données projet'!$A$88&gt;35,BD16+BC17-BL16,IF(A17&lt;'Données projet'!$A$88,$BA$205^A17,IF(A17='Données projet'!$A$88,'Données projet'!$B$88,BD16+BC17-BL16)))</f>
        <v>11.837665037312995</v>
      </c>
      <c r="BE17" s="13">
        <f>BD17*VLOOKUP('Données projet'!$B$11,Paramètres!$A$1:$I$89,3,0)*VLOOKUP('Données projet'!$B$11,Paramètres!$A$1:$I$89,5,0)</f>
        <v>5.5400272374624819</v>
      </c>
      <c r="BF17" s="13">
        <f t="shared" si="37"/>
        <v>2.0917952845649208</v>
      </c>
      <c r="BG17" s="20">
        <f t="shared" si="7"/>
        <v>13.292090892531059</v>
      </c>
      <c r="BH17" s="59">
        <f t="shared" si="8"/>
        <v>287.06986867030884</v>
      </c>
      <c r="BI17" s="59">
        <f ca="1">AVERAGE(OFFSET($BH$3,0,0,'Données projet'!$E$11+1,1))-AVERAGE(OFFSET($H$3,0,0,'Données projet'!$E$11+1,1))</f>
        <v>321.82962838167799</v>
      </c>
      <c r="BJ17" s="59">
        <f t="shared" si="38"/>
        <v>243.43396255104295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110</v>
      </c>
      <c r="BW17" s="12">
        <f>VLOOKUP(A17,'Données projet'!$A$113:$I$133,9,0)</f>
        <v>21</v>
      </c>
      <c r="BX17" s="12">
        <f t="array" ref="BX17">INDEX(BW:BW,MIN(IF(ISNUMBER(BW17:BW213),ROW(BW17:BW213),"")))</f>
        <v>21</v>
      </c>
      <c r="BY17" s="12">
        <f>IF('Données projet'!$A$114&gt;35,BY16+BX17-CG16,IF(A17&lt;'Données projet'!$A$114,$BV$205^A17,IF(A17='Données projet'!$A$114,'Données projet'!$B$114,BY16+BX17-CG16)))</f>
        <v>110</v>
      </c>
      <c r="BZ17" s="13">
        <f>BY17*VLOOKUP('Données projet'!$B$12,Paramètres!$A$1:$I$89,3,0)*VLOOKUP('Données projet'!$B$12,Paramètres!$A$1:$I$89,5,0)</f>
        <v>65.78</v>
      </c>
      <c r="CA17" s="13">
        <f t="shared" si="39"/>
        <v>18.621720661480644</v>
      </c>
      <c r="CB17" s="20">
        <f t="shared" si="10"/>
        <v>146.99966348541213</v>
      </c>
      <c r="CC17" s="59">
        <f t="shared" si="11"/>
        <v>420.77744126318987</v>
      </c>
      <c r="CD17" s="59">
        <f ca="1">AVERAGE(OFFSET($CC$3,0,0,'Données projet'!$E$12+1,1))-AVERAGE(OFFSET($H$3,0,0,'Données projet'!$E$12+1,1))</f>
        <v>187.80389738728508</v>
      </c>
      <c r="CE17" s="59">
        <f t="shared" si="40"/>
        <v>439.28159165815265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11.510273536654053</v>
      </c>
      <c r="CN17" s="22">
        <f t="shared" si="12"/>
        <v>11.510273536654053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2.5115384616666665</v>
      </c>
      <c r="CT17" s="12">
        <f>IF('Données projet'!$A$140&gt;35,CT16+CS17-DB16,IF(A17&lt;'Données projet'!$A$140,$CQ$205^A17,IF(A17='Données projet'!$A$140,'Données projet'!$B$140,CT16+CS17-DB16)))</f>
        <v>7.5155685621908308</v>
      </c>
      <c r="CU17" s="17">
        <f>CT17*VLOOKUP('Données projet'!$B$13,Paramètres!$A$1:$I$89,3,0)*VLOOKUP('Données projet'!$B$13,Paramètres!$A$1:$I$89,5,0)</f>
        <v>8.5587294786229187</v>
      </c>
      <c r="CV17" s="13">
        <f t="shared" si="41"/>
        <v>3.0720545417609992</v>
      </c>
      <c r="CW17" s="20">
        <f t="shared" si="13"/>
        <v>20.256948835501987</v>
      </c>
      <c r="CX17" s="59">
        <f t="shared" si="14"/>
        <v>294.03472661327976</v>
      </c>
      <c r="CY17" s="59">
        <f ca="1">AVERAGE(OFFSET($CX$3,0,0,'Données projet'!$E$13+1,1))-AVERAGE(OFFSET($H$3,0,0,'Données projet'!$E$13+1,1))</f>
        <v>770.11410336045037</v>
      </c>
      <c r="CZ17" s="59">
        <f t="shared" si="42"/>
        <v>227.12611049004596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3.6141025633333332</v>
      </c>
      <c r="DO17" s="12">
        <f>IF('Données projet'!$A$166&gt;35,DO16+DN17-DW16,IF(A17&lt;'Données projet'!$A$166,$DL$205^A17,IF(A17='Données projet'!$A$166,'Données projet'!$B$166,DO16+DN17-DW16)))</f>
        <v>8.9068363522497265</v>
      </c>
      <c r="DP17" s="17">
        <f>DO17*VLOOKUP('Données projet'!$B$14,Paramètres!$A$1:$I$89,3,0)*VLOOKUP('Données projet'!$B$14,Paramètres!$A$1:$I$89,5,0)</f>
        <v>9.031532061181224</v>
      </c>
      <c r="DQ17" s="13">
        <f t="shared" si="43"/>
        <v>3.2215350636225395</v>
      </c>
      <c r="DR17" s="20">
        <f t="shared" si="16"/>
        <v>21.340758575699883</v>
      </c>
      <c r="DS17" s="59">
        <f t="shared" si="17"/>
        <v>295.11853635347768</v>
      </c>
      <c r="DT17" s="59">
        <f ca="1">AVERAGE(OFFSET($DS$3,0,0,'Données projet'!$E$14+1,1))-AVERAGE(OFFSET($H$3,0,0,'Données projet'!$E$14+1,1))</f>
        <v>778.88878505968955</v>
      </c>
      <c r="DU17" s="59">
        <f t="shared" si="44"/>
        <v>279.20782832611059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170</v>
      </c>
      <c r="L18" s="12">
        <f>VLOOKUP(A18,'Données projet'!$A$35:$I$55,9,0)</f>
        <v>17.2</v>
      </c>
      <c r="M18" s="12">
        <f t="array" ref="M18">INDEX(L:L,MIN(IF(ISNUMBER(L18:L214),ROW(L18:L214),"")))</f>
        <v>17.2</v>
      </c>
      <c r="N18" s="13">
        <f>IF('Données projet'!$A$36&gt;35,N17+M18-V17,IF(A18&lt;'Données projet'!$A$36,$K$205^A18,IF(A18='Données projet'!$A$36,'Données projet'!$B$36,N17+M18-V17)))</f>
        <v>169.99999999999997</v>
      </c>
      <c r="O18" s="13">
        <f>N18*VLOOKUP('Données projet'!$B$9,Paramètres!$A$1:$I$89,3,0)*VLOOKUP('Données projet'!$B$9,Paramètres!$A$1:$I$89,5,0)</f>
        <v>153.81599999999997</v>
      </c>
      <c r="P18" s="13">
        <f t="shared" si="33"/>
        <v>39.444513325737063</v>
      </c>
      <c r="Q18" s="20">
        <f t="shared" si="2"/>
        <v>336.59539404232532</v>
      </c>
      <c r="R18" s="59">
        <f t="shared" si="0"/>
        <v>611.59539404232532</v>
      </c>
      <c r="S18" s="59">
        <f ca="1">AVERAGE(OFFSET($R$3,0,0,'Données projet'!$E$9+1,1))-AVERAGE(OFFSET($H$3,0,0,'Données projet'!$E$9+1,1))</f>
        <v>436.4497226650281</v>
      </c>
      <c r="T18" s="59">
        <f t="shared" si="34"/>
        <v>611.43967996341871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29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566</v>
      </c>
      <c r="AG18" s="12">
        <f>VLOOKUP(A18,'Données projet'!$A$61:$I$81,9,0)</f>
        <v>21</v>
      </c>
      <c r="AH18" s="12">
        <f t="array" ref="AH18">INDEX(AG:AG,MIN(IF(ISNUMBER(AG18:AG214),ROW(AG18:AG214),"")))</f>
        <v>21</v>
      </c>
      <c r="AI18" s="13">
        <f>IF('Données projet'!$A$62&gt;35,AI17+AH18-AQ17,IF(A18&lt;'Données projet'!$A$62,$AF$205^A18,IF(A18='Données projet'!$A$62,'Données projet'!$B$62,AI17+AH18-AQ17)))</f>
        <v>566</v>
      </c>
      <c r="AJ18" s="13">
        <f>AI18*VLOOKUP('Données projet'!$B$10,Paramètres!$A$1:$I$89,3,0)*VLOOKUP('Données projet'!$B$10,Paramètres!$A$1:$I$89,5,0)</f>
        <v>494.45760000000007</v>
      </c>
      <c r="AK18" s="13">
        <f t="shared" si="35"/>
        <v>110.68391170427539</v>
      </c>
      <c r="AL18" s="20">
        <f t="shared" si="4"/>
        <v>1053.954799551613</v>
      </c>
      <c r="AM18" s="59">
        <f t="shared" si="5"/>
        <v>1328.954799551613</v>
      </c>
      <c r="AN18" s="59">
        <f ca="1">AVERAGE(OFFSET($AM$3,0,0,'Données projet'!$E$10+1,1))-AVERAGE(OFFSET($H$3,0,0,'Données projet'!$E$10+1,1))</f>
        <v>662.13838733542616</v>
      </c>
      <c r="AO18" s="59">
        <f t="shared" si="36"/>
        <v>1194.915361841041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6.6486666666666672</v>
      </c>
      <c r="BD18" s="12">
        <f>IF('Données projet'!$A$88&gt;35,BD17+BC18-BL17,IF(A18&lt;'Données projet'!$A$88,$BA$205^A18,IF(A18='Données projet'!$A$88,'Données projet'!$B$88,BD17+BC18-BL17)))</f>
        <v>14.12303083619093</v>
      </c>
      <c r="BE18" s="13">
        <f>BD18*VLOOKUP('Données projet'!$B$11,Paramètres!$A$1:$I$89,3,0)*VLOOKUP('Données projet'!$B$11,Paramètres!$A$1:$I$89,5,0)</f>
        <v>6.6095784313373542</v>
      </c>
      <c r="BF18" s="13">
        <f t="shared" si="37"/>
        <v>2.4448802911163354</v>
      </c>
      <c r="BG18" s="20">
        <f t="shared" si="7"/>
        <v>15.769848941606844</v>
      </c>
      <c r="BH18" s="59">
        <f t="shared" si="8"/>
        <v>290.76984894160682</v>
      </c>
      <c r="BI18" s="59">
        <f ca="1">AVERAGE(OFFSET($BH$3,0,0,'Données projet'!$E$11+1,1))-AVERAGE(OFFSET($H$3,0,0,'Données projet'!$E$11+1,1))</f>
        <v>321.82962838167799</v>
      </c>
      <c r="BJ18" s="59">
        <f t="shared" si="38"/>
        <v>243.43396255104295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131</v>
      </c>
      <c r="BW18" s="12">
        <f>VLOOKUP(A18,'Données projet'!$A$113:$I$133,9,0)</f>
        <v>21</v>
      </c>
      <c r="BX18" s="12">
        <f t="array" ref="BX18">INDEX(BW:BW,MIN(IF(ISNUMBER(BW18:BW214),ROW(BW18:BW214),"")))</f>
        <v>21</v>
      </c>
      <c r="BY18" s="12">
        <f>IF('Données projet'!$A$114&gt;35,BY17+BX18-CG17,IF(A18&lt;'Données projet'!$A$114,$BV$205^A18,IF(A18='Données projet'!$A$114,'Données projet'!$B$114,BY17+BX18-CG17)))</f>
        <v>131</v>
      </c>
      <c r="BZ18" s="13">
        <f>BY18*VLOOKUP('Données projet'!$B$12,Paramètres!$A$1:$I$89,3,0)*VLOOKUP('Données projet'!$B$12,Paramètres!$A$1:$I$89,5,0)</f>
        <v>78.338000000000008</v>
      </c>
      <c r="CA18" s="13">
        <f t="shared" si="39"/>
        <v>21.730321306378922</v>
      </c>
      <c r="CB18" s="20">
        <f t="shared" si="10"/>
        <v>174.28565960860999</v>
      </c>
      <c r="CC18" s="59">
        <f t="shared" si="11"/>
        <v>449.28565960860999</v>
      </c>
      <c r="CD18" s="59">
        <f ca="1">AVERAGE(OFFSET($CC$3,0,0,'Données projet'!$E$12+1,1))-AVERAGE(OFFSET($H$3,0,0,'Données projet'!$E$12+1,1))</f>
        <v>187.80389738728508</v>
      </c>
      <c r="CE18" s="59">
        <f t="shared" si="40"/>
        <v>439.28159165815265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8.1389924710801456</v>
      </c>
      <c r="CN18" s="22">
        <f t="shared" si="12"/>
        <v>8.1389924710801456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2.5115384616666665</v>
      </c>
      <c r="CT18" s="12">
        <f>IF('Données projet'!$A$140&gt;35,CT17+CS18-DB17,IF(A18&lt;'Données projet'!$A$140,$CQ$205^A18,IF(A18='Données projet'!$A$140,'Données projet'!$B$140,CT17+CS18-DB17)))</f>
        <v>8.6802162329057069</v>
      </c>
      <c r="CU18" s="17">
        <f>CT18*VLOOKUP('Données projet'!$B$13,Paramètres!$A$1:$I$89,3,0)*VLOOKUP('Données projet'!$B$13,Paramètres!$A$1:$I$89,5,0)</f>
        <v>9.8850302460330184</v>
      </c>
      <c r="CV18" s="13">
        <f t="shared" si="41"/>
        <v>3.4891097297084519</v>
      </c>
      <c r="CW18" s="20">
        <f t="shared" si="13"/>
        <v>23.293293791083059</v>
      </c>
      <c r="CX18" s="59">
        <f t="shared" si="14"/>
        <v>298.29329379108304</v>
      </c>
      <c r="CY18" s="59">
        <f ca="1">AVERAGE(OFFSET($CX$3,0,0,'Données projet'!$E$13+1,1))-AVERAGE(OFFSET($H$3,0,0,'Données projet'!$E$13+1,1))</f>
        <v>770.11410336045037</v>
      </c>
      <c r="CZ18" s="59">
        <f t="shared" si="42"/>
        <v>227.12611049004596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3.6141025633333332</v>
      </c>
      <c r="DO18" s="12">
        <f>IF('Données projet'!$A$166&gt;35,DO17+DN18-DW17,IF(A18&lt;'Données projet'!$A$166,$DL$205^A18,IF(A18='Données projet'!$A$166,'Données projet'!$B$166,DO17+DN18-DW17)))</f>
        <v>10.412640246354426</v>
      </c>
      <c r="DP18" s="17">
        <f>DO18*VLOOKUP('Données projet'!$B$14,Paramètres!$A$1:$I$89,3,0)*VLOOKUP('Données projet'!$B$14,Paramètres!$A$1:$I$89,5,0)</f>
        <v>10.558417209803389</v>
      </c>
      <c r="DQ18" s="13">
        <f t="shared" si="43"/>
        <v>3.6983157007322855</v>
      </c>
      <c r="DR18" s="20">
        <f t="shared" si="16"/>
        <v>24.83047648584963</v>
      </c>
      <c r="DS18" s="59">
        <f t="shared" si="17"/>
        <v>299.83047648584966</v>
      </c>
      <c r="DT18" s="59">
        <f ca="1">AVERAGE(OFFSET($DS$3,0,0,'Données projet'!$E$14+1,1))-AVERAGE(OFFSET($H$3,0,0,'Données projet'!$E$14+1,1))</f>
        <v>778.88878505968955</v>
      </c>
      <c r="DU18" s="59">
        <f t="shared" si="44"/>
        <v>279.20782832611059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15.2</v>
      </c>
      <c r="N19" s="13">
        <f>IF('Données projet'!$A$36&gt;35,N18+M19-V18,IF(A19&lt;'Données projet'!$A$36,$K$205^A19,IF(A19='Données projet'!$A$36,'Données projet'!$B$36,N18+M19-V18)))</f>
        <v>156.19999999999996</v>
      </c>
      <c r="O19" s="13">
        <f>N19*VLOOKUP('Données projet'!$B$9,Paramètres!$A$1:$I$89,3,0)*VLOOKUP('Données projet'!$B$9,Paramètres!$A$1:$I$89,5,0)</f>
        <v>141.32975999999996</v>
      </c>
      <c r="P19" s="13">
        <f t="shared" si="33"/>
        <v>36.601467030988793</v>
      </c>
      <c r="Q19" s="20">
        <f t="shared" si="2"/>
        <v>309.89688707897204</v>
      </c>
      <c r="R19" s="59">
        <f t="shared" si="0"/>
        <v>586.11910930119427</v>
      </c>
      <c r="S19" s="59">
        <f ca="1">AVERAGE(OFFSET($R$3,0,0,'Données projet'!$E$9+1,1))-AVERAGE(OFFSET($H$3,0,0,'Données projet'!$E$9+1,1))</f>
        <v>436.4497226650281</v>
      </c>
      <c r="T19" s="59">
        <f t="shared" si="34"/>
        <v>611.43967996341871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586</v>
      </c>
      <c r="AG19" s="12">
        <f>VLOOKUP(A19,'Données projet'!$A$61:$I$81,9,0)</f>
        <v>20</v>
      </c>
      <c r="AH19" s="12">
        <f t="array" ref="AH19">INDEX(AG:AG,MIN(IF(ISNUMBER(AG19:AG215),ROW(AG19:AG215),"")))</f>
        <v>20</v>
      </c>
      <c r="AI19" s="13">
        <f>IF('Données projet'!$A$62&gt;35,AI18+AH19-AQ18,IF(A19&lt;'Données projet'!$A$62,$AF$205^A19,IF(A19='Données projet'!$A$62,'Données projet'!$B$62,AI18+AH19-AQ18)))</f>
        <v>586</v>
      </c>
      <c r="AJ19" s="13">
        <f>AI19*VLOOKUP('Données projet'!$B$10,Paramètres!$A$1:$I$89,3,0)*VLOOKUP('Données projet'!$B$10,Paramètres!$A$1:$I$89,5,0)</f>
        <v>511.92960000000005</v>
      </c>
      <c r="AK19" s="13">
        <f t="shared" si="35"/>
        <v>114.13273752828759</v>
      </c>
      <c r="AL19" s="20">
        <f t="shared" si="4"/>
        <v>1090.3919045284345</v>
      </c>
      <c r="AM19" s="59">
        <f t="shared" si="5"/>
        <v>1366.6141267506566</v>
      </c>
      <c r="AN19" s="59">
        <f ca="1">AVERAGE(OFFSET($AM$3,0,0,'Données projet'!$E$10+1,1))-AVERAGE(OFFSET($H$3,0,0,'Données projet'!$E$10+1,1))</f>
        <v>662.13838733542616</v>
      </c>
      <c r="AO19" s="59">
        <f t="shared" si="36"/>
        <v>1194.915361841041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6.6486666666666672</v>
      </c>
      <c r="BD19" s="12">
        <f>IF('Données projet'!$A$88&gt;35,BD18+BC19-BL18,IF(A19&lt;'Données projet'!$A$88,$BA$205^A19,IF(A19='Données projet'!$A$88,'Données projet'!$B$88,BD18+BC19-BL18)))</f>
        <v>16.849606689435003</v>
      </c>
      <c r="BE19" s="13">
        <f>BD19*VLOOKUP('Données projet'!$B$11,Paramètres!$A$1:$I$89,3,0)*VLOOKUP('Données projet'!$B$11,Paramètres!$A$1:$I$89,5,0)</f>
        <v>7.8856159306555806</v>
      </c>
      <c r="BF19" s="13">
        <f t="shared" si="37"/>
        <v>2.8575643524946415</v>
      </c>
      <c r="BG19" s="20">
        <f t="shared" si="7"/>
        <v>18.711038993153302</v>
      </c>
      <c r="BH19" s="59">
        <f t="shared" si="8"/>
        <v>294.93326121537552</v>
      </c>
      <c r="BI19" s="59">
        <f ca="1">AVERAGE(OFFSET($BH$3,0,0,'Données projet'!$E$11+1,1))-AVERAGE(OFFSET($H$3,0,0,'Données projet'!$E$11+1,1))</f>
        <v>321.82962838167799</v>
      </c>
      <c r="BJ19" s="59">
        <f t="shared" si="38"/>
        <v>243.43396255104295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>
        <f>VLOOKUP(A19,'Données projet'!$A$113:$I$133,2,0)</f>
        <v>153</v>
      </c>
      <c r="BW19" s="12">
        <f>VLOOKUP(A19,'Données projet'!$A$113:$I$133,9,0)</f>
        <v>22</v>
      </c>
      <c r="BX19" s="12">
        <f t="array" ref="BX19">INDEX(BW:BW,MIN(IF(ISNUMBER(BW19:BW215),ROW(BW19:BW215),"")))</f>
        <v>22</v>
      </c>
      <c r="BY19" s="12">
        <f>IF('Données projet'!$A$114&gt;35,BY18+BX19-CG18,IF(A19&lt;'Données projet'!$A$114,$BV$205^A19,IF(A19='Données projet'!$A$114,'Données projet'!$B$114,BY18+BX19-CG18)))</f>
        <v>153</v>
      </c>
      <c r="BZ19" s="13">
        <f>BY19*VLOOKUP('Données projet'!$B$12,Paramètres!$A$1:$I$89,3,0)*VLOOKUP('Données projet'!$B$12,Paramètres!$A$1:$I$89,5,0)</f>
        <v>91.494000000000014</v>
      </c>
      <c r="CA19" s="13">
        <f t="shared" si="39"/>
        <v>24.925195840896542</v>
      </c>
      <c r="CB19" s="20">
        <f t="shared" si="10"/>
        <v>202.76343275622813</v>
      </c>
      <c r="CC19" s="59">
        <f t="shared" si="11"/>
        <v>478.98565497845038</v>
      </c>
      <c r="CD19" s="59">
        <f ca="1">AVERAGE(OFFSET($CC$3,0,0,'Données projet'!$E$12+1,1))-AVERAGE(OFFSET($H$3,0,0,'Données projet'!$E$12+1,1))</f>
        <v>187.80389738728508</v>
      </c>
      <c r="CE19" s="59">
        <f t="shared" si="40"/>
        <v>439.28159165815265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5.7551367683270263</v>
      </c>
      <c r="CN19" s="22">
        <f t="shared" si="12"/>
        <v>5.7551367683270263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2.5115384616666665</v>
      </c>
      <c r="CT19" s="12">
        <f>IF('Données projet'!$A$140&gt;35,CT18+CS19-DB18,IF(A19&lt;'Données projet'!$A$140,$CQ$205^A19,IF(A19='Données projet'!$A$140,'Données projet'!$B$140,CT18+CS19-DB18)))</f>
        <v>10.025343156211713</v>
      </c>
      <c r="CU19" s="17">
        <f>CT19*VLOOKUP('Données projet'!$B$13,Paramètres!$A$1:$I$89,3,0)*VLOOKUP('Données projet'!$B$13,Paramètres!$A$1:$I$89,5,0)</f>
        <v>11.416860786293899</v>
      </c>
      <c r="CV19" s="13">
        <f t="shared" si="41"/>
        <v>3.9627833882687944</v>
      </c>
      <c r="CW19" s="20">
        <f t="shared" si="13"/>
        <v>26.786213604030024</v>
      </c>
      <c r="CX19" s="59">
        <f t="shared" si="14"/>
        <v>303.00843582625225</v>
      </c>
      <c r="CY19" s="59">
        <f ca="1">AVERAGE(OFFSET($CX$3,0,0,'Données projet'!$E$13+1,1))-AVERAGE(OFFSET($H$3,0,0,'Données projet'!$E$13+1,1))</f>
        <v>770.11410336045037</v>
      </c>
      <c r="CZ19" s="59">
        <f t="shared" si="42"/>
        <v>227.12611049004596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3.6141025633333332</v>
      </c>
      <c r="DO19" s="12">
        <f>IF('Données projet'!$A$166&gt;35,DO18+DN19-DW18,IF(A19&lt;'Données projet'!$A$166,$DL$205^A19,IF(A19='Données projet'!$A$166,'Données projet'!$B$166,DO18+DN19-DW18)))</f>
        <v>12.173017737393817</v>
      </c>
      <c r="DP19" s="17">
        <f>DO19*VLOOKUP('Données projet'!$B$14,Paramètres!$A$1:$I$89,3,0)*VLOOKUP('Données projet'!$B$14,Paramètres!$A$1:$I$89,5,0)</f>
        <v>12.343439985717332</v>
      </c>
      <c r="DQ19" s="13">
        <f t="shared" si="43"/>
        <v>4.2456589024062579</v>
      </c>
      <c r="DR19" s="20">
        <f t="shared" si="16"/>
        <v>28.892680563481917</v>
      </c>
      <c r="DS19" s="59">
        <f t="shared" si="17"/>
        <v>305.11490278570415</v>
      </c>
      <c r="DT19" s="59">
        <f ca="1">AVERAGE(OFFSET($DS$3,0,0,'Données projet'!$E$14+1,1))-AVERAGE(OFFSET($H$3,0,0,'Données projet'!$E$14+1,1))</f>
        <v>778.88878505968955</v>
      </c>
      <c r="DU19" s="59">
        <f t="shared" si="44"/>
        <v>279.20782832611059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15.2</v>
      </c>
      <c r="N20" s="13">
        <f>IF('Données projet'!$A$36&gt;35,N19+M20-V19,IF(A20&lt;'Données projet'!$A$36,$K$205^A20,IF(A20='Données projet'!$A$36,'Données projet'!$B$36,N19+M20-V19)))</f>
        <v>171.39999999999995</v>
      </c>
      <c r="O20" s="13">
        <f>N20*VLOOKUP('Données projet'!$B$9,Paramètres!$A$1:$I$89,3,0)*VLOOKUP('Données projet'!$B$9,Paramètres!$A$1:$I$89,5,0)</f>
        <v>155.08271999999994</v>
      </c>
      <c r="P20" s="13">
        <f t="shared" si="33"/>
        <v>39.731402297721985</v>
      </c>
      <c r="Q20" s="20">
        <f t="shared" si="2"/>
        <v>339.30126300186566</v>
      </c>
      <c r="R20" s="59">
        <f t="shared" si="0"/>
        <v>616.74570744631012</v>
      </c>
      <c r="S20" s="59">
        <f ca="1">AVERAGE(OFFSET($R$3,0,0,'Données projet'!$E$9+1,1))-AVERAGE(OFFSET($H$3,0,0,'Données projet'!$E$9+1,1))</f>
        <v>436.4497226650281</v>
      </c>
      <c r="T20" s="59">
        <f t="shared" si="34"/>
        <v>611.43967996341871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600</v>
      </c>
      <c r="AG20" s="12">
        <f>VLOOKUP(A20,'Données projet'!$A$61:$I$81,9,0)</f>
        <v>14</v>
      </c>
      <c r="AH20" s="12">
        <f t="array" ref="AH20">INDEX(AG:AG,MIN(IF(ISNUMBER(AG20:AG216),ROW(AG20:AG216),"")))</f>
        <v>14</v>
      </c>
      <c r="AI20" s="13">
        <f>IF('Données projet'!$A$62&gt;35,AI19+AH20-AQ19,IF(A20&lt;'Données projet'!$A$62,$AF$205^A20,IF(A20='Données projet'!$A$62,'Données projet'!$B$62,AI19+AH20-AQ19)))</f>
        <v>600</v>
      </c>
      <c r="AJ20" s="13">
        <f>AI20*VLOOKUP('Données projet'!$B$10,Paramètres!$A$1:$I$89,3,0)*VLOOKUP('Données projet'!$B$10,Paramètres!$A$1:$I$89,5,0)</f>
        <v>524.16000000000008</v>
      </c>
      <c r="AK20" s="13">
        <f t="shared" si="35"/>
        <v>116.53874730605614</v>
      </c>
      <c r="AL20" s="20">
        <f t="shared" si="4"/>
        <v>1115.8836515580479</v>
      </c>
      <c r="AM20" s="59">
        <f t="shared" si="5"/>
        <v>1393.3280960024922</v>
      </c>
      <c r="AN20" s="59">
        <f ca="1">AVERAGE(OFFSET($AM$3,0,0,'Données projet'!$E$10+1,1))-AVERAGE(OFFSET($H$3,0,0,'Données projet'!$E$10+1,1))</f>
        <v>662.13838733542616</v>
      </c>
      <c r="AO20" s="59">
        <f t="shared" si="36"/>
        <v>1194.915361841041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6.6486666666666672</v>
      </c>
      <c r="BD20" s="12">
        <f>IF('Données projet'!$A$88&gt;35,BD19+BC20-BL19,IF(A20&lt;'Données projet'!$A$88,$BA$205^A20,IF(A20='Données projet'!$A$88,'Données projet'!$B$88,BD19+BC20-BL19)))</f>
        <v>20.102572095298555</v>
      </c>
      <c r="BE20" s="13">
        <f>BD20*VLOOKUP('Données projet'!$B$11,Paramètres!$A$1:$I$89,3,0)*VLOOKUP('Données projet'!$B$11,Paramètres!$A$1:$I$89,5,0)</f>
        <v>9.4080037405997246</v>
      </c>
      <c r="BF20" s="13">
        <f t="shared" si="37"/>
        <v>3.3399075031684502</v>
      </c>
      <c r="BG20" s="20">
        <f t="shared" si="7"/>
        <v>22.202612082896238</v>
      </c>
      <c r="BH20" s="59">
        <f t="shared" si="8"/>
        <v>299.64705652734068</v>
      </c>
      <c r="BI20" s="59">
        <f ca="1">AVERAGE(OFFSET($BH$3,0,0,'Données projet'!$E$11+1,1))-AVERAGE(OFFSET($H$3,0,0,'Données projet'!$E$11+1,1))</f>
        <v>321.82962838167799</v>
      </c>
      <c r="BJ20" s="59">
        <f t="shared" si="38"/>
        <v>243.43396255104295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>
        <f>VLOOKUP(A20,'Données projet'!$A$113:$I$133,2,0)</f>
        <v>176</v>
      </c>
      <c r="BW20" s="12">
        <f>VLOOKUP(A20,'Données projet'!$A$113:$I$133,9,0)</f>
        <v>23</v>
      </c>
      <c r="BX20" s="12">
        <f t="array" ref="BX20">INDEX(BW:BW,MIN(IF(ISNUMBER(BW20:BW216),ROW(BW20:BW216),"")))</f>
        <v>23</v>
      </c>
      <c r="BY20" s="12">
        <f>IF('Données projet'!$A$114&gt;35,BY19+BX20-CG19,IF(A20&lt;'Données projet'!$A$114,$BV$205^A20,IF(A20='Données projet'!$A$114,'Données projet'!$B$114,BY19+BX20-CG19)))</f>
        <v>176</v>
      </c>
      <c r="BZ20" s="13">
        <f>BY20*VLOOKUP('Données projet'!$B$12,Paramètres!$A$1:$I$89,3,0)*VLOOKUP('Données projet'!$B$12,Paramètres!$A$1:$I$89,5,0)</f>
        <v>105.24800000000002</v>
      </c>
      <c r="CA20" s="13">
        <f t="shared" si="39"/>
        <v>28.208515027560551</v>
      </c>
      <c r="CB20" s="20">
        <f t="shared" si="10"/>
        <v>232.43676367300131</v>
      </c>
      <c r="CC20" s="59">
        <f t="shared" si="11"/>
        <v>509.88120811744579</v>
      </c>
      <c r="CD20" s="59">
        <f ca="1">AVERAGE(OFFSET($CC$3,0,0,'Données projet'!$E$12+1,1))-AVERAGE(OFFSET($H$3,0,0,'Données projet'!$E$12+1,1))</f>
        <v>187.80389738728508</v>
      </c>
      <c r="CE20" s="59">
        <f t="shared" si="40"/>
        <v>439.28159165815265</v>
      </c>
      <c r="CF20" s="15">
        <f>IF(ISNA(VLOOKUP(A20,'Données projet'!$A$113:$I$133,3,0)),0,VLOOKUP(A20,'Données projet'!$A$113:$I$133,3,0))</f>
        <v>2</v>
      </c>
      <c r="CG20" s="15">
        <f>IF(ISNA(VLOOKUP(A20,'Données projet'!$A$113:$I$133,4,0)),0,VLOOKUP(A20,'Données projet'!$A$113:$I$133,4,0))</f>
        <v>43</v>
      </c>
      <c r="CH20" s="16">
        <f>IF(ISNA(VLOOKUP(A20,'Données projet'!$A$113:$I$133,5,0)),0%,VLOOKUP(A20,'Données projet'!$A$113:$I$133,5,0)*VLOOKUP('Données projet'!$B$12,Paramètres!$A$1:$I$89,7,0))</f>
        <v>0.1125</v>
      </c>
      <c r="CI20" s="16">
        <f>IF(ISNA(VLOOKUP(A20,'Données projet'!$A$113:$I$133,6,0)),0%,VLOOKUP(A20,'Données projet'!$A$113:$I$133,6,0)*VLOOKUP('Données projet'!$B$12,Paramètres!$A$1:$I$89,7,0))</f>
        <v>0.33750000000000002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3.837518820806888</v>
      </c>
      <c r="CL20" s="21">
        <f>EXP(-LN(2)/25)*CL19+(1-EXP(-LN(2)/25))/(LN(2)/25)*Calculateur!CG20*Calculateur!CI20*VLOOKUP('Données projet'!$B$12,Paramètres!$A$1:$I$89,3,0)*0.475*44/12</f>
        <v>11.467227141000196</v>
      </c>
      <c r="CM20" s="21">
        <f>EXP(-LN(2)/2)*CM19+(1-EXP(-LN(2)/2))/(LN(2)/2)*CG20*CJ20*VLOOKUP('Données projet'!$B$12,Paramètres!$A$1:$I$89,3,0)*0.475*44/12</f>
        <v>4.0694962355400728</v>
      </c>
      <c r="CN20" s="22">
        <f t="shared" si="12"/>
        <v>19.374242197347158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2.5115384616666665</v>
      </c>
      <c r="CT20" s="12">
        <f>IF('Données projet'!$A$140&gt;35,CT19+CS20-DB19,IF(A20&lt;'Données projet'!$A$140,$CQ$205^A20,IF(A20='Données projet'!$A$140,'Données projet'!$B$140,CT19+CS20-DB19)))</f>
        <v>11.578917241576145</v>
      </c>
      <c r="CU20" s="17">
        <f>CT20*VLOOKUP('Données projet'!$B$13,Paramètres!$A$1:$I$89,3,0)*VLOOKUP('Données projet'!$B$13,Paramètres!$A$1:$I$89,5,0)</f>
        <v>13.186070954706913</v>
      </c>
      <c r="CV20" s="13">
        <f t="shared" si="41"/>
        <v>4.5007619131689776</v>
      </c>
      <c r="CW20" s="20">
        <f t="shared" si="13"/>
        <v>30.804567244883845</v>
      </c>
      <c r="CX20" s="59">
        <f t="shared" si="14"/>
        <v>308.24901168932831</v>
      </c>
      <c r="CY20" s="59">
        <f ca="1">AVERAGE(OFFSET($CX$3,0,0,'Données projet'!$E$13+1,1))-AVERAGE(OFFSET($H$3,0,0,'Données projet'!$E$13+1,1))</f>
        <v>770.11410336045037</v>
      </c>
      <c r="CZ20" s="59">
        <f t="shared" si="42"/>
        <v>227.12611049004596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3.6141025633333332</v>
      </c>
      <c r="DO20" s="12">
        <f>IF('Données projet'!$A$166&gt;35,DO19+DN20-DW19,IF(A20&lt;'Données projet'!$A$166,$DL$205^A20,IF(A20='Données projet'!$A$166,'Données projet'!$B$166,DO19+DN20-DW19)))</f>
        <v>14.231007441823861</v>
      </c>
      <c r="DP20" s="17">
        <f>DO20*VLOOKUP('Données projet'!$B$14,Paramètres!$A$1:$I$89,3,0)*VLOOKUP('Données projet'!$B$14,Paramètres!$A$1:$I$89,5,0)</f>
        <v>14.430241546009396</v>
      </c>
      <c r="DQ20" s="13">
        <f t="shared" si="43"/>
        <v>4.8740077846821821</v>
      </c>
      <c r="DR20" s="20">
        <f t="shared" si="16"/>
        <v>33.621567584287831</v>
      </c>
      <c r="DS20" s="59">
        <f t="shared" si="17"/>
        <v>311.0660120287323</v>
      </c>
      <c r="DT20" s="59">
        <f ca="1">AVERAGE(OFFSET($DS$3,0,0,'Données projet'!$E$14+1,1))-AVERAGE(OFFSET($H$3,0,0,'Données projet'!$E$14+1,1))</f>
        <v>778.88878505968955</v>
      </c>
      <c r="DU20" s="59">
        <f t="shared" si="44"/>
        <v>279.20782832611059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15.2</v>
      </c>
      <c r="N21" s="13">
        <f>IF('Données projet'!$A$36&gt;35,N20+M21-V20,IF(A21&lt;'Données projet'!$A$36,$K$205^A21,IF(A21='Données projet'!$A$36,'Données projet'!$B$36,N20+M21-V20)))</f>
        <v>186.59999999999994</v>
      </c>
      <c r="O21" s="13">
        <f>N21*VLOOKUP('Données projet'!$B$9,Paramètres!$A$1:$I$89,3,0)*VLOOKUP('Données projet'!$B$9,Paramètres!$A$1:$I$89,5,0)</f>
        <v>168.83567999999994</v>
      </c>
      <c r="P21" s="13">
        <f t="shared" si="33"/>
        <v>42.829150426593394</v>
      </c>
      <c r="Q21" s="20">
        <f t="shared" si="2"/>
        <v>368.64957965965004</v>
      </c>
      <c r="R21" s="59">
        <f t="shared" si="0"/>
        <v>647.31624632631679</v>
      </c>
      <c r="S21" s="59">
        <f ca="1">AVERAGE(OFFSET($R$3,0,0,'Données projet'!$E$9+1,1))-AVERAGE(OFFSET($H$3,0,0,'Données projet'!$E$9+1,1))</f>
        <v>436.4497226650281</v>
      </c>
      <c r="T21" s="59">
        <f t="shared" si="34"/>
        <v>611.43967996341871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610</v>
      </c>
      <c r="AG21" s="12">
        <f>VLOOKUP(A21,'Données projet'!$A$61:$I$81,9,0)</f>
        <v>10</v>
      </c>
      <c r="AH21" s="12">
        <f t="array" ref="AH21">INDEX(AG:AG,MIN(IF(ISNUMBER(AG21:AG217),ROW(AG21:AG217),"")))</f>
        <v>10</v>
      </c>
      <c r="AI21" s="13">
        <f>IF('Données projet'!$A$62&gt;35,AI20+AH21-AQ20,IF(A21&lt;'Données projet'!$A$62,$AF$205^A21,IF(A21='Données projet'!$A$62,'Données projet'!$B$62,AI20+AH21-AQ20)))</f>
        <v>610</v>
      </c>
      <c r="AJ21" s="13">
        <f>AI21*VLOOKUP('Données projet'!$B$10,Paramètres!$A$1:$I$89,3,0)*VLOOKUP('Données projet'!$B$10,Paramètres!$A$1:$I$89,5,0)</f>
        <v>532.89600000000007</v>
      </c>
      <c r="AK21" s="13">
        <f t="shared" si="35"/>
        <v>118.25332008589193</v>
      </c>
      <c r="AL21" s="20">
        <f t="shared" si="4"/>
        <v>1134.0850658162619</v>
      </c>
      <c r="AM21" s="59">
        <f t="shared" si="5"/>
        <v>1412.7517324829287</v>
      </c>
      <c r="AN21" s="59">
        <f ca="1">AVERAGE(OFFSET($AM$3,0,0,'Données projet'!$E$10+1,1))-AVERAGE(OFFSET($H$3,0,0,'Données projet'!$E$10+1,1))</f>
        <v>662.13838733542616</v>
      </c>
      <c r="AO21" s="59">
        <f t="shared" si="36"/>
        <v>1194.915361841041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6.6486666666666672</v>
      </c>
      <c r="BD21" s="12">
        <f>IF('Données projet'!$A$88&gt;35,BD20+BC21-BL20,IF(A21&lt;'Données projet'!$A$88,$BA$205^A21,IF(A21='Données projet'!$A$88,'Données projet'!$B$88,BD20+BC21-BL20)))</f>
        <v>23.983551206572805</v>
      </c>
      <c r="BE21" s="13">
        <f>BD21*VLOOKUP('Données projet'!$B$11,Paramètres!$A$1:$I$89,3,0)*VLOOKUP('Données projet'!$B$11,Paramètres!$A$1:$I$89,5,0)</f>
        <v>11.224301964676073</v>
      </c>
      <c r="BF21" s="13">
        <f t="shared" si="37"/>
        <v>3.9036678631515893</v>
      </c>
      <c r="BG21" s="20">
        <f t="shared" si="7"/>
        <v>26.347880783466511</v>
      </c>
      <c r="BH21" s="59">
        <f t="shared" si="8"/>
        <v>305.01454745013319</v>
      </c>
      <c r="BI21" s="59">
        <f ca="1">AVERAGE(OFFSET($BH$3,0,0,'Données projet'!$E$11+1,1))-AVERAGE(OFFSET($H$3,0,0,'Données projet'!$E$11+1,1))</f>
        <v>321.82962838167799</v>
      </c>
      <c r="BJ21" s="59">
        <f t="shared" si="38"/>
        <v>243.43396255104295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151</v>
      </c>
      <c r="BW21" s="12">
        <f>VLOOKUP(A21,'Données projet'!$A$113:$I$133,9,0)</f>
        <v>18</v>
      </c>
      <c r="BX21" s="12">
        <f t="array" ref="BX21">INDEX(BW:BW,MIN(IF(ISNUMBER(BW21:BW217),ROW(BW21:BW217),"")))</f>
        <v>18</v>
      </c>
      <c r="BY21" s="12">
        <f>IF('Données projet'!$A$114&gt;35,BY20+BX21-CG20,IF(A21&lt;'Données projet'!$A$114,$BV$205^A21,IF(A21='Données projet'!$A$114,'Données projet'!$B$114,BY20+BX21-CG20)))</f>
        <v>151</v>
      </c>
      <c r="BZ21" s="13">
        <f>BY21*VLOOKUP('Données projet'!$B$12,Paramètres!$A$1:$I$89,3,0)*VLOOKUP('Données projet'!$B$12,Paramètres!$A$1:$I$89,5,0)</f>
        <v>90.298000000000016</v>
      </c>
      <c r="CA21" s="13">
        <f t="shared" si="39"/>
        <v>24.637081585210524</v>
      </c>
      <c r="CB21" s="20">
        <f t="shared" si="10"/>
        <v>200.17860042757502</v>
      </c>
      <c r="CC21" s="59">
        <f t="shared" si="11"/>
        <v>478.84526709424171</v>
      </c>
      <c r="CD21" s="59">
        <f ca="1">AVERAGE(OFFSET($CC$3,0,0,'Données projet'!$E$12+1,1))-AVERAGE(OFFSET($H$3,0,0,'Données projet'!$E$12+1,1))</f>
        <v>187.80389738728508</v>
      </c>
      <c r="CE21" s="59">
        <f t="shared" si="40"/>
        <v>439.28159165815265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3.7622674173862252</v>
      </c>
      <c r="CL21" s="21">
        <f>EXP(-LN(2)/25)*CL20+(1-EXP(-LN(2)/25))/(LN(2)/25)*Calculateur!CG21*Calculateur!CI21*VLOOKUP('Données projet'!$B$12,Paramètres!$A$1:$I$89,3,0)*0.475*44/12</f>
        <v>11.153655211794279</v>
      </c>
      <c r="CM21" s="21">
        <f>EXP(-LN(2)/2)*CM20+(1-EXP(-LN(2)/2))/(LN(2)/2)*CG21*CJ21*VLOOKUP('Données projet'!$B$12,Paramètres!$A$1:$I$89,3,0)*0.475*44/12</f>
        <v>2.8775683841635131</v>
      </c>
      <c r="CN21" s="22">
        <f t="shared" si="12"/>
        <v>17.793491013344017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2.5115384616666665</v>
      </c>
      <c r="CT21" s="12">
        <f>IF('Données projet'!$A$140&gt;35,CT20+CS21-DB20,IF(A21&lt;'Données projet'!$A$140,$CQ$205^A21,IF(A21='Données projet'!$A$140,'Données projet'!$B$140,CT20+CS21-DB20)))</f>
        <v>13.373240436582819</v>
      </c>
      <c r="CU21" s="17">
        <f>CT21*VLOOKUP('Données projet'!$B$13,Paramètres!$A$1:$I$89,3,0)*VLOOKUP('Données projet'!$B$13,Paramètres!$A$1:$I$89,5,0)</f>
        <v>15.229446209180514</v>
      </c>
      <c r="CV21" s="13">
        <f t="shared" si="41"/>
        <v>5.1117751878641036</v>
      </c>
      <c r="CW21" s="20">
        <f t="shared" si="13"/>
        <v>35.427627266519373</v>
      </c>
      <c r="CX21" s="59">
        <f t="shared" si="14"/>
        <v>314.09429393318607</v>
      </c>
      <c r="CY21" s="59">
        <f ca="1">AVERAGE(OFFSET($CX$3,0,0,'Données projet'!$E$13+1,1))-AVERAGE(OFFSET($H$3,0,0,'Données projet'!$E$13+1,1))</f>
        <v>770.11410336045037</v>
      </c>
      <c r="CZ21" s="59">
        <f t="shared" si="42"/>
        <v>227.12611049004596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3.6141025633333332</v>
      </c>
      <c r="DO21" s="12">
        <f>IF('Données projet'!$A$166&gt;35,DO20+DN21-DW20,IF(A21&lt;'Données projet'!$A$166,$DL$205^A21,IF(A21='Données projet'!$A$166,'Données projet'!$B$166,DO20+DN21-DW20)))</f>
        <v>16.636924152926191</v>
      </c>
      <c r="DP21" s="17">
        <f>DO21*VLOOKUP('Données projet'!$B$14,Paramètres!$A$1:$I$89,3,0)*VLOOKUP('Données projet'!$B$14,Paramètres!$A$1:$I$89,5,0)</f>
        <v>16.869841091067158</v>
      </c>
      <c r="DQ21" s="13">
        <f t="shared" si="43"/>
        <v>5.5953510235310393</v>
      </c>
      <c r="DR21" s="20">
        <f t="shared" si="16"/>
        <v>39.126876266258527</v>
      </c>
      <c r="DS21" s="59">
        <f t="shared" si="17"/>
        <v>317.79354293292522</v>
      </c>
      <c r="DT21" s="59">
        <f ca="1">AVERAGE(OFFSET($DS$3,0,0,'Données projet'!$E$14+1,1))-AVERAGE(OFFSET($H$3,0,0,'Données projet'!$E$14+1,1))</f>
        <v>778.88878505968955</v>
      </c>
      <c r="DU21" s="59">
        <f t="shared" si="44"/>
        <v>279.20782832611059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15.2</v>
      </c>
      <c r="N22" s="13">
        <f>IF('Données projet'!$A$36&gt;35,N21+M22-V21,IF(A22&lt;'Données projet'!$A$36,$K$205^A22,IF(A22='Données projet'!$A$36,'Données projet'!$B$36,N21+M22-V21)))</f>
        <v>201.79999999999993</v>
      </c>
      <c r="O22" s="13">
        <f>N22*VLOOKUP('Données projet'!$B$9,Paramètres!$A$1:$I$89,3,0)*VLOOKUP('Données projet'!$B$9,Paramètres!$A$1:$I$89,5,0)</f>
        <v>182.58863999999994</v>
      </c>
      <c r="P22" s="13">
        <f t="shared" si="33"/>
        <v>45.897631388749296</v>
      </c>
      <c r="Q22" s="20">
        <f t="shared" si="2"/>
        <v>397.9469226687383</v>
      </c>
      <c r="R22" s="59">
        <f t="shared" si="0"/>
        <v>677.83581155762715</v>
      </c>
      <c r="S22" s="59">
        <f ca="1">AVERAGE(OFFSET($R$3,0,0,'Données projet'!$E$9+1,1))-AVERAGE(OFFSET($H$3,0,0,'Données projet'!$E$9+1,1))</f>
        <v>436.4497226650281</v>
      </c>
      <c r="T22" s="59">
        <f t="shared" si="34"/>
        <v>611.43967996341871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620</v>
      </c>
      <c r="AG22" s="12">
        <f>VLOOKUP(A22,'Données projet'!$A$61:$I$81,9,0)</f>
        <v>10</v>
      </c>
      <c r="AH22" s="12">
        <f t="array" ref="AH22">INDEX(AG:AG,MIN(IF(ISNUMBER(AG22:AG218),ROW(AG22:AG218),"")))</f>
        <v>10</v>
      </c>
      <c r="AI22" s="13">
        <f>IF('Données projet'!$A$62&gt;35,AI21+AH22-AQ21,IF(A22&lt;'Données projet'!$A$62,$AF$205^A22,IF(A22='Données projet'!$A$62,'Données projet'!$B$62,AI21+AH22-AQ21)))</f>
        <v>620</v>
      </c>
      <c r="AJ22" s="13">
        <f>AI22*VLOOKUP('Données projet'!$B$10,Paramètres!$A$1:$I$89,3,0)*VLOOKUP('Données projet'!$B$10,Paramètres!$A$1:$I$89,5,0)</f>
        <v>541.63200000000006</v>
      </c>
      <c r="AK22" s="13">
        <f t="shared" si="35"/>
        <v>119.96462408835535</v>
      </c>
      <c r="AL22" s="20">
        <f t="shared" si="4"/>
        <v>1152.2807869538856</v>
      </c>
      <c r="AM22" s="59">
        <f t="shared" si="5"/>
        <v>1432.1696758427745</v>
      </c>
      <c r="AN22" s="59">
        <f ca="1">AVERAGE(OFFSET($AM$3,0,0,'Données projet'!$E$10+1,1))-AVERAGE(OFFSET($H$3,0,0,'Données projet'!$E$10+1,1))</f>
        <v>662.13838733542616</v>
      </c>
      <c r="AO22" s="59">
        <f t="shared" si="36"/>
        <v>1194.915361841041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6.6486666666666672</v>
      </c>
      <c r="BD22" s="12">
        <f>IF('Données projet'!$A$88&gt;35,BD21+BC22-BL21,IF(A22&lt;'Données projet'!$A$88,$BA$205^A22,IF(A22='Données projet'!$A$88,'Données projet'!$B$88,BD21+BC22-BL21)))</f>
        <v>28.613787616402885</v>
      </c>
      <c r="BE22" s="13">
        <f>BD22*VLOOKUP('Données projet'!$B$11,Paramètres!$A$1:$I$89,3,0)*VLOOKUP('Données projet'!$B$11,Paramètres!$A$1:$I$89,5,0)</f>
        <v>13.391252604476549</v>
      </c>
      <c r="BF22" s="13">
        <f t="shared" si="37"/>
        <v>4.5625882666948625</v>
      </c>
      <c r="BG22" s="20">
        <f t="shared" si="7"/>
        <v>31.269606183956878</v>
      </c>
      <c r="BH22" s="59">
        <f t="shared" si="8"/>
        <v>311.15849507284571</v>
      </c>
      <c r="BI22" s="59">
        <f ca="1">AVERAGE(OFFSET($BH$3,0,0,'Données projet'!$E$11+1,1))-AVERAGE(OFFSET($H$3,0,0,'Données projet'!$E$11+1,1))</f>
        <v>321.82962838167799</v>
      </c>
      <c r="BJ22" s="59">
        <f t="shared" si="38"/>
        <v>243.43396255104295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>
        <f>VLOOKUP(A22,'Données projet'!$A$113:$I$133,2,0)</f>
        <v>171</v>
      </c>
      <c r="BW22" s="12">
        <f>VLOOKUP(A22,'Données projet'!$A$113:$I$133,9,0)</f>
        <v>20</v>
      </c>
      <c r="BX22" s="12">
        <f t="array" ref="BX22">INDEX(BW:BW,MIN(IF(ISNUMBER(BW22:BW218),ROW(BW22:BW218),"")))</f>
        <v>20</v>
      </c>
      <c r="BY22" s="12">
        <f>IF('Données projet'!$A$114&gt;35,BY21+BX22-CG21,IF(A22&lt;'Données projet'!$A$114,$BV$205^A22,IF(A22='Données projet'!$A$114,'Données projet'!$B$114,BY21+BX22-CG21)))</f>
        <v>171</v>
      </c>
      <c r="BZ22" s="13">
        <f>BY22*VLOOKUP('Données projet'!$B$12,Paramètres!$A$1:$I$89,3,0)*VLOOKUP('Données projet'!$B$12,Paramètres!$A$1:$I$89,5,0)</f>
        <v>102.258</v>
      </c>
      <c r="CA22" s="13">
        <f t="shared" si="39"/>
        <v>27.499233847895859</v>
      </c>
      <c r="CB22" s="20">
        <f t="shared" si="10"/>
        <v>225.99384895175194</v>
      </c>
      <c r="CC22" s="59">
        <f t="shared" si="11"/>
        <v>505.8827378406408</v>
      </c>
      <c r="CD22" s="59">
        <f ca="1">AVERAGE(OFFSET($CC$3,0,0,'Données projet'!$E$12+1,1))-AVERAGE(OFFSET($H$3,0,0,'Données projet'!$E$12+1,1))</f>
        <v>187.80389738728508</v>
      </c>
      <c r="CE22" s="59">
        <f t="shared" si="40"/>
        <v>439.28159165815265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3.6884916480878176</v>
      </c>
      <c r="CL22" s="21">
        <f>EXP(-LN(2)/25)*CL21+(1-EXP(-LN(2)/25))/(LN(2)/25)*Calculateur!CG22*Calculateur!CI22*VLOOKUP('Données projet'!$B$12,Paramètres!$A$1:$I$89,3,0)*0.475*44/12</f>
        <v>10.848657923482529</v>
      </c>
      <c r="CM22" s="21">
        <f>EXP(-LN(2)/2)*CM21+(1-EXP(-LN(2)/2))/(LN(2)/2)*CG22*CJ22*VLOOKUP('Données projet'!$B$12,Paramètres!$A$1:$I$89,3,0)*0.475*44/12</f>
        <v>2.0347481177700364</v>
      </c>
      <c r="CN22" s="22">
        <f t="shared" si="12"/>
        <v>16.571897689340382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2.5115384616666665</v>
      </c>
      <c r="CT22" s="12">
        <f>IF('Données projet'!$A$140&gt;35,CT21+CS22-DB21,IF(A22&lt;'Données projet'!$A$140,$CQ$205^A22,IF(A22='Données projet'!$A$140,'Données projet'!$B$140,CT21+CS22-DB21)))</f>
        <v>15.445620349758135</v>
      </c>
      <c r="CU22" s="17">
        <f>CT22*VLOOKUP('Données projet'!$B$13,Paramètres!$A$1:$I$89,3,0)*VLOOKUP('Données projet'!$B$13,Paramètres!$A$1:$I$89,5,0)</f>
        <v>17.589472454304566</v>
      </c>
      <c r="CV22" s="13">
        <f t="shared" si="41"/>
        <v>5.8057382450752311</v>
      </c>
      <c r="CW22" s="20">
        <f t="shared" si="13"/>
        <v>40.746658634753139</v>
      </c>
      <c r="CX22" s="59">
        <f t="shared" si="14"/>
        <v>320.635547523642</v>
      </c>
      <c r="CY22" s="59">
        <f ca="1">AVERAGE(OFFSET($CX$3,0,0,'Données projet'!$E$13+1,1))-AVERAGE(OFFSET($H$3,0,0,'Données projet'!$E$13+1,1))</f>
        <v>770.11410336045037</v>
      </c>
      <c r="CZ22" s="59">
        <f t="shared" si="42"/>
        <v>227.12611049004596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3.6141025633333332</v>
      </c>
      <c r="DO22" s="12">
        <f>IF('Données projet'!$A$166&gt;35,DO21+DN22-DW21,IF(A22&lt;'Données projet'!$A$166,$DL$205^A22,IF(A22='Données projet'!$A$166,'Données projet'!$B$166,DO21+DN22-DW21)))</f>
        <v>19.449588962813831</v>
      </c>
      <c r="DP22" s="17">
        <f>DO22*VLOOKUP('Données projet'!$B$14,Paramètres!$A$1:$I$89,3,0)*VLOOKUP('Données projet'!$B$14,Paramètres!$A$1:$I$89,5,0)</f>
        <v>19.721883208293228</v>
      </c>
      <c r="DQ22" s="13">
        <f t="shared" si="43"/>
        <v>6.4234515945836428</v>
      </c>
      <c r="DR22" s="20">
        <f t="shared" si="16"/>
        <v>45.536458115010554</v>
      </c>
      <c r="DS22" s="59">
        <f t="shared" si="17"/>
        <v>325.42534700389939</v>
      </c>
      <c r="DT22" s="59">
        <f ca="1">AVERAGE(OFFSET($DS$3,0,0,'Données projet'!$E$14+1,1))-AVERAGE(OFFSET($H$3,0,0,'Données projet'!$E$14+1,1))</f>
        <v>778.88878505968955</v>
      </c>
      <c r="DU22" s="59">
        <f t="shared" si="44"/>
        <v>279.20782832611059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217</v>
      </c>
      <c r="L23" s="12">
        <f>VLOOKUP(A23,'Données projet'!$A$35:$I$55,9,0)</f>
        <v>15.2</v>
      </c>
      <c r="M23" s="12">
        <f t="array" ref="M23">INDEX(L:L,MIN(IF(ISNUMBER(L23:L219),ROW(L23:L219),"")))</f>
        <v>15.2</v>
      </c>
      <c r="N23" s="13">
        <f>IF('Données projet'!$A$36&gt;35,N22+M23-V22,IF(A23&lt;'Données projet'!$A$36,$K$205^A23,IF(A23='Données projet'!$A$36,'Données projet'!$B$36,N22+M23-V22)))</f>
        <v>216.99999999999991</v>
      </c>
      <c r="O23" s="13">
        <f>N23*VLOOKUP('Données projet'!$B$9,Paramètres!$A$1:$I$89,3,0)*VLOOKUP('Données projet'!$B$9,Paramètres!$A$1:$I$89,5,0)</f>
        <v>196.34159999999991</v>
      </c>
      <c r="P23" s="13">
        <f t="shared" si="33"/>
        <v>48.939300310809159</v>
      </c>
      <c r="Q23" s="20">
        <f t="shared" si="2"/>
        <v>427.19756804132584</v>
      </c>
      <c r="R23" s="59">
        <f t="shared" si="0"/>
        <v>708.30867915243698</v>
      </c>
      <c r="S23" s="59">
        <f ca="1">AVERAGE(OFFSET($R$3,0,0,'Données projet'!$E$9+1,1))-AVERAGE(OFFSET($H$3,0,0,'Données projet'!$E$9+1,1))</f>
        <v>436.4497226650281</v>
      </c>
      <c r="T23" s="59">
        <f t="shared" si="34"/>
        <v>611.43967996341871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23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630</v>
      </c>
      <c r="AG23" s="12">
        <f>VLOOKUP(A23,'Données projet'!$A$61:$I$81,9,0)</f>
        <v>10</v>
      </c>
      <c r="AH23" s="12">
        <f t="array" ref="AH23">INDEX(AG:AG,MIN(IF(ISNUMBER(AG23:AG219),ROW(AG23:AG219),"")))</f>
        <v>10</v>
      </c>
      <c r="AI23" s="13">
        <f>IF('Données projet'!$A$62&gt;35,AI22+AH23-AQ22,IF(A23&lt;'Données projet'!$A$62,$AF$205^A23,IF(A23='Données projet'!$A$62,'Données projet'!$B$62,AI22+AH23-AQ22)))</f>
        <v>630</v>
      </c>
      <c r="AJ23" s="13">
        <f>AI23*VLOOKUP('Données projet'!$B$10,Paramètres!$A$1:$I$89,3,0)*VLOOKUP('Données projet'!$B$10,Paramètres!$A$1:$I$89,5,0)</f>
        <v>550.36800000000005</v>
      </c>
      <c r="AK23" s="13">
        <f t="shared" si="35"/>
        <v>121.67271812244785</v>
      </c>
      <c r="AL23" s="20">
        <f t="shared" si="4"/>
        <v>1170.4709173965966</v>
      </c>
      <c r="AM23" s="59">
        <f t="shared" si="5"/>
        <v>1451.5820285077077</v>
      </c>
      <c r="AN23" s="59">
        <f ca="1">AVERAGE(OFFSET($AM$3,0,0,'Données projet'!$E$10+1,1))-AVERAGE(OFFSET($H$3,0,0,'Données projet'!$E$10+1,1))</f>
        <v>662.13838733542616</v>
      </c>
      <c r="AO23" s="59">
        <f t="shared" si="36"/>
        <v>1194.915361841041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6.6486666666666672</v>
      </c>
      <c r="BD23" s="12">
        <f>IF('Données projet'!$A$88&gt;35,BD22+BC23-BL22,IF(A23&lt;'Données projet'!$A$88,$BA$205^A23,IF(A23='Données projet'!$A$88,'Données projet'!$B$88,BD22+BC23-BL22)))</f>
        <v>34.137932064548849</v>
      </c>
      <c r="BE23" s="13">
        <f>BD23*VLOOKUP('Données projet'!$B$11,Paramètres!$A$1:$I$89,3,0)*VLOOKUP('Données projet'!$B$11,Paramètres!$A$1:$I$89,5,0)</f>
        <v>15.97655220620886</v>
      </c>
      <c r="BF23" s="13">
        <f t="shared" si="37"/>
        <v>5.3327312725255887</v>
      </c>
      <c r="BG23" s="20">
        <f t="shared" si="7"/>
        <v>37.113668725462496</v>
      </c>
      <c r="BH23" s="59">
        <f t="shared" si="8"/>
        <v>318.22477983657365</v>
      </c>
      <c r="BI23" s="59">
        <f ca="1">AVERAGE(OFFSET($BH$3,0,0,'Données projet'!$E$11+1,1))-AVERAGE(OFFSET($H$3,0,0,'Données projet'!$E$11+1,1))</f>
        <v>321.82962838167799</v>
      </c>
      <c r="BJ23" s="59">
        <f t="shared" si="38"/>
        <v>243.43396255104295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192</v>
      </c>
      <c r="BW23" s="12">
        <f>VLOOKUP(A23,'Données projet'!$A$113:$I$133,9,0)</f>
        <v>21</v>
      </c>
      <c r="BX23" s="12">
        <f t="array" ref="BX23">INDEX(BW:BW,MIN(IF(ISNUMBER(BW23:BW219),ROW(BW23:BW219),"")))</f>
        <v>21</v>
      </c>
      <c r="BY23" s="12">
        <f>IF('Données projet'!$A$114&gt;35,BY22+BX23-CG22,IF(A23&lt;'Données projet'!$A$114,$BV$205^A23,IF(A23='Données projet'!$A$114,'Données projet'!$B$114,BY22+BX23-CG22)))</f>
        <v>192</v>
      </c>
      <c r="BZ23" s="13">
        <f>BY23*VLOOKUP('Données projet'!$B$12,Paramètres!$A$1:$I$89,3,0)*VLOOKUP('Données projet'!$B$12,Paramètres!$A$1:$I$89,5,0)</f>
        <v>114.81600000000002</v>
      </c>
      <c r="CA23" s="13">
        <f t="shared" si="39"/>
        <v>30.462826482209831</v>
      </c>
      <c r="CB23" s="20">
        <f t="shared" si="10"/>
        <v>253.02728945651543</v>
      </c>
      <c r="CC23" s="59">
        <f t="shared" si="11"/>
        <v>534.1384005676266</v>
      </c>
      <c r="CD23" s="59">
        <f ca="1">AVERAGE(OFFSET($CC$3,0,0,'Données projet'!$E$12+1,1))-AVERAGE(OFFSET($H$3,0,0,'Données projet'!$E$12+1,1))</f>
        <v>187.80389738728508</v>
      </c>
      <c r="CE23" s="59">
        <f t="shared" si="40"/>
        <v>439.28159165815265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3.6161625766265759</v>
      </c>
      <c r="CL23" s="21">
        <f>EXP(-LN(2)/25)*CL22+(1-EXP(-LN(2)/25))/(LN(2)/25)*Calculateur!CG23*Calculateur!CI23*VLOOKUP('Données projet'!$B$12,Paramètres!$A$1:$I$89,3,0)*0.475*44/12</f>
        <v>10.552000802058775</v>
      </c>
      <c r="CM23" s="21">
        <f>EXP(-LN(2)/2)*CM22+(1-EXP(-LN(2)/2))/(LN(2)/2)*CG23*CJ23*VLOOKUP('Données projet'!$B$12,Paramètres!$A$1:$I$89,3,0)*0.475*44/12</f>
        <v>1.4387841920817566</v>
      </c>
      <c r="CN23" s="22">
        <f t="shared" si="12"/>
        <v>15.606947570767106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2.5115384616666665</v>
      </c>
      <c r="CT23" s="12">
        <f>IF('Données projet'!$A$140&gt;35,CT22+CS23-DB22,IF(A23&lt;'Données projet'!$A$140,$CQ$205^A23,IF(A23='Données projet'!$A$140,'Données projet'!$B$140,CT22+CS23-DB22)))</f>
        <v>17.839145951212871</v>
      </c>
      <c r="CU23" s="17">
        <f>CT23*VLOOKUP('Données projet'!$B$13,Paramètres!$A$1:$I$89,3,0)*VLOOKUP('Données projet'!$B$13,Paramètres!$A$1:$I$89,5,0)</f>
        <v>20.315219409241216</v>
      </c>
      <c r="CV23" s="13">
        <f t="shared" si="41"/>
        <v>6.5939121599776662</v>
      </c>
      <c r="CW23" s="20">
        <f t="shared" si="13"/>
        <v>46.86673748305622</v>
      </c>
      <c r="CX23" s="59">
        <f t="shared" si="14"/>
        <v>327.97784859416737</v>
      </c>
      <c r="CY23" s="59">
        <f ca="1">AVERAGE(OFFSET($CX$3,0,0,'Données projet'!$E$13+1,1))-AVERAGE(OFFSET($H$3,0,0,'Données projet'!$E$13+1,1))</f>
        <v>770.11410336045037</v>
      </c>
      <c r="CZ23" s="59">
        <f t="shared" si="42"/>
        <v>227.12611049004596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3.6141025633333332</v>
      </c>
      <c r="DO23" s="12">
        <f>IF('Données projet'!$A$166&gt;35,DO22+DN23-DW22,IF(A23&lt;'Données projet'!$A$166,$DL$205^A23,IF(A23='Données projet'!$A$166,'Données projet'!$B$166,DO22+DN23-DW22)))</f>
        <v>22.737767350816139</v>
      </c>
      <c r="DP23" s="17">
        <f>DO23*VLOOKUP('Données projet'!$B$14,Paramètres!$A$1:$I$89,3,0)*VLOOKUP('Données projet'!$B$14,Paramètres!$A$1:$I$89,5,0)</f>
        <v>23.056096093727565</v>
      </c>
      <c r="DQ23" s="13">
        <f t="shared" si="43"/>
        <v>7.3741093658715355</v>
      </c>
      <c r="DR23" s="20">
        <f t="shared" si="16"/>
        <v>52.999274508801761</v>
      </c>
      <c r="DS23" s="59">
        <f t="shared" si="17"/>
        <v>334.1103856199129</v>
      </c>
      <c r="DT23" s="59">
        <f ca="1">AVERAGE(OFFSET($DS$3,0,0,'Données projet'!$E$14+1,1))-AVERAGE(OFFSET($H$3,0,0,'Données projet'!$E$14+1,1))</f>
        <v>778.88878505968955</v>
      </c>
      <c r="DU23" s="59">
        <f t="shared" si="44"/>
        <v>279.20782832611059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13</v>
      </c>
      <c r="N24" s="13">
        <f>IF('Données projet'!$A$36&gt;35,N23+M24-V23,IF(A24&lt;'Données projet'!$A$36,$K$205^A24,IF(A24='Données projet'!$A$36,'Données projet'!$B$36,N23+M24-V23)))</f>
        <v>206.99999999999991</v>
      </c>
      <c r="O24" s="13">
        <f>N24*VLOOKUP('Données projet'!$B$9,Paramètres!$A$1:$I$89,3,0)*VLOOKUP('Données projet'!$B$9,Paramètres!$A$1:$I$89,5,0)</f>
        <v>187.29359999999991</v>
      </c>
      <c r="P24" s="13">
        <f t="shared" si="33"/>
        <v>46.941107550760421</v>
      </c>
      <c r="Q24" s="20">
        <f t="shared" si="2"/>
        <v>407.95878231757428</v>
      </c>
      <c r="R24" s="59">
        <f t="shared" si="0"/>
        <v>690.29211565090759</v>
      </c>
      <c r="S24" s="59">
        <f ca="1">AVERAGE(OFFSET($R$3,0,0,'Données projet'!$E$9+1,1))-AVERAGE(OFFSET($H$3,0,0,'Données projet'!$E$9+1,1))</f>
        <v>436.4497226650281</v>
      </c>
      <c r="T24" s="59">
        <f t="shared" si="34"/>
        <v>611.43967996341871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630</v>
      </c>
      <c r="AJ24" s="13">
        <f>AI24*VLOOKUP('Données projet'!$B$10,Paramètres!$A$1:$I$89,3,0)*VLOOKUP('Données projet'!$B$10,Paramètres!$A$1:$I$89,5,0)</f>
        <v>550.36800000000005</v>
      </c>
      <c r="AK24" s="13">
        <f t="shared" si="35"/>
        <v>121.67271812244785</v>
      </c>
      <c r="AL24" s="20">
        <f t="shared" si="4"/>
        <v>1170.4709173965966</v>
      </c>
      <c r="AM24" s="59">
        <f t="shared" si="5"/>
        <v>1452.8042507299299</v>
      </c>
      <c r="AN24" s="59">
        <f ca="1">AVERAGE(OFFSET($AM$3,0,0,'Données projet'!$E$10+1,1))-AVERAGE(OFFSET($H$3,0,0,'Données projet'!$E$10+1,1))</f>
        <v>662.13838733542616</v>
      </c>
      <c r="AO24" s="59">
        <f t="shared" si="36"/>
        <v>1194.915361841041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6.6486666666666672</v>
      </c>
      <c r="BD24" s="12">
        <f>IF('Données projet'!$A$88&gt;35,BD23+BC24-BL23,IF(A24&lt;'Données projet'!$A$88,$BA$205^A24,IF(A24='Données projet'!$A$88,'Données projet'!$B$88,BD23+BC24-BL23)))</f>
        <v>40.728561393797676</v>
      </c>
      <c r="BE24" s="13">
        <f>BD24*VLOOKUP('Données projet'!$B$11,Paramètres!$A$1:$I$89,3,0)*VLOOKUP('Données projet'!$B$11,Paramètres!$A$1:$I$89,5,0)</f>
        <v>19.060966732297313</v>
      </c>
      <c r="BF24" s="13">
        <f t="shared" si="37"/>
        <v>6.2328707222080526</v>
      </c>
      <c r="BG24" s="20">
        <f t="shared" si="7"/>
        <v>44.053433566596844</v>
      </c>
      <c r="BH24" s="59">
        <f t="shared" si="8"/>
        <v>326.38676689993014</v>
      </c>
      <c r="BI24" s="59">
        <f ca="1">AVERAGE(OFFSET($BH$3,0,0,'Données projet'!$E$11+1,1))-AVERAGE(OFFSET($H$3,0,0,'Données projet'!$E$11+1,1))</f>
        <v>321.82962838167799</v>
      </c>
      <c r="BJ24" s="59">
        <f t="shared" si="38"/>
        <v>243.43396255104295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>
        <f>VLOOKUP(A24,'Données projet'!$A$113:$I$133,2,0)</f>
        <v>212</v>
      </c>
      <c r="BW24" s="12">
        <f>VLOOKUP(A24,'Données projet'!$A$113:$I$133,9,0)</f>
        <v>20</v>
      </c>
      <c r="BX24" s="12">
        <f t="array" ref="BX24">INDEX(BW:BW,MIN(IF(ISNUMBER(BW24:BW220),ROW(BW24:BW220),"")))</f>
        <v>20</v>
      </c>
      <c r="BY24" s="12">
        <f>IF('Données projet'!$A$114&gt;35,BY23+BX24-CG23,IF(A24&lt;'Données projet'!$A$114,$BV$205^A24,IF(A24='Données projet'!$A$114,'Données projet'!$B$114,BY23+BX24-CG23)))</f>
        <v>212</v>
      </c>
      <c r="BZ24" s="13">
        <f>BY24*VLOOKUP('Données projet'!$B$12,Paramètres!$A$1:$I$89,3,0)*VLOOKUP('Données projet'!$B$12,Paramètres!$A$1:$I$89,5,0)</f>
        <v>126.77600000000002</v>
      </c>
      <c r="CA24" s="13">
        <f t="shared" si="39"/>
        <v>33.250302273150254</v>
      </c>
      <c r="CB24" s="20">
        <f t="shared" si="10"/>
        <v>278.7124764590701</v>
      </c>
      <c r="CC24" s="59">
        <f t="shared" si="11"/>
        <v>561.04580979240336</v>
      </c>
      <c r="CD24" s="59">
        <f ca="1">AVERAGE(OFFSET($CC$3,0,0,'Données projet'!$E$12+1,1))-AVERAGE(OFFSET($H$3,0,0,'Données projet'!$E$12+1,1))</f>
        <v>187.80389738728508</v>
      </c>
      <c r="CE24" s="59">
        <f t="shared" si="40"/>
        <v>439.28159165815265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3.5452518341403114</v>
      </c>
      <c r="CL24" s="21">
        <f>EXP(-LN(2)/25)*CL23+(1-EXP(-LN(2)/25))/(LN(2)/25)*Calculateur!CG24*Calculateur!CI24*VLOOKUP('Données projet'!$B$12,Paramètres!$A$1:$I$89,3,0)*0.475*44/12</f>
        <v>10.263455785220872</v>
      </c>
      <c r="CM24" s="21">
        <f>EXP(-LN(2)/2)*CM23+(1-EXP(-LN(2)/2))/(LN(2)/2)*CG24*CJ24*VLOOKUP('Données projet'!$B$12,Paramètres!$A$1:$I$89,3,0)*0.475*44/12</f>
        <v>1.0173740588850182</v>
      </c>
      <c r="CN24" s="22">
        <f t="shared" si="12"/>
        <v>14.826081678246201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2.5115384616666665</v>
      </c>
      <c r="CT24" s="12">
        <f>IF('Données projet'!$A$140&gt;35,CT23+CS24-DB23,IF(A24&lt;'Données projet'!$A$140,$CQ$205^A24,IF(A24='Données projet'!$A$140,'Données projet'!$B$140,CT23+CS24-DB23)))</f>
        <v>20.603583479485028</v>
      </c>
      <c r="CU24" s="17">
        <f>CT24*VLOOKUP('Données projet'!$B$13,Paramètres!$A$1:$I$89,3,0)*VLOOKUP('Données projet'!$B$13,Paramètres!$A$1:$I$89,5,0)</f>
        <v>23.463360866437551</v>
      </c>
      <c r="CV24" s="13">
        <f t="shared" si="41"/>
        <v>7.4890867858852088</v>
      </c>
      <c r="CW24" s="20">
        <f t="shared" si="13"/>
        <v>53.908846327795466</v>
      </c>
      <c r="CX24" s="59">
        <f t="shared" si="14"/>
        <v>336.24217966112877</v>
      </c>
      <c r="CY24" s="59">
        <f ca="1">AVERAGE(OFFSET($CX$3,0,0,'Données projet'!$E$13+1,1))-AVERAGE(OFFSET($H$3,0,0,'Données projet'!$E$13+1,1))</f>
        <v>770.11410336045037</v>
      </c>
      <c r="CZ24" s="59">
        <f t="shared" si="42"/>
        <v>227.12611049004596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3.6141025633333332</v>
      </c>
      <c r="DO24" s="12">
        <f>IF('Données projet'!$A$166&gt;35,DO23+DN24-DW23,IF(A24&lt;'Données projet'!$A$166,$DL$205^A24,IF(A24='Données projet'!$A$166,'Données projet'!$B$166,DO23+DN24-DW23)))</f>
        <v>26.581850397369195</v>
      </c>
      <c r="DP24" s="17">
        <f>DO24*VLOOKUP('Données projet'!$B$14,Paramètres!$A$1:$I$89,3,0)*VLOOKUP('Données projet'!$B$14,Paramètres!$A$1:$I$89,5,0)</f>
        <v>26.953996302932367</v>
      </c>
      <c r="DQ24" s="13">
        <f t="shared" si="43"/>
        <v>8.4654625537594601</v>
      </c>
      <c r="DR24" s="20">
        <f t="shared" si="16"/>
        <v>61.688890842071601</v>
      </c>
      <c r="DS24" s="59">
        <f t="shared" si="17"/>
        <v>344.02222417540492</v>
      </c>
      <c r="DT24" s="59">
        <f ca="1">AVERAGE(OFFSET($DS$3,0,0,'Données projet'!$E$14+1,1))-AVERAGE(OFFSET($H$3,0,0,'Données projet'!$E$14+1,1))</f>
        <v>778.88878505968955</v>
      </c>
      <c r="DU24" s="59">
        <f t="shared" si="44"/>
        <v>279.20782832611059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13</v>
      </c>
      <c r="N25" s="13">
        <f>IF('Données projet'!$A$36&gt;35,N24+M25-V24,IF(A25&lt;'Données projet'!$A$36,$K$205^A25,IF(A25='Données projet'!$A$36,'Données projet'!$B$36,N24+M25-V24)))</f>
        <v>219.99999999999991</v>
      </c>
      <c r="O25" s="13">
        <f>N25*VLOOKUP('Données projet'!$B$9,Paramètres!$A$1:$I$89,3,0)*VLOOKUP('Données projet'!$B$9,Paramètres!$A$1:$I$89,5,0)</f>
        <v>199.0559999999999</v>
      </c>
      <c r="P25" s="13">
        <f t="shared" si="33"/>
        <v>49.536648006253891</v>
      </c>
      <c r="Q25" s="20">
        <f t="shared" si="2"/>
        <v>432.96552861089202</v>
      </c>
      <c r="R25" s="59">
        <f t="shared" si="0"/>
        <v>716.52108416644751</v>
      </c>
      <c r="S25" s="59">
        <f ca="1">AVERAGE(OFFSET($R$3,0,0,'Données projet'!$E$9+1,1))-AVERAGE(OFFSET($H$3,0,0,'Données projet'!$E$9+1,1))</f>
        <v>436.4497226650281</v>
      </c>
      <c r="T25" s="59">
        <f t="shared" si="34"/>
        <v>611.43967996341871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630</v>
      </c>
      <c r="AJ25" s="13">
        <f>AI25*VLOOKUP('Données projet'!$B$10,Paramètres!$A$1:$I$89,3,0)*VLOOKUP('Données projet'!$B$10,Paramètres!$A$1:$I$89,5,0)</f>
        <v>550.36800000000005</v>
      </c>
      <c r="AK25" s="13">
        <f t="shared" si="35"/>
        <v>121.67271812244785</v>
      </c>
      <c r="AL25" s="20">
        <f t="shared" si="4"/>
        <v>1170.4709173965966</v>
      </c>
      <c r="AM25" s="59">
        <f t="shared" si="5"/>
        <v>1454.0264729521523</v>
      </c>
      <c r="AN25" s="59">
        <f ca="1">AVERAGE(OFFSET($AM$3,0,0,'Données projet'!$E$10+1,1))-AVERAGE(OFFSET($H$3,0,0,'Données projet'!$E$10+1,1))</f>
        <v>662.13838733542616</v>
      </c>
      <c r="AO25" s="59">
        <f t="shared" si="36"/>
        <v>1194.915361841041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6.6486666666666672</v>
      </c>
      <c r="BD25" s="12">
        <f>IF('Données projet'!$A$88&gt;35,BD24+BC25-BL24,IF(A25&lt;'Données projet'!$A$88,$BA$205^A25,IF(A25='Données projet'!$A$88,'Données projet'!$B$88,BD24+BC25-BL24)))</f>
        <v>48.591569930826978</v>
      </c>
      <c r="BE25" s="13">
        <f>BD25*VLOOKUP('Données projet'!$B$11,Paramètres!$A$1:$I$89,3,0)*VLOOKUP('Données projet'!$B$11,Paramètres!$A$1:$I$89,5,0)</f>
        <v>22.740854727627028</v>
      </c>
      <c r="BF25" s="13">
        <f t="shared" si="37"/>
        <v>7.2849493916762684</v>
      </c>
      <c r="BG25" s="20">
        <f t="shared" si="7"/>
        <v>52.29494217445324</v>
      </c>
      <c r="BH25" s="59">
        <f t="shared" si="8"/>
        <v>335.85049773000878</v>
      </c>
      <c r="BI25" s="59">
        <f ca="1">AVERAGE(OFFSET($BH$3,0,0,'Données projet'!$E$11+1,1))-AVERAGE(OFFSET($H$3,0,0,'Données projet'!$E$11+1,1))</f>
        <v>321.82962838167799</v>
      </c>
      <c r="BJ25" s="59">
        <f t="shared" si="38"/>
        <v>243.43396255104295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232</v>
      </c>
      <c r="BW25" s="12">
        <f>VLOOKUP(A25,'Données projet'!$A$113:$I$133,9,0)</f>
        <v>20</v>
      </c>
      <c r="BX25" s="12">
        <f t="array" ref="BX25">INDEX(BW:BW,MIN(IF(ISNUMBER(BW25:BW221),ROW(BW25:BW221),"")))</f>
        <v>20</v>
      </c>
      <c r="BY25" s="12">
        <f>IF('Données projet'!$A$114&gt;35,BY24+BX25-CG24,IF(A25&lt;'Données projet'!$A$114,$BV$205^A25,IF(A25='Données projet'!$A$114,'Données projet'!$B$114,BY24+BX25-CG24)))</f>
        <v>232</v>
      </c>
      <c r="BZ25" s="13">
        <f>BY25*VLOOKUP('Données projet'!$B$12,Paramètres!$A$1:$I$89,3,0)*VLOOKUP('Données projet'!$B$12,Paramètres!$A$1:$I$89,5,0)</f>
        <v>138.73599999999999</v>
      </c>
      <c r="CA25" s="13">
        <f t="shared" si="39"/>
        <v>36.007288175538044</v>
      </c>
      <c r="CB25" s="20">
        <f t="shared" si="10"/>
        <v>304.34456023906205</v>
      </c>
      <c r="CC25" s="59">
        <f t="shared" si="11"/>
        <v>587.90011579461759</v>
      </c>
      <c r="CD25" s="59">
        <f ca="1">AVERAGE(OFFSET($CC$3,0,0,'Données projet'!$E$12+1,1))-AVERAGE(OFFSET($H$3,0,0,'Données projet'!$E$12+1,1))</f>
        <v>187.80389738728508</v>
      </c>
      <c r="CE25" s="59">
        <f t="shared" si="40"/>
        <v>439.28159165815265</v>
      </c>
      <c r="CF25" s="15">
        <f>IF(ISNA(VLOOKUP(A25,'Données projet'!$A$113:$I$133,3,0)),0,VLOOKUP(A25,'Données projet'!$A$113:$I$133,3,0))</f>
        <v>3</v>
      </c>
      <c r="CG25" s="15">
        <f>IF(ISNA(VLOOKUP(A25,'Données projet'!$A$113:$I$133,4,0)),0,VLOOKUP(A25,'Données projet'!$A$113:$I$133,4,0))</f>
        <v>56</v>
      </c>
      <c r="CH25" s="16">
        <f>IF(ISNA(VLOOKUP(A25,'Données projet'!$A$113:$I$133,5,0)),0%,VLOOKUP(A25,'Données projet'!$A$113:$I$133,5,0)*VLOOKUP('Données projet'!$B$12,Paramètres!$A$1:$I$89,7,0))</f>
        <v>0.27</v>
      </c>
      <c r="CI25" s="16">
        <f>IF(ISNA(VLOOKUP(A25,'Données projet'!$A$113:$I$133,6,0)),0%,VLOOKUP(A25,'Données projet'!$A$113:$I$133,6,0)*VLOOKUP('Données projet'!$B$12,Paramètres!$A$1:$I$89,7,0))</f>
        <v>0.18000000000000002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15.47020903867794</v>
      </c>
      <c r="CL25" s="21">
        <f>EXP(-LN(2)/25)*CL24+(1-EXP(-LN(2)/25))/(LN(2)/25)*Calculateur!CG25*Calculateur!CI25*VLOOKUP('Données projet'!$B$12,Paramètres!$A$1:$I$89,3,0)*0.475*44/12</f>
        <v>17.947634782186647</v>
      </c>
      <c r="CM25" s="21">
        <f>EXP(-LN(2)/2)*CM24+(1-EXP(-LN(2)/2))/(LN(2)/2)*CG25*CJ25*VLOOKUP('Données projet'!$B$12,Paramètres!$A$1:$I$89,3,0)*0.475*44/12</f>
        <v>0.71939209604087828</v>
      </c>
      <c r="CN25" s="22">
        <f t="shared" si="12"/>
        <v>34.137235916905468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2.5115384616666665</v>
      </c>
      <c r="CT25" s="12">
        <f>IF('Données projet'!$A$140&gt;35,CT24+CS25-DB24,IF(A25&lt;'Données projet'!$A$140,$CQ$205^A25,IF(A25='Données projet'!$A$140,'Données projet'!$B$140,CT24+CS25-DB24)))</f>
        <v>23.796411182299146</v>
      </c>
      <c r="CU25" s="17">
        <f>CT25*VLOOKUP('Données projet'!$B$13,Paramètres!$A$1:$I$89,3,0)*VLOOKUP('Données projet'!$B$13,Paramètres!$A$1:$I$89,5,0)</f>
        <v>27.099353054402265</v>
      </c>
      <c r="CV25" s="13">
        <f t="shared" si="41"/>
        <v>8.5057882977183077</v>
      </c>
      <c r="CW25" s="20">
        <f t="shared" si="13"/>
        <v>62.012287854943317</v>
      </c>
      <c r="CX25" s="59">
        <f t="shared" si="14"/>
        <v>345.56784341049888</v>
      </c>
      <c r="CY25" s="59">
        <f ca="1">AVERAGE(OFFSET($CX$3,0,0,'Données projet'!$E$13+1,1))-AVERAGE(OFFSET($H$3,0,0,'Données projet'!$E$13+1,1))</f>
        <v>770.11410336045037</v>
      </c>
      <c r="CZ25" s="59">
        <f t="shared" si="42"/>
        <v>227.12611049004596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3.6141025633333332</v>
      </c>
      <c r="DO25" s="12">
        <f>IF('Données projet'!$A$166&gt;35,DO24+DN25-DW24,IF(A25&lt;'Données projet'!$A$166,$DL$205^A25,IF(A25='Données projet'!$A$166,'Données projet'!$B$166,DO24+DN25-DW24)))</f>
        <v>31.075820226595585</v>
      </c>
      <c r="DP25" s="17">
        <f>DO25*VLOOKUP('Données projet'!$B$14,Paramètres!$A$1:$I$89,3,0)*VLOOKUP('Données projet'!$B$14,Paramètres!$A$1:$I$89,5,0)</f>
        <v>31.510881709767922</v>
      </c>
      <c r="DQ25" s="13">
        <f t="shared" si="43"/>
        <v>9.7183337937426657</v>
      </c>
      <c r="DR25" s="20">
        <f t="shared" si="16"/>
        <v>71.807550335280936</v>
      </c>
      <c r="DS25" s="59">
        <f t="shared" si="17"/>
        <v>355.36310589083649</v>
      </c>
      <c r="DT25" s="59">
        <f ca="1">AVERAGE(OFFSET($DS$3,0,0,'Données projet'!$E$14+1,1))-AVERAGE(OFFSET($H$3,0,0,'Données projet'!$E$14+1,1))</f>
        <v>778.88878505968955</v>
      </c>
      <c r="DU25" s="59">
        <f t="shared" si="44"/>
        <v>279.20782832611059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13</v>
      </c>
      <c r="N26" s="13">
        <f>IF('Données projet'!$A$36&gt;35,N25+M26-V25,IF(A26&lt;'Données projet'!$A$36,$K$205^A26,IF(A26='Données projet'!$A$36,'Données projet'!$B$36,N25+M26-V25)))</f>
        <v>232.99999999999991</v>
      </c>
      <c r="O26" s="13">
        <f>N26*VLOOKUP('Données projet'!$B$9,Paramètres!$A$1:$I$89,3,0)*VLOOKUP('Données projet'!$B$9,Paramètres!$A$1:$I$89,5,0)</f>
        <v>210.81839999999988</v>
      </c>
      <c r="P26" s="13">
        <f t="shared" si="33"/>
        <v>52.114386184062155</v>
      </c>
      <c r="Q26" s="20">
        <f t="shared" si="2"/>
        <v>457.94126927057465</v>
      </c>
      <c r="R26" s="59">
        <f t="shared" si="0"/>
        <v>742.71904704835242</v>
      </c>
      <c r="S26" s="59">
        <f ca="1">AVERAGE(OFFSET($R$3,0,0,'Données projet'!$E$9+1,1))-AVERAGE(OFFSET($H$3,0,0,'Données projet'!$E$9+1,1))</f>
        <v>436.4497226650281</v>
      </c>
      <c r="T26" s="59">
        <f t="shared" si="34"/>
        <v>611.43967996341871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630</v>
      </c>
      <c r="AJ26" s="13">
        <f>AI26*VLOOKUP('Données projet'!$B$10,Paramètres!$A$1:$I$89,3,0)*VLOOKUP('Données projet'!$B$10,Paramètres!$A$1:$I$89,5,0)</f>
        <v>550.36800000000005</v>
      </c>
      <c r="AK26" s="13">
        <f t="shared" si="35"/>
        <v>121.67271812244785</v>
      </c>
      <c r="AL26" s="20">
        <f t="shared" si="4"/>
        <v>1170.4709173965966</v>
      </c>
      <c r="AM26" s="59">
        <f t="shared" si="5"/>
        <v>1455.2486951743745</v>
      </c>
      <c r="AN26" s="59">
        <f ca="1">AVERAGE(OFFSET($AM$3,0,0,'Données projet'!$E$10+1,1))-AVERAGE(OFFSET($H$3,0,0,'Données projet'!$E$10+1,1))</f>
        <v>662.13838733542616</v>
      </c>
      <c r="AO26" s="59">
        <f t="shared" si="36"/>
        <v>1194.915361841041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6.6486666666666672</v>
      </c>
      <c r="BD26" s="12">
        <f>IF('Données projet'!$A$88&gt;35,BD25+BC26-BL25,IF(A26&lt;'Données projet'!$A$88,$BA$205^A26,IF(A26='Données projet'!$A$88,'Données projet'!$B$88,BD25+BC26-BL25)))</f>
        <v>57.97260172076723</v>
      </c>
      <c r="BE26" s="13">
        <f>BD26*VLOOKUP('Données projet'!$B$11,Paramètres!$A$1:$I$89,3,0)*VLOOKUP('Données projet'!$B$11,Paramètres!$A$1:$I$89,5,0)</f>
        <v>27.131177605319063</v>
      </c>
      <c r="BF26" s="13">
        <f t="shared" si="37"/>
        <v>8.5146138921494803</v>
      </c>
      <c r="BG26" s="20">
        <f t="shared" si="7"/>
        <v>62.083086858091036</v>
      </c>
      <c r="BH26" s="59">
        <f t="shared" si="8"/>
        <v>346.86086463586878</v>
      </c>
      <c r="BI26" s="59">
        <f ca="1">AVERAGE(OFFSET($BH$3,0,0,'Données projet'!$E$11+1,1))-AVERAGE(OFFSET($H$3,0,0,'Données projet'!$E$11+1,1))</f>
        <v>321.82962838167799</v>
      </c>
      <c r="BJ26" s="59">
        <f t="shared" si="38"/>
        <v>243.43396255104295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>
        <f>VLOOKUP(A26,'Données projet'!$A$113:$I$133,2,0)</f>
        <v>192</v>
      </c>
      <c r="BW26" s="12">
        <f>VLOOKUP(A26,'Données projet'!$A$113:$I$133,9,0)</f>
        <v>16</v>
      </c>
      <c r="BX26" s="12">
        <f t="array" ref="BX26">INDEX(BW:BW,MIN(IF(ISNUMBER(BW26:BW222),ROW(BW26:BW222),"")))</f>
        <v>16</v>
      </c>
      <c r="BY26" s="12">
        <f>IF('Données projet'!$A$114&gt;35,BY25+BX26-CG25,IF(A26&lt;'Données projet'!$A$114,$BV$205^A26,IF(A26='Données projet'!$A$114,'Données projet'!$B$114,BY25+BX26-CG25)))</f>
        <v>192</v>
      </c>
      <c r="BZ26" s="13">
        <f>BY26*VLOOKUP('Données projet'!$B$12,Paramètres!$A$1:$I$89,3,0)*VLOOKUP('Données projet'!$B$12,Paramètres!$A$1:$I$89,5,0)</f>
        <v>114.81600000000002</v>
      </c>
      <c r="CA26" s="13">
        <f t="shared" si="39"/>
        <v>30.462826482209831</v>
      </c>
      <c r="CB26" s="20">
        <f t="shared" si="10"/>
        <v>253.02728945651543</v>
      </c>
      <c r="CC26" s="59">
        <f t="shared" si="11"/>
        <v>537.80506723429323</v>
      </c>
      <c r="CD26" s="59">
        <f ca="1">AVERAGE(OFFSET($CC$3,0,0,'Données projet'!$E$12+1,1))-AVERAGE(OFFSET($H$3,0,0,'Données projet'!$E$12+1,1))</f>
        <v>187.80389738728508</v>
      </c>
      <c r="CE26" s="59">
        <f t="shared" si="40"/>
        <v>439.28159165815265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15.166847675325261</v>
      </c>
      <c r="CL26" s="21">
        <f>EXP(-LN(2)/25)*CL25+(1-EXP(-LN(2)/25))/(LN(2)/25)*Calculateur!CG26*Calculateur!CI26*VLOOKUP('Données projet'!$B$12,Paramètres!$A$1:$I$89,3,0)*0.475*44/12</f>
        <v>17.456855765242661</v>
      </c>
      <c r="CM26" s="21">
        <f>EXP(-LN(2)/2)*CM25+(1-EXP(-LN(2)/2))/(LN(2)/2)*CG26*CJ26*VLOOKUP('Données projet'!$B$12,Paramètres!$A$1:$I$89,3,0)*0.475*44/12</f>
        <v>0.5086870294425091</v>
      </c>
      <c r="CN26" s="22">
        <f t="shared" si="12"/>
        <v>33.132390470010435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2.5115384616666665</v>
      </c>
      <c r="CT26" s="12">
        <f>IF('Données projet'!$A$140&gt;35,CT25+CS26-DB25,IF(A26&lt;'Données projet'!$A$140,$CQ$205^A26,IF(A26='Données projet'!$A$140,'Données projet'!$B$140,CT25+CS26-DB25)))</f>
        <v>27.4840144055953</v>
      </c>
      <c r="CU26" s="17">
        <f>CT26*VLOOKUP('Données projet'!$B$13,Paramètres!$A$1:$I$89,3,0)*VLOOKUP('Données projet'!$B$13,Paramètres!$A$1:$I$89,5,0)</f>
        <v>31.298795605091929</v>
      </c>
      <c r="CV26" s="13">
        <f t="shared" si="41"/>
        <v>9.6605149111047659</v>
      </c>
      <c r="CW26" s="20">
        <f t="shared" si="13"/>
        <v>71.337465815709237</v>
      </c>
      <c r="CX26" s="59">
        <f t="shared" si="14"/>
        <v>356.11524359348698</v>
      </c>
      <c r="CY26" s="59">
        <f ca="1">AVERAGE(OFFSET($CX$3,0,0,'Données projet'!$E$13+1,1))-AVERAGE(OFFSET($H$3,0,0,'Données projet'!$E$13+1,1))</f>
        <v>770.11410336045037</v>
      </c>
      <c r="CZ26" s="59">
        <f t="shared" si="42"/>
        <v>227.12611049004596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3.6141025633333332</v>
      </c>
      <c r="DO26" s="12">
        <f>IF('Données projet'!$A$166&gt;35,DO25+DN26-DW25,IF(A26&lt;'Données projet'!$A$166,$DL$205^A26,IF(A26='Données projet'!$A$166,'Données projet'!$B$166,DO25+DN26-DW25)))</f>
        <v>36.329547729727011</v>
      </c>
      <c r="DP26" s="17">
        <f>DO26*VLOOKUP('Données projet'!$B$14,Paramètres!$A$1:$I$89,3,0)*VLOOKUP('Données projet'!$B$14,Paramètres!$A$1:$I$89,5,0)</f>
        <v>36.838161397943196</v>
      </c>
      <c r="DQ26" s="13">
        <f t="shared" si="43"/>
        <v>11.156627429018375</v>
      </c>
      <c r="DR26" s="20">
        <f t="shared" si="16"/>
        <v>83.590923873624732</v>
      </c>
      <c r="DS26" s="59">
        <f t="shared" si="17"/>
        <v>368.36870165140249</v>
      </c>
      <c r="DT26" s="59">
        <f ca="1">AVERAGE(OFFSET($DS$3,0,0,'Données projet'!$E$14+1,1))-AVERAGE(OFFSET($H$3,0,0,'Données projet'!$E$14+1,1))</f>
        <v>778.88878505968955</v>
      </c>
      <c r="DU26" s="59">
        <f t="shared" si="44"/>
        <v>279.20782832611059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13</v>
      </c>
      <c r="N27" s="13">
        <f>IF('Données projet'!$A$36&gt;35,N26+M27-V26,IF(A27&lt;'Données projet'!$A$36,$K$205^A27,IF(A27='Données projet'!$A$36,'Données projet'!$B$36,N26+M27-V26)))</f>
        <v>245.99999999999991</v>
      </c>
      <c r="O27" s="13">
        <f>N27*VLOOKUP('Données projet'!$B$9,Paramètres!$A$1:$I$89,3,0)*VLOOKUP('Données projet'!$B$9,Paramètres!$A$1:$I$89,5,0)</f>
        <v>222.58079999999993</v>
      </c>
      <c r="P27" s="13">
        <f t="shared" si="33"/>
        <v>54.675428546153199</v>
      </c>
      <c r="Q27" s="20">
        <f t="shared" si="2"/>
        <v>482.88793138454997</v>
      </c>
      <c r="R27" s="59">
        <f t="shared" si="0"/>
        <v>768.88793138455003</v>
      </c>
      <c r="S27" s="59">
        <f ca="1">AVERAGE(OFFSET($R$3,0,0,'Données projet'!$E$9+1,1))-AVERAGE(OFFSET($H$3,0,0,'Données projet'!$E$9+1,1))</f>
        <v>436.4497226650281</v>
      </c>
      <c r="T27" s="59">
        <f t="shared" si="34"/>
        <v>611.43967996341871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630</v>
      </c>
      <c r="AJ27" s="13">
        <f>AI27*VLOOKUP('Données projet'!$B$10,Paramètres!$A$1:$I$89,3,0)*VLOOKUP('Données projet'!$B$10,Paramètres!$A$1:$I$89,5,0)</f>
        <v>550.36800000000005</v>
      </c>
      <c r="AK27" s="13">
        <f t="shared" si="35"/>
        <v>121.67271812244785</v>
      </c>
      <c r="AL27" s="20">
        <f t="shared" si="4"/>
        <v>1170.4709173965966</v>
      </c>
      <c r="AM27" s="59">
        <f t="shared" si="5"/>
        <v>1456.4709173965966</v>
      </c>
      <c r="AN27" s="59">
        <f ca="1">AVERAGE(OFFSET($AM$3,0,0,'Données projet'!$E$10+1,1))-AVERAGE(OFFSET($H$3,0,0,'Données projet'!$E$10+1,1))</f>
        <v>662.13838733542616</v>
      </c>
      <c r="AO27" s="59">
        <f t="shared" si="36"/>
        <v>1194.915361841041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6.6486666666666672</v>
      </c>
      <c r="BD27" s="12">
        <f>IF('Données projet'!$A$88&gt;35,BD26+BC27-BL26,IF(A27&lt;'Données projet'!$A$88,$BA$205^A27,IF(A27='Données projet'!$A$88,'Données projet'!$B$88,BD26+BC27-BL26)))</f>
        <v>69.164724561462748</v>
      </c>
      <c r="BE27" s="13">
        <f>BD27*VLOOKUP('Données projet'!$B$11,Paramètres!$A$1:$I$89,3,0)*VLOOKUP('Données projet'!$B$11,Paramètres!$A$1:$I$89,5,0)</f>
        <v>32.36909109476457</v>
      </c>
      <c r="BF27" s="13">
        <f t="shared" si="37"/>
        <v>9.9518398597554256</v>
      </c>
      <c r="BG27" s="20">
        <f t="shared" si="7"/>
        <v>73.708954745788986</v>
      </c>
      <c r="BH27" s="59">
        <f t="shared" si="8"/>
        <v>359.70895474578901</v>
      </c>
      <c r="BI27" s="59">
        <f ca="1">AVERAGE(OFFSET($BH$3,0,0,'Données projet'!$E$11+1,1))-AVERAGE(OFFSET($H$3,0,0,'Données projet'!$E$11+1,1))</f>
        <v>321.82962838167799</v>
      </c>
      <c r="BJ27" s="59">
        <f t="shared" si="38"/>
        <v>243.43396255104295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209</v>
      </c>
      <c r="BW27" s="12">
        <f>VLOOKUP(A27,'Données projet'!$A$113:$I$133,9,0)</f>
        <v>17</v>
      </c>
      <c r="BX27" s="12">
        <f t="array" ref="BX27">INDEX(BW:BW,MIN(IF(ISNUMBER(BW27:BW223),ROW(BW27:BW223),"")))</f>
        <v>17</v>
      </c>
      <c r="BY27" s="12">
        <f>IF('Données projet'!$A$114&gt;35,BY26+BX27-CG26,IF(A27&lt;'Données projet'!$A$114,$BV$205^A27,IF(A27='Données projet'!$A$114,'Données projet'!$B$114,BY26+BX27-CG26)))</f>
        <v>209</v>
      </c>
      <c r="BZ27" s="13">
        <f>BY27*VLOOKUP('Données projet'!$B$12,Paramètres!$A$1:$I$89,3,0)*VLOOKUP('Données projet'!$B$12,Paramètres!$A$1:$I$89,5,0)</f>
        <v>124.982</v>
      </c>
      <c r="CA27" s="13">
        <f t="shared" si="39"/>
        <v>32.834203796212122</v>
      </c>
      <c r="CB27" s="20">
        <f t="shared" si="10"/>
        <v>274.86322161173604</v>
      </c>
      <c r="CC27" s="59">
        <f t="shared" si="11"/>
        <v>560.86322161173598</v>
      </c>
      <c r="CD27" s="59">
        <f ca="1">AVERAGE(OFFSET($CC$3,0,0,'Données projet'!$E$12+1,1))-AVERAGE(OFFSET($H$3,0,0,'Données projet'!$E$12+1,1))</f>
        <v>187.80389738728508</v>
      </c>
      <c r="CE27" s="59">
        <f t="shared" si="40"/>
        <v>439.28159165815265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14.869435043275768</v>
      </c>
      <c r="CL27" s="21">
        <f>EXP(-LN(2)/25)*CL26+(1-EXP(-LN(2)/25))/(LN(2)/25)*Calculateur!CG27*Calculateur!CI27*VLOOKUP('Données projet'!$B$12,Paramètres!$A$1:$I$89,3,0)*0.475*44/12</f>
        <v>16.979497126325953</v>
      </c>
      <c r="CM27" s="21">
        <f>EXP(-LN(2)/2)*CM26+(1-EXP(-LN(2)/2))/(LN(2)/2)*CG27*CJ27*VLOOKUP('Données projet'!$B$12,Paramètres!$A$1:$I$89,3,0)*0.475*44/12</f>
        <v>0.35969604802043914</v>
      </c>
      <c r="CN27" s="22">
        <f t="shared" si="12"/>
        <v>32.208628217622163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2.5115384616666665</v>
      </c>
      <c r="CT27" s="12">
        <f>IF('Données projet'!$A$140&gt;35,CT26+CS27-DB26,IF(A27&lt;'Données projet'!$A$140,$CQ$205^A27,IF(A27='Données projet'!$A$140,'Données projet'!$B$140,CT26+CS27-DB26)))</f>
        <v>31.743065879146062</v>
      </c>
      <c r="CU27" s="17">
        <f>CT27*VLOOKUP('Données projet'!$B$13,Paramètres!$A$1:$I$89,3,0)*VLOOKUP('Données projet'!$B$13,Paramètres!$A$1:$I$89,5,0)</f>
        <v>36.149003423171536</v>
      </c>
      <c r="CV27" s="13">
        <f t="shared" si="41"/>
        <v>10.972004602173346</v>
      </c>
      <c r="CW27" s="20">
        <f t="shared" si="13"/>
        <v>82.069088977475658</v>
      </c>
      <c r="CX27" s="59">
        <f t="shared" si="14"/>
        <v>368.06908897747564</v>
      </c>
      <c r="CY27" s="59">
        <f ca="1">AVERAGE(OFFSET($CX$3,0,0,'Données projet'!$E$13+1,1))-AVERAGE(OFFSET($H$3,0,0,'Données projet'!$E$13+1,1))</f>
        <v>770.11410336045037</v>
      </c>
      <c r="CZ27" s="59">
        <f t="shared" si="42"/>
        <v>227.12611049004596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3.6141025633333332</v>
      </c>
      <c r="DO27" s="12">
        <f>IF('Données projet'!$A$166&gt;35,DO26+DN27-DW26,IF(A27&lt;'Données projet'!$A$166,$DL$205^A27,IF(A27='Données projet'!$A$166,'Données projet'!$B$166,DO26+DN27-DW26)))</f>
        <v>42.471478745296629</v>
      </c>
      <c r="DP27" s="17">
        <f>DO27*VLOOKUP('Données projet'!$B$14,Paramètres!$A$1:$I$89,3,0)*VLOOKUP('Données projet'!$B$14,Paramètres!$A$1:$I$89,5,0)</f>
        <v>43.066079447730786</v>
      </c>
      <c r="DQ27" s="13">
        <f t="shared" si="43"/>
        <v>12.80778559695775</v>
      </c>
      <c r="DR27" s="20">
        <f t="shared" si="16"/>
        <v>97.313648286165858</v>
      </c>
      <c r="DS27" s="59">
        <f t="shared" si="17"/>
        <v>383.31364828616586</v>
      </c>
      <c r="DT27" s="59">
        <f ca="1">AVERAGE(OFFSET($DS$3,0,0,'Données projet'!$E$14+1,1))-AVERAGE(OFFSET($H$3,0,0,'Données projet'!$E$14+1,1))</f>
        <v>778.88878505968955</v>
      </c>
      <c r="DU27" s="59">
        <f t="shared" si="44"/>
        <v>279.20782832611059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259</v>
      </c>
      <c r="L28" s="12">
        <f>VLOOKUP(A28,'Données projet'!$A$35:$I$55,9,0)</f>
        <v>13</v>
      </c>
      <c r="M28" s="12">
        <f t="array" ref="M28">INDEX(L:L,MIN(IF(ISNUMBER(L28:L224),ROW(L28:L224),"")))</f>
        <v>13</v>
      </c>
      <c r="N28" s="13">
        <f>IF('Données projet'!$A$36&gt;35,N27+M28-V27,IF(A28&lt;'Données projet'!$A$36,$K$205^A28,IF(A28='Données projet'!$A$36,'Données projet'!$B$36,N27+M28-V27)))</f>
        <v>258.99999999999989</v>
      </c>
      <c r="O28" s="13">
        <f>N28*VLOOKUP('Données projet'!$B$9,Paramètres!$A$1:$I$89,3,0)*VLOOKUP('Données projet'!$B$9,Paramètres!$A$1:$I$89,5,0)</f>
        <v>234.34319999999988</v>
      </c>
      <c r="P28" s="13">
        <f t="shared" si="33"/>
        <v>57.220758006491614</v>
      </c>
      <c r="Q28" s="20">
        <f t="shared" si="2"/>
        <v>507.80722686130594</v>
      </c>
      <c r="R28" s="59">
        <f t="shared" si="0"/>
        <v>795.02944908352811</v>
      </c>
      <c r="S28" s="59">
        <f ca="1">AVERAGE(OFFSET($R$3,0,0,'Données projet'!$E$9+1,1))-AVERAGE(OFFSET($H$3,0,0,'Données projet'!$E$9+1,1))</f>
        <v>436.4497226650281</v>
      </c>
      <c r="T28" s="59">
        <f t="shared" si="34"/>
        <v>611.43967996341871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630</v>
      </c>
      <c r="AJ28" s="13">
        <f>AI28*VLOOKUP('Données projet'!$B$10,Paramètres!$A$1:$I$89,3,0)*VLOOKUP('Données projet'!$B$10,Paramètres!$A$1:$I$89,5,0)</f>
        <v>550.36800000000005</v>
      </c>
      <c r="AK28" s="13">
        <f t="shared" si="35"/>
        <v>121.67271812244785</v>
      </c>
      <c r="AL28" s="20">
        <f t="shared" si="4"/>
        <v>1170.4709173965966</v>
      </c>
      <c r="AM28" s="59">
        <f t="shared" si="5"/>
        <v>1457.6931396188188</v>
      </c>
      <c r="AN28" s="59">
        <f ca="1">AVERAGE(OFFSET($AM$3,0,0,'Données projet'!$E$10+1,1))-AVERAGE(OFFSET($H$3,0,0,'Données projet'!$E$10+1,1))</f>
        <v>662.13838733542616</v>
      </c>
      <c r="AO28" s="59">
        <f t="shared" si="36"/>
        <v>1194.915361841041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6.6486666666666672</v>
      </c>
      <c r="BD28" s="12">
        <f>IF('Données projet'!$A$88&gt;35,BD27+BC28-BL27,IF(A28&lt;'Données projet'!$A$88,$BA$205^A28,IF(A28='Données projet'!$A$88,'Données projet'!$B$88,BD27+BC28-BL27)))</f>
        <v>82.517585577832506</v>
      </c>
      <c r="BE28" s="13">
        <f>BD28*VLOOKUP('Données projet'!$B$11,Paramètres!$A$1:$I$89,3,0)*VLOOKUP('Données projet'!$B$11,Paramètres!$A$1:$I$89,5,0)</f>
        <v>38.618230050425609</v>
      </c>
      <c r="BF28" s="13">
        <f t="shared" si="37"/>
        <v>11.631662674162071</v>
      </c>
      <c r="BG28" s="20">
        <f t="shared" si="7"/>
        <v>87.518563161990201</v>
      </c>
      <c r="BH28" s="59">
        <f t="shared" si="8"/>
        <v>374.74078538421242</v>
      </c>
      <c r="BI28" s="59">
        <f ca="1">AVERAGE(OFFSET($BH$3,0,0,'Données projet'!$E$11+1,1))-AVERAGE(OFFSET($H$3,0,0,'Données projet'!$E$11+1,1))</f>
        <v>321.82962838167799</v>
      </c>
      <c r="BJ28" s="59">
        <f t="shared" si="38"/>
        <v>243.43396255104295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226</v>
      </c>
      <c r="BW28" s="12">
        <f>VLOOKUP(A28,'Données projet'!$A$113:$I$133,9,0)</f>
        <v>17</v>
      </c>
      <c r="BX28" s="12">
        <f t="array" ref="BX28">INDEX(BW:BW,MIN(IF(ISNUMBER(BW28:BW224),ROW(BW28:BW224),"")))</f>
        <v>17</v>
      </c>
      <c r="BY28" s="12">
        <f>IF('Données projet'!$A$114&gt;35,BY27+BX28-CG27,IF(A28&lt;'Données projet'!$A$114,$BV$205^A28,IF(A28='Données projet'!$A$114,'Données projet'!$B$114,BY27+BX28-CG27)))</f>
        <v>226</v>
      </c>
      <c r="BZ28" s="13">
        <f>BY28*VLOOKUP('Données projet'!$B$12,Paramètres!$A$1:$I$89,3,0)*VLOOKUP('Données projet'!$B$12,Paramètres!$A$1:$I$89,5,0)</f>
        <v>135.14800000000002</v>
      </c>
      <c r="CA28" s="13">
        <f t="shared" si="39"/>
        <v>35.183208974998173</v>
      </c>
      <c r="CB28" s="20">
        <f t="shared" si="10"/>
        <v>296.66018896478852</v>
      </c>
      <c r="CC28" s="59">
        <f t="shared" si="11"/>
        <v>583.8824111870108</v>
      </c>
      <c r="CD28" s="59">
        <f ca="1">AVERAGE(OFFSET($CC$3,0,0,'Données projet'!$E$12+1,1))-AVERAGE(OFFSET($H$3,0,0,'Données projet'!$E$12+1,1))</f>
        <v>187.80389738728508</v>
      </c>
      <c r="CE28" s="59">
        <f t="shared" si="40"/>
        <v>439.28159165815265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14.577854491536971</v>
      </c>
      <c r="CL28" s="21">
        <f>EXP(-LN(2)/25)*CL27+(1-EXP(-LN(2)/25))/(LN(2)/25)*Calculateur!CG28*Calculateur!CI28*VLOOKUP('Données projet'!$B$12,Paramètres!$A$1:$I$89,3,0)*0.475*44/12</f>
        <v>16.515191884493621</v>
      </c>
      <c r="CM28" s="21">
        <f>EXP(-LN(2)/2)*CM27+(1-EXP(-LN(2)/2))/(LN(2)/2)*CG28*CJ28*VLOOKUP('Données projet'!$B$12,Paramètres!$A$1:$I$89,3,0)*0.475*44/12</f>
        <v>0.25434351472125455</v>
      </c>
      <c r="CN28" s="22">
        <f t="shared" si="12"/>
        <v>31.347389890751849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2.5115384616666665</v>
      </c>
      <c r="CT28" s="12">
        <f>IF('Données projet'!$A$140&gt;35,CT27+CS28-DB27,IF(A28&lt;'Données projet'!$A$140,$CQ$205^A28,IF(A28='Données projet'!$A$140,'Données projet'!$B$140,CT27+CS28-DB27)))</f>
        <v>36.662119897691205</v>
      </c>
      <c r="CU28" s="17">
        <f>CT28*VLOOKUP('Données projet'!$B$13,Paramètres!$A$1:$I$89,3,0)*VLOOKUP('Données projet'!$B$13,Paramètres!$A$1:$I$89,5,0)</f>
        <v>41.750822139490744</v>
      </c>
      <c r="CV28" s="13">
        <f t="shared" si="41"/>
        <v>12.461539172382071</v>
      </c>
      <c r="CW28" s="20">
        <f t="shared" si="13"/>
        <v>94.41986261817847</v>
      </c>
      <c r="CX28" s="59">
        <f t="shared" si="14"/>
        <v>381.64208484040068</v>
      </c>
      <c r="CY28" s="59">
        <f ca="1">AVERAGE(OFFSET($CX$3,0,0,'Données projet'!$E$13+1,1))-AVERAGE(OFFSET($H$3,0,0,'Données projet'!$E$13+1,1))</f>
        <v>770.11410336045037</v>
      </c>
      <c r="CZ28" s="59">
        <f t="shared" si="42"/>
        <v>227.12611049004596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3.6141025633333332</v>
      </c>
      <c r="DO28" s="12">
        <f>IF('Données projet'!$A$166&gt;35,DO27+DN28-DW27,IF(A28&lt;'Données projet'!$A$166,$DL$205^A28,IF(A28='Données projet'!$A$166,'Données projet'!$B$166,DO27+DN28-DW27)))</f>
        <v>49.65177436921914</v>
      </c>
      <c r="DP28" s="17">
        <f>DO28*VLOOKUP('Données projet'!$B$14,Paramètres!$A$1:$I$89,3,0)*VLOOKUP('Données projet'!$B$14,Paramètres!$A$1:$I$89,5,0)</f>
        <v>50.346899210388209</v>
      </c>
      <c r="DQ28" s="13">
        <f t="shared" si="43"/>
        <v>14.703311815448123</v>
      </c>
      <c r="DR28" s="20">
        <f t="shared" si="16"/>
        <v>113.29578420333161</v>
      </c>
      <c r="DS28" s="59">
        <f t="shared" si="17"/>
        <v>400.51800642555384</v>
      </c>
      <c r="DT28" s="59">
        <f ca="1">AVERAGE(OFFSET($DS$3,0,0,'Données projet'!$E$14+1,1))-AVERAGE(OFFSET($H$3,0,0,'Données projet'!$E$14+1,1))</f>
        <v>778.88878505968955</v>
      </c>
      <c r="DU28" s="59">
        <f t="shared" si="44"/>
        <v>279.20782832611059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10.6</v>
      </c>
      <c r="N29" s="13">
        <f>IF('Données projet'!$A$36&gt;35,N28+M29-V28,IF(A29&lt;'Données projet'!$A$36,$K$205^A29,IF(A29='Données projet'!$A$36,'Données projet'!$B$36,N28+M29-V28)))</f>
        <v>251.59999999999991</v>
      </c>
      <c r="O29" s="13">
        <f>N29*VLOOKUP('Données projet'!$B$9,Paramètres!$A$1:$I$89,3,0)*VLOOKUP('Données projet'!$B$9,Paramètres!$A$1:$I$89,5,0)</f>
        <v>227.64767999999992</v>
      </c>
      <c r="P29" s="13">
        <f t="shared" si="33"/>
        <v>55.773751036838313</v>
      </c>
      <c r="Q29" s="20">
        <f t="shared" si="2"/>
        <v>493.62565905582659</v>
      </c>
      <c r="R29" s="59">
        <f t="shared" si="0"/>
        <v>782.07010350027099</v>
      </c>
      <c r="S29" s="59">
        <f ca="1">AVERAGE(OFFSET($R$3,0,0,'Données projet'!$E$9+1,1))-AVERAGE(OFFSET($H$3,0,0,'Données projet'!$E$9+1,1))</f>
        <v>436.4497226650281</v>
      </c>
      <c r="T29" s="59">
        <f t="shared" si="34"/>
        <v>611.43967996341871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630</v>
      </c>
      <c r="AJ29" s="13">
        <f>AI29*VLOOKUP('Données projet'!$B$10,Paramètres!$A$1:$I$89,3,0)*VLOOKUP('Données projet'!$B$10,Paramètres!$A$1:$I$89,5,0)</f>
        <v>550.36800000000005</v>
      </c>
      <c r="AK29" s="13">
        <f t="shared" si="35"/>
        <v>121.67271812244785</v>
      </c>
      <c r="AL29" s="20">
        <f t="shared" si="4"/>
        <v>1170.4709173965966</v>
      </c>
      <c r="AM29" s="59">
        <f t="shared" si="5"/>
        <v>1458.915361841041</v>
      </c>
      <c r="AN29" s="59">
        <f ca="1">AVERAGE(OFFSET($AM$3,0,0,'Données projet'!$E$10+1,1))-AVERAGE(OFFSET($H$3,0,0,'Données projet'!$E$10+1,1))</f>
        <v>662.13838733542616</v>
      </c>
      <c r="AO29" s="59">
        <f t="shared" si="36"/>
        <v>1194.915361841041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6.6486666666666672</v>
      </c>
      <c r="BD29" s="12">
        <f>IF('Données projet'!$A$88&gt;35,BD28+BC29-BL28,IF(A29&lt;'Données projet'!$A$88,$BA$205^A29,IF(A29='Données projet'!$A$88,'Données projet'!$B$88,BD28+BC29-BL28)))</f>
        <v>98.448334360733313</v>
      </c>
      <c r="BE29" s="13">
        <f>BD29*VLOOKUP('Données projet'!$B$11,Paramètres!$A$1:$I$89,3,0)*VLOOKUP('Données projet'!$B$11,Paramètres!$A$1:$I$89,5,0)</f>
        <v>46.073820480823194</v>
      </c>
      <c r="BF29" s="13">
        <f t="shared" si="37"/>
        <v>13.595031519007989</v>
      </c>
      <c r="BG29" s="20">
        <f t="shared" si="7"/>
        <v>103.92325056637264</v>
      </c>
      <c r="BH29" s="59">
        <f t="shared" si="8"/>
        <v>392.3676950108171</v>
      </c>
      <c r="BI29" s="59">
        <f ca="1">AVERAGE(OFFSET($BH$3,0,0,'Données projet'!$E$11+1,1))-AVERAGE(OFFSET($H$3,0,0,'Données projet'!$E$11+1,1))</f>
        <v>321.82962838167799</v>
      </c>
      <c r="BJ29" s="59">
        <f t="shared" si="38"/>
        <v>243.43396255104295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>
        <f>VLOOKUP(A29,'Données projet'!$A$113:$I$133,2,0)</f>
        <v>244</v>
      </c>
      <c r="BW29" s="12">
        <f>VLOOKUP(A29,'Données projet'!$A$113:$I$133,9,0)</f>
        <v>18</v>
      </c>
      <c r="BX29" s="12">
        <f t="array" ref="BX29">INDEX(BW:BW,MIN(IF(ISNUMBER(BW29:BW225),ROW(BW29:BW225),"")))</f>
        <v>18</v>
      </c>
      <c r="BY29" s="12">
        <f>IF('Données projet'!$A$114&gt;35,BY28+BX29-CG28,IF(A29&lt;'Données projet'!$A$114,$BV$205^A29,IF(A29='Données projet'!$A$114,'Données projet'!$B$114,BY28+BX29-CG28)))</f>
        <v>244</v>
      </c>
      <c r="BZ29" s="13">
        <f>BY29*VLOOKUP('Données projet'!$B$12,Paramètres!$A$1:$I$89,3,0)*VLOOKUP('Données projet'!$B$12,Paramètres!$A$1:$I$89,5,0)</f>
        <v>145.91200000000001</v>
      </c>
      <c r="CA29" s="13">
        <f t="shared" si="39"/>
        <v>37.648084239987625</v>
      </c>
      <c r="CB29" s="20">
        <f t="shared" si="10"/>
        <v>319.70048005131179</v>
      </c>
      <c r="CC29" s="59">
        <f t="shared" si="11"/>
        <v>608.14492449575619</v>
      </c>
      <c r="CD29" s="59">
        <f ca="1">AVERAGE(OFFSET($CC$3,0,0,'Données projet'!$E$12+1,1))-AVERAGE(OFFSET($H$3,0,0,'Données projet'!$E$12+1,1))</f>
        <v>187.80389738728508</v>
      </c>
      <c r="CE29" s="59">
        <f t="shared" si="40"/>
        <v>439.28159165815265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14.291991656571197</v>
      </c>
      <c r="CL29" s="21">
        <f>EXP(-LN(2)/25)*CL28+(1-EXP(-LN(2)/25))/(LN(2)/25)*Calculateur!CG29*Calculateur!CI29*VLOOKUP('Données projet'!$B$12,Paramètres!$A$1:$I$89,3,0)*0.475*44/12</f>
        <v>16.063583093915948</v>
      </c>
      <c r="CM29" s="21">
        <f>EXP(-LN(2)/2)*CM28+(1-EXP(-LN(2)/2))/(LN(2)/2)*CG29*CJ29*VLOOKUP('Données projet'!$B$12,Paramètres!$A$1:$I$89,3,0)*0.475*44/12</f>
        <v>0.17984802401021957</v>
      </c>
      <c r="CN29" s="22">
        <f t="shared" si="12"/>
        <v>30.535422774497363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2.5115384616666665</v>
      </c>
      <c r="CT29" s="12">
        <f>IF('Données projet'!$A$140&gt;35,CT28+CS29-DB28,IF(A29&lt;'Données projet'!$A$140,$CQ$205^A29,IF(A29='Données projet'!$A$140,'Données projet'!$B$140,CT28+CS29-DB28)))</f>
        <v>42.343453543840354</v>
      </c>
      <c r="CU29" s="17">
        <f>CT29*VLOOKUP('Données projet'!$B$13,Paramètres!$A$1:$I$89,3,0)*VLOOKUP('Données projet'!$B$13,Paramètres!$A$1:$I$89,5,0)</f>
        <v>48.220724895725397</v>
      </c>
      <c r="CV29" s="13">
        <f t="shared" si="41"/>
        <v>14.15328959250097</v>
      </c>
      <c r="CW29" s="20">
        <f t="shared" si="13"/>
        <v>108.63474190032758</v>
      </c>
      <c r="CX29" s="59">
        <f t="shared" si="14"/>
        <v>397.07918634477204</v>
      </c>
      <c r="CY29" s="59">
        <f ca="1">AVERAGE(OFFSET($CX$3,0,0,'Données projet'!$E$13+1,1))-AVERAGE(OFFSET($H$3,0,0,'Données projet'!$E$13+1,1))</f>
        <v>770.11410336045037</v>
      </c>
      <c r="CZ29" s="59">
        <f t="shared" si="42"/>
        <v>227.12611049004596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3.6141025633333332</v>
      </c>
      <c r="DO29" s="12">
        <f>IF('Données projet'!$A$166&gt;35,DO28+DN29-DW28,IF(A29&lt;'Données projet'!$A$166,$DL$205^A29,IF(A29='Données projet'!$A$166,'Données projet'!$B$166,DO28+DN29-DW28)))</f>
        <v>58.045982170678677</v>
      </c>
      <c r="DP29" s="17">
        <f>DO29*VLOOKUP('Données projet'!$B$14,Paramètres!$A$1:$I$89,3,0)*VLOOKUP('Données projet'!$B$14,Paramètres!$A$1:$I$89,5,0)</f>
        <v>58.858625921068189</v>
      </c>
      <c r="DQ29" s="13">
        <f t="shared" si="43"/>
        <v>16.879372058948864</v>
      </c>
      <c r="DR29" s="20">
        <f t="shared" si="16"/>
        <v>131.91034648186303</v>
      </c>
      <c r="DS29" s="59">
        <f t="shared" si="17"/>
        <v>420.35479092630749</v>
      </c>
      <c r="DT29" s="59">
        <f ca="1">AVERAGE(OFFSET($DS$3,0,0,'Données projet'!$E$14+1,1))-AVERAGE(OFFSET($H$3,0,0,'Données projet'!$E$14+1,1))</f>
        <v>778.88878505968955</v>
      </c>
      <c r="DU29" s="59">
        <f t="shared" si="44"/>
        <v>279.20782832611059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10.6</v>
      </c>
      <c r="N30" s="13">
        <f>IF('Données projet'!$A$36&gt;35,N29+M30-V29,IF(A30&lt;'Données projet'!$A$36,$K$205^A30,IF(A30='Données projet'!$A$36,'Données projet'!$B$36,N29+M30-V29)))</f>
        <v>262.19999999999993</v>
      </c>
      <c r="O30" s="13">
        <f>N30*VLOOKUP('Données projet'!$B$9,Paramètres!$A$1:$I$89,3,0)*VLOOKUP('Données projet'!$B$9,Paramètres!$A$1:$I$89,5,0)</f>
        <v>237.23855999999992</v>
      </c>
      <c r="P30" s="13">
        <f t="shared" si="33"/>
        <v>57.84499363660688</v>
      </c>
      <c r="Q30" s="20">
        <f t="shared" si="2"/>
        <v>513.93718925042344</v>
      </c>
      <c r="R30" s="59">
        <f t="shared" si="0"/>
        <v>803.60385591709019</v>
      </c>
      <c r="S30" s="59">
        <f ca="1">AVERAGE(OFFSET($R$3,0,0,'Données projet'!$E$9+1,1))-AVERAGE(OFFSET($H$3,0,0,'Données projet'!$E$9+1,1))</f>
        <v>436.4497226650281</v>
      </c>
      <c r="T30" s="59">
        <f t="shared" si="34"/>
        <v>611.43967996341871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630</v>
      </c>
      <c r="AJ30" s="13">
        <f>AI30*VLOOKUP('Données projet'!$B$10,Paramètres!$A$1:$I$89,3,0)*VLOOKUP('Données projet'!$B$10,Paramètres!$A$1:$I$89,5,0)</f>
        <v>550.36800000000005</v>
      </c>
      <c r="AK30" s="13">
        <f t="shared" si="35"/>
        <v>121.67271812244785</v>
      </c>
      <c r="AL30" s="20">
        <f t="shared" si="4"/>
        <v>1170.4709173965966</v>
      </c>
      <c r="AM30" s="59">
        <f t="shared" si="5"/>
        <v>1460.1375840632634</v>
      </c>
      <c r="AN30" s="59">
        <f ca="1">AVERAGE(OFFSET($AM$3,0,0,'Données projet'!$E$10+1,1))-AVERAGE(OFFSET($H$3,0,0,'Données projet'!$E$10+1,1))</f>
        <v>662.13838733542616</v>
      </c>
      <c r="AO30" s="59">
        <f t="shared" si="36"/>
        <v>1194.915361841041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6.6486666666666672</v>
      </c>
      <c r="BD30" s="12">
        <f>IF('Données projet'!$A$88&gt;35,BD29+BC30-BL29,IF(A30&lt;'Données projet'!$A$88,$BA$205^A30,IF(A30='Données projet'!$A$88,'Données projet'!$B$88,BD29+BC30-BL29)))</f>
        <v>117.45465491426617</v>
      </c>
      <c r="BE30" s="13">
        <f>BD30*VLOOKUP('Données projet'!$B$11,Paramètres!$A$1:$I$89,3,0)*VLOOKUP('Données projet'!$B$11,Paramètres!$A$1:$I$89,5,0)</f>
        <v>54.968778499876564</v>
      </c>
      <c r="BF30" s="13">
        <f t="shared" si="37"/>
        <v>15.889807603635226</v>
      </c>
      <c r="BG30" s="20">
        <f t="shared" si="7"/>
        <v>123.41203746361634</v>
      </c>
      <c r="BH30" s="59">
        <f t="shared" si="8"/>
        <v>413.07870413028303</v>
      </c>
      <c r="BI30" s="59">
        <f ca="1">AVERAGE(OFFSET($BH$3,0,0,'Données projet'!$E$11+1,1))-AVERAGE(OFFSET($H$3,0,0,'Données projet'!$E$11+1,1))</f>
        <v>321.82962838167799</v>
      </c>
      <c r="BJ30" s="59">
        <f t="shared" si="38"/>
        <v>243.43396255104295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261</v>
      </c>
      <c r="BW30" s="12">
        <f>VLOOKUP(A30,'Données projet'!$A$113:$I$133,9,0)</f>
        <v>17</v>
      </c>
      <c r="BX30" s="12">
        <f t="array" ref="BX30">INDEX(BW:BW,MIN(IF(ISNUMBER(BW30:BW226),ROW(BW30:BW226),"")))</f>
        <v>17</v>
      </c>
      <c r="BY30" s="12">
        <f>IF('Données projet'!$A$114&gt;35,BY29+BX30-CG29,IF(A30&lt;'Données projet'!$A$114,$BV$205^A30,IF(A30='Données projet'!$A$114,'Données projet'!$B$114,BY29+BX30-CG29)))</f>
        <v>261</v>
      </c>
      <c r="BZ30" s="13">
        <f>BY30*VLOOKUP('Données projet'!$B$12,Paramètres!$A$1:$I$89,3,0)*VLOOKUP('Données projet'!$B$12,Paramètres!$A$1:$I$89,5,0)</f>
        <v>156.078</v>
      </c>
      <c r="CA30" s="13">
        <f t="shared" si="39"/>
        <v>39.956623674978466</v>
      </c>
      <c r="CB30" s="20">
        <f t="shared" si="10"/>
        <v>341.42696956725416</v>
      </c>
      <c r="CC30" s="59">
        <f t="shared" si="11"/>
        <v>631.09363623392085</v>
      </c>
      <c r="CD30" s="59">
        <f ca="1">AVERAGE(OFFSET($CC$3,0,0,'Données projet'!$E$12+1,1))-AVERAGE(OFFSET($H$3,0,0,'Données projet'!$E$12+1,1))</f>
        <v>187.80389738728508</v>
      </c>
      <c r="CE30" s="59">
        <f t="shared" si="40"/>
        <v>439.28159165815265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14.011734417439989</v>
      </c>
      <c r="CL30" s="21">
        <f>EXP(-LN(2)/25)*CL29+(1-EXP(-LN(2)/25))/(LN(2)/25)*Calculateur!CG30*Calculateur!CI30*VLOOKUP('Données projet'!$B$12,Paramètres!$A$1:$I$89,3,0)*0.475*44/12</f>
        <v>15.624323569465696</v>
      </c>
      <c r="CM30" s="21">
        <f>EXP(-LN(2)/2)*CM29+(1-EXP(-LN(2)/2))/(LN(2)/2)*CG30*CJ30*VLOOKUP('Données projet'!$B$12,Paramètres!$A$1:$I$89,3,0)*0.475*44/12</f>
        <v>0.12717175736062727</v>
      </c>
      <c r="CN30" s="22">
        <f t="shared" si="12"/>
        <v>29.763229744266312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2.5115384616666665</v>
      </c>
      <c r="CT30" s="12">
        <f>IF('Données projet'!$A$140&gt;35,CT29+CS30-DB29,IF(A30&lt;'Données projet'!$A$140,$CQ$205^A30,IF(A30='Données projet'!$A$140,'Données projet'!$B$140,CT29+CS30-DB29)))</f>
        <v>48.90519323549205</v>
      </c>
      <c r="CU30" s="17">
        <f>CT30*VLOOKUP('Données projet'!$B$13,Paramètres!$A$1:$I$89,3,0)*VLOOKUP('Données projet'!$B$13,Paramètres!$A$1:$I$89,5,0)</f>
        <v>55.693234056578341</v>
      </c>
      <c r="CV30" s="13">
        <f t="shared" si="41"/>
        <v>16.074708229714233</v>
      </c>
      <c r="CW30" s="20">
        <f t="shared" si="13"/>
        <v>124.99583281529289</v>
      </c>
      <c r="CX30" s="59">
        <f t="shared" si="14"/>
        <v>414.66249948195957</v>
      </c>
      <c r="CY30" s="59">
        <f ca="1">AVERAGE(OFFSET($CX$3,0,0,'Données projet'!$E$13+1,1))-AVERAGE(OFFSET($H$3,0,0,'Données projet'!$E$13+1,1))</f>
        <v>770.11410336045037</v>
      </c>
      <c r="CZ30" s="59">
        <f t="shared" si="42"/>
        <v>227.12611049004596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3.6141025633333332</v>
      </c>
      <c r="DO30" s="12">
        <f>IF('Données projet'!$A$166&gt;35,DO29+DN30-DW29,IF(A30&lt;'Données projet'!$A$166,$DL$205^A30,IF(A30='Données projet'!$A$166,'Données projet'!$B$166,DO29+DN30-DW29)))</f>
        <v>67.859328069602995</v>
      </c>
      <c r="DP30" s="17">
        <f>DO30*VLOOKUP('Données projet'!$B$14,Paramètres!$A$1:$I$89,3,0)*VLOOKUP('Données projet'!$B$14,Paramètres!$A$1:$I$89,5,0)</f>
        <v>68.809358662577438</v>
      </c>
      <c r="DQ30" s="13">
        <f t="shared" si="43"/>
        <v>19.377484792581075</v>
      </c>
      <c r="DR30" s="20">
        <f t="shared" si="16"/>
        <v>153.59208568440104</v>
      </c>
      <c r="DS30" s="59">
        <f t="shared" si="17"/>
        <v>443.25875235106776</v>
      </c>
      <c r="DT30" s="59">
        <f ca="1">AVERAGE(OFFSET($DS$3,0,0,'Données projet'!$E$14+1,1))-AVERAGE(OFFSET($H$3,0,0,'Données projet'!$E$14+1,1))</f>
        <v>778.88878505968955</v>
      </c>
      <c r="DU30" s="59">
        <f t="shared" si="44"/>
        <v>279.20782832611059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10.6</v>
      </c>
      <c r="N31" s="13">
        <f>IF('Données projet'!$A$36&gt;35,N30+M31-V30,IF(A31&lt;'Données projet'!$A$36,$K$205^A31,IF(A31='Données projet'!$A$36,'Données projet'!$B$36,N30+M31-V30)))</f>
        <v>272.79999999999995</v>
      </c>
      <c r="O31" s="13">
        <f>N31*VLOOKUP('Données projet'!$B$9,Paramètres!$A$1:$I$89,3,0)*VLOOKUP('Données projet'!$B$9,Paramètres!$A$1:$I$89,5,0)</f>
        <v>246.82943999999995</v>
      </c>
      <c r="P31" s="13">
        <f t="shared" si="33"/>
        <v>59.906509645447485</v>
      </c>
      <c r="Q31" s="20">
        <f t="shared" si="2"/>
        <v>534.23177896582081</v>
      </c>
      <c r="R31" s="59">
        <f t="shared" si="0"/>
        <v>825.12066785470961</v>
      </c>
      <c r="S31" s="59">
        <f ca="1">AVERAGE(OFFSET($R$3,0,0,'Données projet'!$E$9+1,1))-AVERAGE(OFFSET($H$3,0,0,'Données projet'!$E$9+1,1))</f>
        <v>436.4497226650281</v>
      </c>
      <c r="T31" s="59">
        <f t="shared" si="34"/>
        <v>611.43967996341871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630</v>
      </c>
      <c r="AJ31" s="13">
        <f>AI31*VLOOKUP('Données projet'!$B$10,Paramètres!$A$1:$I$89,3,0)*VLOOKUP('Données projet'!$B$10,Paramètres!$A$1:$I$89,5,0)</f>
        <v>550.36800000000005</v>
      </c>
      <c r="AK31" s="13">
        <f t="shared" si="35"/>
        <v>121.67271812244785</v>
      </c>
      <c r="AL31" s="20">
        <f t="shared" si="4"/>
        <v>1170.4709173965966</v>
      </c>
      <c r="AM31" s="59">
        <f t="shared" si="5"/>
        <v>1461.3598062854855</v>
      </c>
      <c r="AN31" s="59">
        <f ca="1">AVERAGE(OFFSET($AM$3,0,0,'Données projet'!$E$10+1,1))-AVERAGE(OFFSET($H$3,0,0,'Données projet'!$E$10+1,1))</f>
        <v>662.13838733542616</v>
      </c>
      <c r="AO31" s="59">
        <f t="shared" si="36"/>
        <v>1194.915361841041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6.6486666666666672</v>
      </c>
      <c r="BD31" s="12">
        <f>IF('Données projet'!$A$88&gt;35,BD30+BC31-BL30,IF(A31&lt;'Données projet'!$A$88,$BA$205^A31,IF(A31='Données projet'!$A$88,'Données projet'!$B$88,BD30+BC31-BL30)))</f>
        <v>140.13031353562246</v>
      </c>
      <c r="BE31" s="13">
        <f>BD31*VLOOKUP('Données projet'!$B$11,Paramètres!$A$1:$I$89,3,0)*VLOOKUP('Données projet'!$B$11,Paramètres!$A$1:$I$89,5,0)</f>
        <v>65.580986734671313</v>
      </c>
      <c r="BF31" s="13">
        <f t="shared" si="37"/>
        <v>18.571930879860723</v>
      </c>
      <c r="BG31" s="20">
        <f t="shared" si="7"/>
        <v>146.56633151197664</v>
      </c>
      <c r="BH31" s="59">
        <f t="shared" si="8"/>
        <v>437.45522040086553</v>
      </c>
      <c r="BI31" s="59">
        <f ca="1">AVERAGE(OFFSET($BH$3,0,0,'Données projet'!$E$11+1,1))-AVERAGE(OFFSET($H$3,0,0,'Données projet'!$E$11+1,1))</f>
        <v>321.82962838167799</v>
      </c>
      <c r="BJ31" s="59">
        <f t="shared" si="38"/>
        <v>243.43396255104295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>
        <f>VLOOKUP(A31,'Données projet'!$A$113:$I$133,2,0)</f>
        <v>277</v>
      </c>
      <c r="BW31" s="12">
        <f>VLOOKUP(A31,'Données projet'!$A$113:$I$133,9,0)</f>
        <v>16</v>
      </c>
      <c r="BX31" s="12">
        <f t="array" ref="BX31">INDEX(BW:BW,MIN(IF(ISNUMBER(BW31:BW227),ROW(BW31:BW227),"")))</f>
        <v>16</v>
      </c>
      <c r="BY31" s="12">
        <f>IF('Données projet'!$A$114&gt;35,BY30+BX31-CG30,IF(A31&lt;'Données projet'!$A$114,$BV$205^A31,IF(A31='Données projet'!$A$114,'Données projet'!$B$114,BY30+BX31-CG30)))</f>
        <v>277</v>
      </c>
      <c r="BZ31" s="13">
        <f>BY31*VLOOKUP('Données projet'!$B$12,Paramètres!$A$1:$I$89,3,0)*VLOOKUP('Données projet'!$B$12,Paramètres!$A$1:$I$89,5,0)</f>
        <v>165.64600000000002</v>
      </c>
      <c r="CA31" s="13">
        <f t="shared" si="39"/>
        <v>42.113404814327666</v>
      </c>
      <c r="CB31" s="20">
        <f t="shared" si="10"/>
        <v>361.84763005162068</v>
      </c>
      <c r="CC31" s="59">
        <f t="shared" si="11"/>
        <v>652.73651894050954</v>
      </c>
      <c r="CD31" s="59">
        <f ca="1">AVERAGE(OFFSET($CC$3,0,0,'Données projet'!$E$12+1,1))-AVERAGE(OFFSET($H$3,0,0,'Données projet'!$E$12+1,1))</f>
        <v>187.80389738728508</v>
      </c>
      <c r="CE31" s="59">
        <f t="shared" si="40"/>
        <v>439.28159165815265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13.736972851828106</v>
      </c>
      <c r="CL31" s="21">
        <f>EXP(-LN(2)/25)*CL30+(1-EXP(-LN(2)/25))/(LN(2)/25)*Calculateur!CG31*Calculateur!CI31*VLOOKUP('Données projet'!$B$12,Paramètres!$A$1:$I$89,3,0)*0.475*44/12</f>
        <v>15.197075619811191</v>
      </c>
      <c r="CM31" s="21">
        <f>EXP(-LN(2)/2)*CM30+(1-EXP(-LN(2)/2))/(LN(2)/2)*CG31*CJ31*VLOOKUP('Données projet'!$B$12,Paramètres!$A$1:$I$89,3,0)*0.475*44/12</f>
        <v>8.9924012005109785E-2</v>
      </c>
      <c r="CN31" s="22">
        <f t="shared" si="12"/>
        <v>29.023972483644407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2.5115384616666665</v>
      </c>
      <c r="CT31" s="12">
        <f>IF('Données projet'!$A$140&gt;35,CT30+CS31-DB30,IF(A31&lt;'Données projet'!$A$140,$CQ$205^A31,IF(A31='Données projet'!$A$140,'Données projet'!$B$140,CT30+CS31-DB30)))</f>
        <v>56.483770812991168</v>
      </c>
      <c r="CU31" s="17">
        <f>CT31*VLOOKUP('Données projet'!$B$13,Paramètres!$A$1:$I$89,3,0)*VLOOKUP('Données projet'!$B$13,Paramètres!$A$1:$I$89,5,0)</f>
        <v>64.323718201834339</v>
      </c>
      <c r="CV31" s="13">
        <f t="shared" si="41"/>
        <v>18.256974322588022</v>
      </c>
      <c r="CW31" s="20">
        <f t="shared" si="13"/>
        <v>143.82803948003559</v>
      </c>
      <c r="CX31" s="59">
        <f t="shared" si="14"/>
        <v>434.71692836892441</v>
      </c>
      <c r="CY31" s="59">
        <f ca="1">AVERAGE(OFFSET($CX$3,0,0,'Données projet'!$E$13+1,1))-AVERAGE(OFFSET($H$3,0,0,'Données projet'!$E$13+1,1))</f>
        <v>770.11410336045037</v>
      </c>
      <c r="CZ31" s="59">
        <f t="shared" si="42"/>
        <v>227.12611049004596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3.6141025633333332</v>
      </c>
      <c r="DO31" s="12">
        <f>IF('Données projet'!$A$166&gt;35,DO30+DN31-DW30,IF(A31&lt;'Données projet'!$A$166,$DL$205^A31,IF(A31='Données projet'!$A$166,'Données projet'!$B$166,DO30+DN31-DW30)))</f>
        <v>79.33173380575721</v>
      </c>
      <c r="DP31" s="17">
        <f>DO31*VLOOKUP('Données projet'!$B$14,Paramètres!$A$1:$I$89,3,0)*VLOOKUP('Données projet'!$B$14,Paramètres!$A$1:$I$89,5,0)</f>
        <v>80.442378079037823</v>
      </c>
      <c r="DQ31" s="13">
        <f t="shared" si="43"/>
        <v>22.245313129859017</v>
      </c>
      <c r="DR31" s="20">
        <f t="shared" si="16"/>
        <v>178.84772885549532</v>
      </c>
      <c r="DS31" s="59">
        <f t="shared" si="17"/>
        <v>469.73661774438415</v>
      </c>
      <c r="DT31" s="59">
        <f ca="1">AVERAGE(OFFSET($DS$3,0,0,'Données projet'!$E$14+1,1))-AVERAGE(OFFSET($H$3,0,0,'Données projet'!$E$14+1,1))</f>
        <v>778.88878505968955</v>
      </c>
      <c r="DU31" s="59">
        <f t="shared" si="44"/>
        <v>279.20782832611059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10.6</v>
      </c>
      <c r="N32" s="13">
        <f>IF('Données projet'!$A$36&gt;35,N31+M32-V31,IF(A32&lt;'Données projet'!$A$36,$K$205^A32,IF(A32='Données projet'!$A$36,'Données projet'!$B$36,N31+M32-V31)))</f>
        <v>283.39999999999998</v>
      </c>
      <c r="O32" s="13">
        <f>N32*VLOOKUP('Données projet'!$B$9,Paramètres!$A$1:$I$89,3,0)*VLOOKUP('Données projet'!$B$9,Paramètres!$A$1:$I$89,5,0)</f>
        <v>256.42032</v>
      </c>
      <c r="P32" s="13">
        <f t="shared" si="33"/>
        <v>61.958720258016918</v>
      </c>
      <c r="Q32" s="20">
        <f t="shared" si="2"/>
        <v>554.51016178271277</v>
      </c>
      <c r="R32" s="59">
        <f t="shared" si="0"/>
        <v>846.62127289382397</v>
      </c>
      <c r="S32" s="59">
        <f ca="1">AVERAGE(OFFSET($R$3,0,0,'Données projet'!$E$9+1,1))-AVERAGE(OFFSET($H$3,0,0,'Données projet'!$E$9+1,1))</f>
        <v>436.4497226650281</v>
      </c>
      <c r="T32" s="59">
        <f t="shared" si="34"/>
        <v>611.43967996341871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630</v>
      </c>
      <c r="AJ32" s="13">
        <f>AI32*VLOOKUP('Données projet'!$B$10,Paramètres!$A$1:$I$89,3,0)*VLOOKUP('Données projet'!$B$10,Paramètres!$A$1:$I$89,5,0)</f>
        <v>550.36800000000005</v>
      </c>
      <c r="AK32" s="13">
        <f t="shared" si="35"/>
        <v>121.67271812244785</v>
      </c>
      <c r="AL32" s="20">
        <f t="shared" si="4"/>
        <v>1170.4709173965966</v>
      </c>
      <c r="AM32" s="59">
        <f t="shared" si="5"/>
        <v>1462.5820285077077</v>
      </c>
      <c r="AN32" s="59">
        <f ca="1">AVERAGE(OFFSET($AM$3,0,0,'Données projet'!$E$10+1,1))-AVERAGE(OFFSET($H$3,0,0,'Données projet'!$E$10+1,1))</f>
        <v>662.13838733542616</v>
      </c>
      <c r="AO32" s="59">
        <f t="shared" si="36"/>
        <v>1194.915361841041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6.6486666666666672</v>
      </c>
      <c r="BD32" s="12">
        <f>IF('Données projet'!$A$88&gt;35,BD31+BC32-BL31,IF(A32&lt;'Données projet'!$A$88,$BA$205^A32,IF(A32='Données projet'!$A$88,'Données projet'!$B$88,BD31+BC32-BL31)))</f>
        <v>167.18370835047068</v>
      </c>
      <c r="BE32" s="13">
        <f>BD32*VLOOKUP('Données projet'!$B$11,Paramètres!$A$1:$I$89,3,0)*VLOOKUP('Données projet'!$B$11,Paramètres!$A$1:$I$89,5,0)</f>
        <v>78.241975508020275</v>
      </c>
      <c r="BF32" s="13">
        <f t="shared" si="37"/>
        <v>21.706783694940079</v>
      </c>
      <c r="BG32" s="20">
        <f t="shared" si="7"/>
        <v>174.07742227848928</v>
      </c>
      <c r="BH32" s="59">
        <f t="shared" si="8"/>
        <v>466.18853338960042</v>
      </c>
      <c r="BI32" s="59">
        <f ca="1">AVERAGE(OFFSET($BH$3,0,0,'Données projet'!$E$11+1,1))-AVERAGE(OFFSET($H$3,0,0,'Données projet'!$E$11+1,1))</f>
        <v>321.82962838167799</v>
      </c>
      <c r="BJ32" s="59">
        <f t="shared" si="38"/>
        <v>243.43396255104295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>
        <f>VLOOKUP(A32,'Données projet'!$A$113:$I$133,2,0)</f>
        <v>293</v>
      </c>
      <c r="BW32" s="12">
        <f>VLOOKUP(A32,'Données projet'!$A$113:$I$133,9,0)</f>
        <v>16</v>
      </c>
      <c r="BX32" s="12">
        <f t="array" ref="BX32">INDEX(BW:BW,MIN(IF(ISNUMBER(BW32:BW228),ROW(BW32:BW228),"")))</f>
        <v>16</v>
      </c>
      <c r="BY32" s="12">
        <f>IF('Données projet'!$A$114&gt;35,BY31+BX32-CG31,IF(A32&lt;'Données projet'!$A$114,$BV$205^A32,IF(A32='Données projet'!$A$114,'Données projet'!$B$114,BY31+BX32-CG31)))</f>
        <v>293</v>
      </c>
      <c r="BZ32" s="13">
        <f>BY32*VLOOKUP('Données projet'!$B$12,Paramètres!$A$1:$I$89,3,0)*VLOOKUP('Données projet'!$B$12,Paramètres!$A$1:$I$89,5,0)</f>
        <v>175.214</v>
      </c>
      <c r="CA32" s="13">
        <f t="shared" si="39"/>
        <v>44.255725061661991</v>
      </c>
      <c r="CB32" s="20">
        <f t="shared" si="10"/>
        <v>382.24310448239459</v>
      </c>
      <c r="CC32" s="59">
        <f t="shared" si="11"/>
        <v>674.35421559350573</v>
      </c>
      <c r="CD32" s="59">
        <f ca="1">AVERAGE(OFFSET($CC$3,0,0,'Données projet'!$E$12+1,1))-AVERAGE(OFFSET($H$3,0,0,'Données projet'!$E$12+1,1))</f>
        <v>187.80389738728508</v>
      </c>
      <c r="CE32" s="59">
        <f t="shared" si="40"/>
        <v>439.28159165815265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13.467599192929866</v>
      </c>
      <c r="CL32" s="21">
        <f>EXP(-LN(2)/25)*CL31+(1-EXP(-LN(2)/25))/(LN(2)/25)*Calculateur!CG32*Calculateur!CI32*VLOOKUP('Données projet'!$B$12,Paramètres!$A$1:$I$89,3,0)*0.475*44/12</f>
        <v>14.78151078780798</v>
      </c>
      <c r="CM32" s="21">
        <f>EXP(-LN(2)/2)*CM31+(1-EXP(-LN(2)/2))/(LN(2)/2)*CG32*CJ32*VLOOKUP('Données projet'!$B$12,Paramètres!$A$1:$I$89,3,0)*0.475*44/12</f>
        <v>6.3585878680313637E-2</v>
      </c>
      <c r="CN32" s="22">
        <f t="shared" si="12"/>
        <v>28.312695859418159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2.5115384616666665</v>
      </c>
      <c r="CT32" s="12">
        <f>IF('Données projet'!$A$140&gt;35,CT31+CS32-DB31,IF(A32&lt;'Données projet'!$A$140,$CQ$205^A32,IF(A32='Données projet'!$A$140,'Données projet'!$B$140,CT31+CS32-DB31)))</f>
        <v>65.236760233044663</v>
      </c>
      <c r="CU32" s="17">
        <f>CT32*VLOOKUP('Données projet'!$B$13,Paramètres!$A$1:$I$89,3,0)*VLOOKUP('Données projet'!$B$13,Paramètres!$A$1:$I$89,5,0)</f>
        <v>74.291622553391264</v>
      </c>
      <c r="CV32" s="13">
        <f t="shared" si="41"/>
        <v>20.735499932714095</v>
      </c>
      <c r="CW32" s="20">
        <f t="shared" si="13"/>
        <v>165.50557166330015</v>
      </c>
      <c r="CX32" s="59">
        <f t="shared" si="14"/>
        <v>457.61668277441129</v>
      </c>
      <c r="CY32" s="59">
        <f ca="1">AVERAGE(OFFSET($CX$3,0,0,'Données projet'!$E$13+1,1))-AVERAGE(OFFSET($H$3,0,0,'Données projet'!$E$13+1,1))</f>
        <v>770.11410336045037</v>
      </c>
      <c r="CZ32" s="59">
        <f t="shared" si="42"/>
        <v>227.12611049004596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3.6141025633333332</v>
      </c>
      <c r="DO32" s="12">
        <f>IF('Données projet'!$A$166&gt;35,DO31+DN32-DW31,IF(A32&lt;'Données projet'!$A$166,$DL$205^A32,IF(A32='Données projet'!$A$166,'Données projet'!$B$166,DO31+DN32-DW31)))</f>
        <v>92.743682669128148</v>
      </c>
      <c r="DP32" s="17">
        <f>DO32*VLOOKUP('Données projet'!$B$14,Paramètres!$A$1:$I$89,3,0)*VLOOKUP('Données projet'!$B$14,Paramètres!$A$1:$I$89,5,0)</f>
        <v>94.042094226495948</v>
      </c>
      <c r="DQ32" s="13">
        <f t="shared" si="43"/>
        <v>25.5375742281547</v>
      </c>
      <c r="DR32" s="20">
        <f t="shared" si="16"/>
        <v>208.26792255851652</v>
      </c>
      <c r="DS32" s="59">
        <f t="shared" si="17"/>
        <v>500.37903366962769</v>
      </c>
      <c r="DT32" s="59">
        <f ca="1">AVERAGE(OFFSET($DS$3,0,0,'Données projet'!$E$14+1,1))-AVERAGE(OFFSET($H$3,0,0,'Données projet'!$E$14+1,1))</f>
        <v>778.88878505968955</v>
      </c>
      <c r="DU32" s="59">
        <f t="shared" si="44"/>
        <v>279.20782832611059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294</v>
      </c>
      <c r="L33" s="12">
        <f>VLOOKUP(A33,'Données projet'!$A$35:$I$55,9,0)</f>
        <v>10.6</v>
      </c>
      <c r="M33" s="12">
        <f t="array" ref="M33">INDEX(L:L,MIN(IF(ISNUMBER(L33:L229),ROW(L33:L229),"")))</f>
        <v>10.6</v>
      </c>
      <c r="N33" s="13">
        <f>IF('Données projet'!$A$36&gt;35,N32+M33-V32,IF(A33&lt;'Données projet'!$A$36,$K$205^A33,IF(A33='Données projet'!$A$36,'Données projet'!$B$36,N32+M33-V32)))</f>
        <v>294</v>
      </c>
      <c r="O33" s="13">
        <f>N33*VLOOKUP('Données projet'!$B$9,Paramètres!$A$1:$I$89,3,0)*VLOOKUP('Données projet'!$B$9,Paramètres!$A$1:$I$89,5,0)</f>
        <v>266.01119999999997</v>
      </c>
      <c r="P33" s="13">
        <f t="shared" si="33"/>
        <v>64.00201337612566</v>
      </c>
      <c r="Q33" s="20">
        <f t="shared" si="2"/>
        <v>574.77301329675208</v>
      </c>
      <c r="R33" s="59">
        <f t="shared" si="0"/>
        <v>868.10634663008545</v>
      </c>
      <c r="S33" s="59">
        <f ca="1">AVERAGE(OFFSET($R$3,0,0,'Données projet'!$E$9+1,1))-AVERAGE(OFFSET($H$3,0,0,'Données projet'!$E$9+1,1))</f>
        <v>436.4497226650281</v>
      </c>
      <c r="T33" s="59">
        <f t="shared" si="34"/>
        <v>611.43967996341871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630</v>
      </c>
      <c r="AJ33" s="13">
        <f>AI33*VLOOKUP('Données projet'!$B$10,Paramètres!$A$1:$I$89,3,0)*VLOOKUP('Données projet'!$B$10,Paramètres!$A$1:$I$89,5,0)</f>
        <v>550.36800000000005</v>
      </c>
      <c r="AK33" s="13">
        <f t="shared" si="35"/>
        <v>121.67271812244785</v>
      </c>
      <c r="AL33" s="20">
        <f t="shared" si="4"/>
        <v>1170.4709173965966</v>
      </c>
      <c r="AM33" s="59">
        <f t="shared" si="5"/>
        <v>1463.8042507299299</v>
      </c>
      <c r="AN33" s="59">
        <f ca="1">AVERAGE(OFFSET($AM$3,0,0,'Données projet'!$E$10+1,1))-AVERAGE(OFFSET($H$3,0,0,'Données projet'!$E$10+1,1))</f>
        <v>662.13838733542616</v>
      </c>
      <c r="AO33" s="59">
        <f t="shared" si="36"/>
        <v>1194.915361841041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199.46</v>
      </c>
      <c r="BB33" s="12">
        <f>VLOOKUP(A33,'Données projet'!$A$87:$I$107,9,0)</f>
        <v>6.6486666666666672</v>
      </c>
      <c r="BC33" s="12">
        <f t="array" ref="BC33">INDEX(BB:BB,MIN(IF(ISNUMBER(BB33:BB229),ROW(BB33:BB229),"")))</f>
        <v>6.6486666666666672</v>
      </c>
      <c r="BD33" s="12">
        <f>IF('Données projet'!$A$88&gt;35,BD32+BC33-BL32,IF(A33&lt;'Données projet'!$A$88,$BA$205^A33,IF(A33='Données projet'!$A$88,'Données projet'!$B$88,BD32+BC33-BL32)))</f>
        <v>199.46</v>
      </c>
      <c r="BE33" s="13">
        <f>BD33*VLOOKUP('Données projet'!$B$11,Paramètres!$A$1:$I$89,3,0)*VLOOKUP('Données projet'!$B$11,Paramètres!$A$1:$I$89,5,0)</f>
        <v>93.347279999999998</v>
      </c>
      <c r="BF33" s="13">
        <f t="shared" si="37"/>
        <v>25.370784622608415</v>
      </c>
      <c r="BG33" s="20">
        <f t="shared" si="7"/>
        <v>206.7672958843763</v>
      </c>
      <c r="BH33" s="59">
        <f t="shared" si="8"/>
        <v>500.10062921770964</v>
      </c>
      <c r="BI33" s="59">
        <f ca="1">AVERAGE(OFFSET($BH$3,0,0,'Données projet'!$E$11+1,1))-AVERAGE(OFFSET($H$3,0,0,'Données projet'!$E$11+1,1))</f>
        <v>321.82962838167799</v>
      </c>
      <c r="BJ33" s="59">
        <f t="shared" si="38"/>
        <v>243.43396255104295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309</v>
      </c>
      <c r="BW33" s="12">
        <f>VLOOKUP(A33,'Données projet'!$A$113:$I$133,9,0)</f>
        <v>16</v>
      </c>
      <c r="BX33" s="12">
        <f t="array" ref="BX33">INDEX(BW:BW,MIN(IF(ISNUMBER(BW33:BW229),ROW(BW33:BW229),"")))</f>
        <v>16</v>
      </c>
      <c r="BY33" s="12">
        <f>IF('Données projet'!$A$114&gt;35,BY32+BX33-CG32,IF(A33&lt;'Données projet'!$A$114,$BV$205^A33,IF(A33='Données projet'!$A$114,'Données projet'!$B$114,BY32+BX33-CG32)))</f>
        <v>309</v>
      </c>
      <c r="BZ33" s="13">
        <f>BY33*VLOOKUP('Données projet'!$B$12,Paramètres!$A$1:$I$89,3,0)*VLOOKUP('Données projet'!$B$12,Paramètres!$A$1:$I$89,5,0)</f>
        <v>184.78200000000004</v>
      </c>
      <c r="CA33" s="13">
        <f t="shared" si="39"/>
        <v>46.384464109944147</v>
      </c>
      <c r="CB33" s="20">
        <f t="shared" si="10"/>
        <v>402.61492499148608</v>
      </c>
      <c r="CC33" s="59">
        <f t="shared" si="11"/>
        <v>695.94825832481934</v>
      </c>
      <c r="CD33" s="59">
        <f ca="1">AVERAGE(OFFSET($CC$3,0,0,'Données projet'!$E$12+1,1))-AVERAGE(OFFSET($H$3,0,0,'Données projet'!$E$12+1,1))</f>
        <v>187.80389738728508</v>
      </c>
      <c r="CE33" s="59">
        <f t="shared" si="40"/>
        <v>439.28159165815265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309</v>
      </c>
      <c r="CH33" s="16">
        <f>IF(ISNA(VLOOKUP(A33,'Données projet'!$A$113:$I$133,5,0)),0%,VLOOKUP(A33,'Données projet'!$A$113:$I$133,5,0)*VLOOKUP('Données projet'!$B$12,Paramètres!$A$1:$I$89,7,0))</f>
        <v>0.45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123.50986272944402</v>
      </c>
      <c r="CL33" s="21">
        <f>EXP(-LN(2)/25)*CL32+(1-EXP(-LN(2)/25))/(LN(2)/25)*Calculateur!CG33*Calculateur!CI33*VLOOKUP('Données projet'!$B$12,Paramètres!$A$1:$I$89,3,0)*0.475*44/12</f>
        <v>14.377309597989502</v>
      </c>
      <c r="CM33" s="21">
        <f>EXP(-LN(2)/2)*CM32+(1-EXP(-LN(2)/2))/(LN(2)/2)*CG33*CJ33*VLOOKUP('Données projet'!$B$12,Paramètres!$A$1:$I$89,3,0)*0.475*44/12</f>
        <v>4.4962006002554893E-2</v>
      </c>
      <c r="CN33" s="22">
        <f t="shared" si="12"/>
        <v>137.93213433343607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75.346153849999993</v>
      </c>
      <c r="CR33" s="12">
        <f>VLOOKUP(A33,'Données projet'!$A$139:$I$159,9,0)</f>
        <v>2.5115384616666665</v>
      </c>
      <c r="CS33" s="12">
        <f t="array" ref="CS33">INDEX(CR:CR,MIN(IF(ISNUMBER(CR33:CR229),ROW(CR33:CR229),"")))</f>
        <v>2.5115384616666665</v>
      </c>
      <c r="CT33" s="12">
        <f>IF('Données projet'!$A$140&gt;35,CT32+CS33-DB32,IF(A33&lt;'Données projet'!$A$140,$CQ$205^A33,IF(A33='Données projet'!$A$140,'Données projet'!$B$140,CT32+CS33-DB32)))</f>
        <v>75.346153849999993</v>
      </c>
      <c r="CU33" s="17">
        <f>CT33*VLOOKUP('Données projet'!$B$13,Paramètres!$A$1:$I$89,3,0)*VLOOKUP('Données projet'!$B$13,Paramètres!$A$1:$I$89,5,0)</f>
        <v>85.804200004379993</v>
      </c>
      <c r="CV33" s="13">
        <f t="shared" si="41"/>
        <v>23.550504583206237</v>
      </c>
      <c r="CW33" s="20">
        <f t="shared" si="13"/>
        <v>190.45944382337936</v>
      </c>
      <c r="CX33" s="59">
        <f t="shared" si="14"/>
        <v>483.79277715671265</v>
      </c>
      <c r="CY33" s="59">
        <f ca="1">AVERAGE(OFFSET($CX$3,0,0,'Données projet'!$E$13+1,1))-AVERAGE(OFFSET($H$3,0,0,'Données projet'!$E$13+1,1))</f>
        <v>770.11410336045037</v>
      </c>
      <c r="CZ33" s="59">
        <f t="shared" si="42"/>
        <v>227.12611049004596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108.4230769</v>
      </c>
      <c r="DM33" s="12">
        <f>VLOOKUP(A33,'Données projet'!$A$165:$I$185,9,0)</f>
        <v>3.6141025633333332</v>
      </c>
      <c r="DN33" s="12">
        <f t="array" ref="DN33">INDEX(DM:DM,MIN(IF(ISNUMBER(DM33:DM229),ROW(DM33:DM229),"")))</f>
        <v>3.6141025633333332</v>
      </c>
      <c r="DO33" s="12">
        <f>IF('Données projet'!$A$166&gt;35,DO32+DN33-DW32,IF(A33&lt;'Données projet'!$A$166,$DL$205^A33,IF(A33='Données projet'!$A$166,'Données projet'!$B$166,DO32+DN33-DW32)))</f>
        <v>108.4230769</v>
      </c>
      <c r="DP33" s="17">
        <f>DO33*VLOOKUP('Données projet'!$B$14,Paramètres!$A$1:$I$89,3,0)*VLOOKUP('Données projet'!$B$14,Paramètres!$A$1:$I$89,5,0)</f>
        <v>109.9409999766</v>
      </c>
      <c r="DQ33" s="13">
        <f t="shared" si="43"/>
        <v>29.317083272841533</v>
      </c>
      <c r="DR33" s="20">
        <f t="shared" si="16"/>
        <v>242.54116165944401</v>
      </c>
      <c r="DS33" s="59">
        <f t="shared" si="17"/>
        <v>535.87449499277727</v>
      </c>
      <c r="DT33" s="59">
        <f ca="1">AVERAGE(OFFSET($DS$3,0,0,'Données projet'!$E$14+1,1))-AVERAGE(OFFSET($H$3,0,0,'Données projet'!$E$14+1,1))</f>
        <v>778.88878505968955</v>
      </c>
      <c r="DU33" s="59">
        <f t="shared" si="44"/>
        <v>279.20782832611059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8.6</v>
      </c>
      <c r="N34" s="13">
        <f>IF('Données projet'!$A$36&gt;35,N33+M34-V33,IF(A34&lt;'Données projet'!$A$36,$K$205^A34,IF(A34='Données projet'!$A$36,'Données projet'!$B$36,N33+M34-V33)))</f>
        <v>288.60000000000002</v>
      </c>
      <c r="O34" s="13">
        <f>N34*VLOOKUP('Données projet'!$B$9,Paramètres!$A$1:$I$89,3,0)*VLOOKUP('Données projet'!$B$9,Paramètres!$A$1:$I$89,5,0)</f>
        <v>261.12528000000003</v>
      </c>
      <c r="P34" s="13">
        <f t="shared" si="33"/>
        <v>62.962181856353716</v>
      </c>
      <c r="Q34" s="20">
        <f t="shared" si="2"/>
        <v>564.45232939981599</v>
      </c>
      <c r="R34" s="59">
        <f t="shared" si="0"/>
        <v>857.78566273314937</v>
      </c>
      <c r="S34" s="59">
        <f ca="1">AVERAGE(OFFSET($R$3,0,0,'Données projet'!$E$9+1,1))-AVERAGE(OFFSET($H$3,0,0,'Données projet'!$E$9+1,1))</f>
        <v>436.4497226650281</v>
      </c>
      <c r="T34" s="59">
        <f t="shared" si="34"/>
        <v>611.43967996341871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630</v>
      </c>
      <c r="AJ34" s="13">
        <f>AI34*VLOOKUP('Données projet'!$B$10,Paramètres!$A$1:$I$89,3,0)*VLOOKUP('Données projet'!$B$10,Paramètres!$A$1:$I$89,5,0)</f>
        <v>550.36800000000005</v>
      </c>
      <c r="AK34" s="13">
        <f t="shared" si="35"/>
        <v>121.67271812244785</v>
      </c>
      <c r="AL34" s="20">
        <f t="shared" si="4"/>
        <v>1170.4709173965966</v>
      </c>
      <c r="AM34" s="59">
        <f t="shared" si="5"/>
        <v>1463.8042507299299</v>
      </c>
      <c r="AN34" s="59">
        <f ca="1">AVERAGE(OFFSET($AM$3,0,0,'Données projet'!$E$10+1,1))-AVERAGE(OFFSET($H$3,0,0,'Données projet'!$E$10+1,1))</f>
        <v>662.13838733542616</v>
      </c>
      <c r="AO34" s="59">
        <f t="shared" si="36"/>
        <v>1194.915361841041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18.603333333333332</v>
      </c>
      <c r="BD34" s="12">
        <f>IF('Données projet'!$A$88&gt;35,BD33+BC34-BL33,IF(A34&lt;'Données projet'!$A$88,$BA$205^A34,IF(A34='Données projet'!$A$88,'Données projet'!$B$88,BD33+BC34-BL33)))</f>
        <v>218.06333333333333</v>
      </c>
      <c r="BE34" s="13">
        <f>BD34*VLOOKUP('Données projet'!$B$11,Paramètres!$A$1:$I$89,3,0)*VLOOKUP('Données projet'!$B$11,Paramètres!$A$1:$I$89,5,0)</f>
        <v>102.05364</v>
      </c>
      <c r="BF34" s="13">
        <f t="shared" si="37"/>
        <v>27.450668617991496</v>
      </c>
      <c r="BG34" s="20">
        <f t="shared" si="7"/>
        <v>225.55333750966852</v>
      </c>
      <c r="BH34" s="59">
        <f t="shared" si="8"/>
        <v>518.88667084300187</v>
      </c>
      <c r="BI34" s="59">
        <f ca="1">AVERAGE(OFFSET($BH$3,0,0,'Données projet'!$E$11+1,1))-AVERAGE(OFFSET($H$3,0,0,'Données projet'!$E$11+1,1))</f>
        <v>321.82962838167799</v>
      </c>
      <c r="BJ34" s="59">
        <f t="shared" si="38"/>
        <v>243.43396255104295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187.80389738728508</v>
      </c>
      <c r="CE34" s="59">
        <f t="shared" si="40"/>
        <v>439.28159165815265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121.08790965489732</v>
      </c>
      <c r="CL34" s="21">
        <f>EXP(-LN(2)/25)*CL33+(1-EXP(-LN(2)/25))/(LN(2)/25)*Calculateur!CG34*Calculateur!CI34*VLOOKUP('Données projet'!$B$12,Paramètres!$A$1:$I$89,3,0)*0.475*44/12</f>
        <v>13.984161310962627</v>
      </c>
      <c r="CM34" s="21">
        <f>EXP(-LN(2)/2)*CM33+(1-EXP(-LN(2)/2))/(LN(2)/2)*CG34*CJ34*VLOOKUP('Données projet'!$B$12,Paramètres!$A$1:$I$89,3,0)*0.475*44/12</f>
        <v>3.1792939340156819E-2</v>
      </c>
      <c r="CN34" s="22">
        <f t="shared" si="12"/>
        <v>135.10386390520011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8.0511538458333352</v>
      </c>
      <c r="CT34" s="12">
        <f>IF('Données projet'!$A$140&gt;35,CT33+CS34-DB33,IF(A34&lt;'Données projet'!$A$140,$CQ$205^A34,IF(A34='Données projet'!$A$140,'Données projet'!$B$140,CT33+CS34-DB33)))</f>
        <v>83.397307695833334</v>
      </c>
      <c r="CU34" s="17">
        <f>CT34*VLOOKUP('Données projet'!$B$13,Paramètres!$A$1:$I$89,3,0)*VLOOKUP('Données projet'!$B$13,Paramètres!$A$1:$I$89,5,0)</f>
        <v>94.972854004015005</v>
      </c>
      <c r="CV34" s="13">
        <f t="shared" si="41"/>
        <v>25.760777906150501</v>
      </c>
      <c r="CW34" s="20">
        <f t="shared" si="13"/>
        <v>210.27774224353826</v>
      </c>
      <c r="CX34" s="59">
        <f t="shared" si="14"/>
        <v>503.6110755768716</v>
      </c>
      <c r="CY34" s="59">
        <f ca="1">AVERAGE(OFFSET($CX$3,0,0,'Données projet'!$E$13+1,1))-AVERAGE(OFFSET($H$3,0,0,'Données projet'!$E$13+1,1))</f>
        <v>770.11410336045037</v>
      </c>
      <c r="CZ34" s="59">
        <f t="shared" si="42"/>
        <v>227.12611049004596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16.154230774999998</v>
      </c>
      <c r="DO34" s="12">
        <f>IF('Données projet'!$A$166&gt;35,DO33+DN34-DW33,IF(A34&lt;'Données projet'!$A$166,$DL$205^A34,IF(A34='Données projet'!$A$166,'Données projet'!$B$166,DO33+DN34-DW33)))</f>
        <v>124.577307675</v>
      </c>
      <c r="DP34" s="17">
        <f>DO34*VLOOKUP('Données projet'!$B$14,Paramètres!$A$1:$I$89,3,0)*VLOOKUP('Données projet'!$B$14,Paramètres!$A$1:$I$89,5,0)</f>
        <v>126.32138998245001</v>
      </c>
      <c r="DQ34" s="13">
        <f t="shared" si="43"/>
        <v>33.144925714629906</v>
      </c>
      <c r="DR34" s="20">
        <f t="shared" si="16"/>
        <v>277.7371665057475</v>
      </c>
      <c r="DS34" s="59">
        <f t="shared" si="17"/>
        <v>571.07049983908087</v>
      </c>
      <c r="DT34" s="59">
        <f ca="1">AVERAGE(OFFSET($DS$3,0,0,'Données projet'!$E$14+1,1))-AVERAGE(OFFSET($H$3,0,0,'Données projet'!$E$14+1,1))</f>
        <v>778.88878505968955</v>
      </c>
      <c r="DU34" s="59">
        <f t="shared" si="44"/>
        <v>279.20782832611059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8.6</v>
      </c>
      <c r="N35" s="13">
        <f>IF('Données projet'!$A$36&gt;35,N34+M35-V34,IF(A35&lt;'Données projet'!$A$36,$K$205^A35,IF(A35='Données projet'!$A$36,'Données projet'!$B$36,N34+M35-V34)))</f>
        <v>297.20000000000005</v>
      </c>
      <c r="O35" s="13">
        <f>N35*VLOOKUP('Données projet'!$B$9,Paramètres!$A$1:$I$89,3,0)*VLOOKUP('Données projet'!$B$9,Paramètres!$A$1:$I$89,5,0)</f>
        <v>268.90656000000001</v>
      </c>
      <c r="P35" s="13">
        <f t="shared" si="33"/>
        <v>64.617158945843769</v>
      </c>
      <c r="Q35" s="20">
        <f t="shared" ref="Q35:Q66" si="53">(O35+P35)*0.475*44/12</f>
        <v>580.88714383067793</v>
      </c>
      <c r="R35" s="59">
        <f t="shared" si="0"/>
        <v>874.2204771640113</v>
      </c>
      <c r="S35" s="59">
        <f ca="1">AVERAGE(OFFSET($R$3,0,0,'Données projet'!$E$9+1,1))-AVERAGE(OFFSET($H$3,0,0,'Données projet'!$E$9+1,1))</f>
        <v>436.4497226650281</v>
      </c>
      <c r="T35" s="59">
        <f t="shared" si="34"/>
        <v>611.43967996341871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630</v>
      </c>
      <c r="AJ35" s="13">
        <f>AI35*VLOOKUP('Données projet'!$B$10,Paramètres!$A$1:$I$89,3,0)*VLOOKUP('Données projet'!$B$10,Paramètres!$A$1:$I$89,5,0)</f>
        <v>550.36800000000005</v>
      </c>
      <c r="AK35" s="13">
        <f t="shared" si="35"/>
        <v>121.67271812244785</v>
      </c>
      <c r="AL35" s="20">
        <f t="shared" si="4"/>
        <v>1170.4709173965966</v>
      </c>
      <c r="AM35" s="59">
        <f t="shared" si="5"/>
        <v>1463.8042507299299</v>
      </c>
      <c r="AN35" s="59">
        <f ca="1">AVERAGE(OFFSET($AM$3,0,0,'Données projet'!$E$10+1,1))-AVERAGE(OFFSET($H$3,0,0,'Données projet'!$E$10+1,1))</f>
        <v>662.13838733542616</v>
      </c>
      <c r="AO35" s="59">
        <f t="shared" si="36"/>
        <v>1194.915361841041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18.603333333333332</v>
      </c>
      <c r="BD35" s="12">
        <f>IF('Données projet'!$A$88&gt;35,BD34+BC35-BL34,IF(A35&lt;'Données projet'!$A$88,$BA$205^A35,IF(A35='Données projet'!$A$88,'Données projet'!$B$88,BD34+BC35-BL34)))</f>
        <v>236.66666666666666</v>
      </c>
      <c r="BE35" s="13">
        <f>BD35*VLOOKUP('Données projet'!$B$11,Paramètres!$A$1:$I$89,3,0)*VLOOKUP('Données projet'!$B$11,Paramètres!$A$1:$I$89,5,0)</f>
        <v>110.75999999999999</v>
      </c>
      <c r="BF35" s="13">
        <f t="shared" si="37"/>
        <v>29.509974682362923</v>
      </c>
      <c r="BG35" s="20">
        <f t="shared" si="7"/>
        <v>244.30353923844874</v>
      </c>
      <c r="BH35" s="59">
        <f t="shared" si="8"/>
        <v>537.63687257178208</v>
      </c>
      <c r="BI35" s="59">
        <f ca="1">AVERAGE(OFFSET($BH$3,0,0,'Données projet'!$E$11+1,1))-AVERAGE(OFFSET($H$3,0,0,'Données projet'!$E$11+1,1))</f>
        <v>321.82962838167799</v>
      </c>
      <c r="BJ35" s="59">
        <f t="shared" si="38"/>
        <v>243.43396255104295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187.80389738728508</v>
      </c>
      <c r="CE35" s="59">
        <f t="shared" si="40"/>
        <v>439.28159165815265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118.71344960289696</v>
      </c>
      <c r="CL35" s="21">
        <f>EXP(-LN(2)/25)*CL34+(1-EXP(-LN(2)/25))/(LN(2)/25)*Calculateur!CG35*Calculateur!CI35*VLOOKUP('Données projet'!$B$12,Paramètres!$A$1:$I$89,3,0)*0.475*44/12</f>
        <v>13.601763684519272</v>
      </c>
      <c r="CM35" s="21">
        <f>EXP(-LN(2)/2)*CM34+(1-EXP(-LN(2)/2))/(LN(2)/2)*CG35*CJ35*VLOOKUP('Données projet'!$B$12,Paramètres!$A$1:$I$89,3,0)*0.475*44/12</f>
        <v>2.2481003001277446E-2</v>
      </c>
      <c r="CN35" s="22">
        <f t="shared" si="12"/>
        <v>132.33769429041752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8.0511538458333352</v>
      </c>
      <c r="CT35" s="12">
        <f>IF('Données projet'!$A$140&gt;35,CT34+CS35-DB34,IF(A35&lt;'Données projet'!$A$140,$CQ$205^A35,IF(A35='Données projet'!$A$140,'Données projet'!$B$140,CT34+CS35-DB34)))</f>
        <v>91.448461541666674</v>
      </c>
      <c r="CU35" s="17">
        <f>CT35*VLOOKUP('Données projet'!$B$13,Paramètres!$A$1:$I$89,3,0)*VLOOKUP('Données projet'!$B$13,Paramètres!$A$1:$I$89,5,0)</f>
        <v>104.14150800365</v>
      </c>
      <c r="CV35" s="13">
        <f t="shared" si="41"/>
        <v>27.946312393158635</v>
      </c>
      <c r="CW35" s="20">
        <f t="shared" si="13"/>
        <v>230.05295385777504</v>
      </c>
      <c r="CX35" s="59">
        <f t="shared" si="14"/>
        <v>523.38628719110829</v>
      </c>
      <c r="CY35" s="59">
        <f ca="1">AVERAGE(OFFSET($CX$3,0,0,'Données projet'!$E$13+1,1))-AVERAGE(OFFSET($H$3,0,0,'Données projet'!$E$13+1,1))</f>
        <v>770.11410336045037</v>
      </c>
      <c r="CZ35" s="59">
        <f t="shared" si="42"/>
        <v>227.12611049004596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16.154230774999998</v>
      </c>
      <c r="DO35" s="12">
        <f>IF('Données projet'!$A$166&gt;35,DO34+DN35-DW34,IF(A35&lt;'Données projet'!$A$166,$DL$205^A35,IF(A35='Données projet'!$A$166,'Données projet'!$B$166,DO34+DN35-DW34)))</f>
        <v>140.73153844999999</v>
      </c>
      <c r="DP35" s="17">
        <f>DO35*VLOOKUP('Données projet'!$B$14,Paramètres!$A$1:$I$89,3,0)*VLOOKUP('Données projet'!$B$14,Paramètres!$A$1:$I$89,5,0)</f>
        <v>142.70177998829999</v>
      </c>
      <c r="DQ35" s="13">
        <f t="shared" si="43"/>
        <v>36.915255118993471</v>
      </c>
      <c r="DR35" s="20">
        <f t="shared" si="16"/>
        <v>312.83300281186945</v>
      </c>
      <c r="DS35" s="59">
        <f t="shared" si="17"/>
        <v>606.16633614520276</v>
      </c>
      <c r="DT35" s="59">
        <f ca="1">AVERAGE(OFFSET($DS$3,0,0,'Données projet'!$E$14+1,1))-AVERAGE(OFFSET($H$3,0,0,'Données projet'!$E$14+1,1))</f>
        <v>778.88878505968955</v>
      </c>
      <c r="DU35" s="59">
        <f t="shared" si="44"/>
        <v>279.20782832611059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8.6</v>
      </c>
      <c r="N36" s="13">
        <f>IF('Données projet'!$A$36&gt;35,N35+M36-V35,IF(A36&lt;'Données projet'!$A$36,$K$205^A36,IF(A36='Données projet'!$A$36,'Données projet'!$B$36,N35+M36-V35)))</f>
        <v>305.80000000000007</v>
      </c>
      <c r="O36" s="13">
        <f>N36*VLOOKUP('Données projet'!$B$9,Paramètres!$A$1:$I$89,3,0)*VLOOKUP('Données projet'!$B$9,Paramètres!$A$1:$I$89,5,0)</f>
        <v>276.68784000000005</v>
      </c>
      <c r="P36" s="13">
        <f t="shared" si="33"/>
        <v>66.266570237082931</v>
      </c>
      <c r="Q36" s="20">
        <f t="shared" si="53"/>
        <v>597.31226449625285</v>
      </c>
      <c r="R36" s="59">
        <f t="shared" si="0"/>
        <v>890.64559782958622</v>
      </c>
      <c r="S36" s="59">
        <f ca="1">AVERAGE(OFFSET($R$3,0,0,'Données projet'!$E$9+1,1))-AVERAGE(OFFSET($H$3,0,0,'Données projet'!$E$9+1,1))</f>
        <v>436.4497226650281</v>
      </c>
      <c r="T36" s="59">
        <f t="shared" si="34"/>
        <v>611.43967996341871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630</v>
      </c>
      <c r="AJ36" s="13">
        <f>AI36*VLOOKUP('Données projet'!$B$10,Paramètres!$A$1:$I$89,3,0)*VLOOKUP('Données projet'!$B$10,Paramètres!$A$1:$I$89,5,0)</f>
        <v>550.36800000000005</v>
      </c>
      <c r="AK36" s="13">
        <f t="shared" si="35"/>
        <v>121.67271812244785</v>
      </c>
      <c r="AL36" s="20">
        <f t="shared" si="4"/>
        <v>1170.4709173965966</v>
      </c>
      <c r="AM36" s="59">
        <f t="shared" si="5"/>
        <v>1463.8042507299299</v>
      </c>
      <c r="AN36" s="59">
        <f ca="1">AVERAGE(OFFSET($AM$3,0,0,'Données projet'!$E$10+1,1))-AVERAGE(OFFSET($H$3,0,0,'Données projet'!$E$10+1,1))</f>
        <v>662.13838733542616</v>
      </c>
      <c r="AO36" s="59">
        <f t="shared" si="36"/>
        <v>1194.915361841041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18.603333333333332</v>
      </c>
      <c r="BD36" s="12">
        <f>IF('Données projet'!$A$88&gt;35,BD35+BC36-BL35,IF(A36&lt;'Données projet'!$A$88,$BA$205^A36,IF(A36='Données projet'!$A$88,'Données projet'!$B$88,BD35+BC36-BL35)))</f>
        <v>255.26999999999998</v>
      </c>
      <c r="BE36" s="13">
        <f>BD36*VLOOKUP('Données projet'!$B$11,Paramètres!$A$1:$I$89,3,0)*VLOOKUP('Données projet'!$B$11,Paramètres!$A$1:$I$89,5,0)</f>
        <v>119.46635999999998</v>
      </c>
      <c r="BF36" s="13">
        <f t="shared" si="37"/>
        <v>31.550504261171852</v>
      </c>
      <c r="BG36" s="20">
        <f t="shared" si="7"/>
        <v>263.0210385882076</v>
      </c>
      <c r="BH36" s="59">
        <f t="shared" si="8"/>
        <v>556.35437192154086</v>
      </c>
      <c r="BI36" s="59">
        <f ca="1">AVERAGE(OFFSET($BH$3,0,0,'Données projet'!$E$11+1,1))-AVERAGE(OFFSET($H$3,0,0,'Données projet'!$E$11+1,1))</f>
        <v>321.82962838167799</v>
      </c>
      <c r="BJ36" s="59">
        <f t="shared" si="38"/>
        <v>243.43396255104295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187.80389738728508</v>
      </c>
      <c r="CE36" s="59">
        <f t="shared" si="40"/>
        <v>439.28159165815265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116.3855512642387</v>
      </c>
      <c r="CL36" s="21">
        <f>EXP(-LN(2)/25)*CL35+(1-EXP(-LN(2)/25))/(LN(2)/25)*Calculateur!CG36*Calculateur!CI36*VLOOKUP('Données projet'!$B$12,Paramètres!$A$1:$I$89,3,0)*0.475*44/12</f>
        <v>13.229822741280428</v>
      </c>
      <c r="CM36" s="21">
        <f>EXP(-LN(2)/2)*CM35+(1-EXP(-LN(2)/2))/(LN(2)/2)*CG36*CJ36*VLOOKUP('Données projet'!$B$12,Paramètres!$A$1:$I$89,3,0)*0.475*44/12</f>
        <v>1.5896469670078409E-2</v>
      </c>
      <c r="CN36" s="22">
        <f t="shared" si="12"/>
        <v>129.63127047518921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8.0511538458333352</v>
      </c>
      <c r="CT36" s="12">
        <f>IF('Données projet'!$A$140&gt;35,CT35+CS36-DB35,IF(A36&lt;'Données projet'!$A$140,$CQ$205^A36,IF(A36='Données projet'!$A$140,'Données projet'!$B$140,CT35+CS36-DB35)))</f>
        <v>99.499615387500015</v>
      </c>
      <c r="CU36" s="17">
        <f>CT36*VLOOKUP('Données projet'!$B$13,Paramètres!$A$1:$I$89,3,0)*VLOOKUP('Données projet'!$B$13,Paramètres!$A$1:$I$89,5,0)</f>
        <v>113.31016200328503</v>
      </c>
      <c r="CV36" s="13">
        <f t="shared" si="41"/>
        <v>30.109533717024629</v>
      </c>
      <c r="CW36" s="20">
        <f t="shared" si="13"/>
        <v>249.78930337953932</v>
      </c>
      <c r="CX36" s="59">
        <f t="shared" si="14"/>
        <v>543.12263671287269</v>
      </c>
      <c r="CY36" s="59">
        <f ca="1">AVERAGE(OFFSET($CX$3,0,0,'Données projet'!$E$13+1,1))-AVERAGE(OFFSET($H$3,0,0,'Données projet'!$E$13+1,1))</f>
        <v>770.11410336045037</v>
      </c>
      <c r="CZ36" s="59">
        <f t="shared" si="42"/>
        <v>227.12611049004596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16.154230774999998</v>
      </c>
      <c r="DO36" s="12">
        <f>IF('Données projet'!$A$166&gt;35,DO35+DN36-DW35,IF(A36&lt;'Données projet'!$A$166,$DL$205^A36,IF(A36='Données projet'!$A$166,'Données projet'!$B$166,DO35+DN36-DW35)))</f>
        <v>156.88576922499999</v>
      </c>
      <c r="DP36" s="17">
        <f>DO36*VLOOKUP('Données projet'!$B$14,Paramètres!$A$1:$I$89,3,0)*VLOOKUP('Données projet'!$B$14,Paramètres!$A$1:$I$89,5,0)</f>
        <v>159.08216999415001</v>
      </c>
      <c r="DQ36" s="13">
        <f t="shared" si="43"/>
        <v>40.63542702337412</v>
      </c>
      <c r="DR36" s="20">
        <f t="shared" si="16"/>
        <v>347.84148147218781</v>
      </c>
      <c r="DS36" s="59">
        <f t="shared" si="17"/>
        <v>641.17481480552112</v>
      </c>
      <c r="DT36" s="59">
        <f ca="1">AVERAGE(OFFSET($DS$3,0,0,'Données projet'!$E$14+1,1))-AVERAGE(OFFSET($H$3,0,0,'Données projet'!$E$14+1,1))</f>
        <v>778.88878505968955</v>
      </c>
      <c r="DU36" s="59">
        <f t="shared" si="44"/>
        <v>279.20782832611059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8.6</v>
      </c>
      <c r="N37" s="13">
        <f>IF('Données projet'!$A$36&gt;35,N36+M37-V36,IF(A37&lt;'Données projet'!$A$36,$K$205^A37,IF(A37='Données projet'!$A$36,'Données projet'!$B$36,N36+M37-V36)))</f>
        <v>314.40000000000009</v>
      </c>
      <c r="O37" s="13">
        <f>N37*VLOOKUP('Données projet'!$B$9,Paramètres!$A$1:$I$89,3,0)*VLOOKUP('Données projet'!$B$9,Paramètres!$A$1:$I$89,5,0)</f>
        <v>284.46912000000003</v>
      </c>
      <c r="P37" s="13">
        <f t="shared" si="33"/>
        <v>67.91059023737904</v>
      </c>
      <c r="Q37" s="20">
        <f t="shared" si="53"/>
        <v>613.72799533010186</v>
      </c>
      <c r="R37" s="59">
        <f t="shared" si="0"/>
        <v>907.06132866343523</v>
      </c>
      <c r="S37" s="59">
        <f ca="1">AVERAGE(OFFSET($R$3,0,0,'Données projet'!$E$9+1,1))-AVERAGE(OFFSET($H$3,0,0,'Données projet'!$E$9+1,1))</f>
        <v>436.4497226650281</v>
      </c>
      <c r="T37" s="59">
        <f t="shared" si="34"/>
        <v>611.43967996341871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630</v>
      </c>
      <c r="AJ37" s="13">
        <f>AI37*VLOOKUP('Données projet'!$B$10,Paramètres!$A$1:$I$89,3,0)*VLOOKUP('Données projet'!$B$10,Paramètres!$A$1:$I$89,5,0)</f>
        <v>550.36800000000005</v>
      </c>
      <c r="AK37" s="13">
        <f t="shared" si="35"/>
        <v>121.67271812244785</v>
      </c>
      <c r="AL37" s="20">
        <f t="shared" si="4"/>
        <v>1170.4709173965966</v>
      </c>
      <c r="AM37" s="59">
        <f t="shared" si="5"/>
        <v>1463.8042507299299</v>
      </c>
      <c r="AN37" s="59">
        <f ca="1">AVERAGE(OFFSET($AM$3,0,0,'Données projet'!$E$10+1,1))-AVERAGE(OFFSET($H$3,0,0,'Données projet'!$E$10+1,1))</f>
        <v>662.13838733542616</v>
      </c>
      <c r="AO37" s="59">
        <f t="shared" si="36"/>
        <v>1194.915361841041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18.603333333333332</v>
      </c>
      <c r="BD37" s="12">
        <f>IF('Données projet'!$A$88&gt;35,BD36+BC37-BL36,IF(A37&lt;'Données projet'!$A$88,$BA$205^A37,IF(A37='Données projet'!$A$88,'Données projet'!$B$88,BD36+BC37-BL36)))</f>
        <v>273.87333333333333</v>
      </c>
      <c r="BE37" s="13">
        <f>BD37*VLOOKUP('Données projet'!$B$11,Paramètres!$A$1:$I$89,3,0)*VLOOKUP('Données projet'!$B$11,Paramètres!$A$1:$I$89,5,0)</f>
        <v>128.17272</v>
      </c>
      <c r="BF37" s="13">
        <f t="shared" si="37"/>
        <v>33.573781344562491</v>
      </c>
      <c r="BG37" s="20">
        <f t="shared" si="7"/>
        <v>281.70848984177968</v>
      </c>
      <c r="BH37" s="59">
        <f t="shared" si="8"/>
        <v>575.041823175113</v>
      </c>
      <c r="BI37" s="59">
        <f ca="1">AVERAGE(OFFSET($BH$3,0,0,'Données projet'!$E$11+1,1))-AVERAGE(OFFSET($H$3,0,0,'Données projet'!$E$11+1,1))</f>
        <v>321.82962838167799</v>
      </c>
      <c r="BJ37" s="59">
        <f t="shared" si="38"/>
        <v>243.43396255104295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187.80389738728508</v>
      </c>
      <c r="CE37" s="59">
        <f t="shared" si="40"/>
        <v>439.28159165815265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114.10330159212376</v>
      </c>
      <c r="CL37" s="21">
        <f>EXP(-LN(2)/25)*CL36+(1-EXP(-LN(2)/25))/(LN(2)/25)*Calculateur!CG37*Calculateur!CI37*VLOOKUP('Données projet'!$B$12,Paramètres!$A$1:$I$89,3,0)*0.475*44/12</f>
        <v>12.868052542693974</v>
      </c>
      <c r="CM37" s="21">
        <f>EXP(-LN(2)/2)*CM36+(1-EXP(-LN(2)/2))/(LN(2)/2)*CG37*CJ37*VLOOKUP('Données projet'!$B$12,Paramètres!$A$1:$I$89,3,0)*0.475*44/12</f>
        <v>1.1240501500638723E-2</v>
      </c>
      <c r="CN37" s="22">
        <f t="shared" si="12"/>
        <v>126.98259463631837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8.0511538458333352</v>
      </c>
      <c r="CT37" s="12">
        <f>IF('Données projet'!$A$140&gt;35,CT36+CS37-DB36,IF(A37&lt;'Données projet'!$A$140,$CQ$205^A37,IF(A37='Données projet'!$A$140,'Données projet'!$B$140,CT36+CS37-DB36)))</f>
        <v>107.55076923333336</v>
      </c>
      <c r="CU37" s="17">
        <f>CT37*VLOOKUP('Données projet'!$B$13,Paramètres!$A$1:$I$89,3,0)*VLOOKUP('Données projet'!$B$13,Paramètres!$A$1:$I$89,5,0)</f>
        <v>122.47881600292003</v>
      </c>
      <c r="CV37" s="13">
        <f t="shared" si="41"/>
        <v>32.252452646783134</v>
      </c>
      <c r="CW37" s="20">
        <f t="shared" si="13"/>
        <v>269.49029289823301</v>
      </c>
      <c r="CX37" s="59">
        <f t="shared" si="14"/>
        <v>562.82362623156632</v>
      </c>
      <c r="CY37" s="59">
        <f ca="1">AVERAGE(OFFSET($CX$3,0,0,'Données projet'!$E$13+1,1))-AVERAGE(OFFSET($H$3,0,0,'Données projet'!$E$13+1,1))</f>
        <v>770.11410336045037</v>
      </c>
      <c r="CZ37" s="59">
        <f t="shared" si="42"/>
        <v>227.12611049004596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>
        <f>VLOOKUP(A37,'Données projet'!$A$165:$I$185,2,0)</f>
        <v>173.04</v>
      </c>
      <c r="DM37" s="12">
        <f>VLOOKUP(A37,'Données projet'!$A$165:$I$185,9,0)</f>
        <v>16.154230774999998</v>
      </c>
      <c r="DN37" s="12">
        <f t="array" ref="DN37">INDEX(DM:DM,MIN(IF(ISNUMBER(DM37:DM233),ROW(DM37:DM233),"")))</f>
        <v>16.154230774999998</v>
      </c>
      <c r="DO37" s="12">
        <f>IF('Données projet'!$A$166&gt;35,DO36+DN37-DW36,IF(A37&lt;'Données projet'!$A$166,$DL$205^A37,IF(A37='Données projet'!$A$166,'Données projet'!$B$166,DO36+DN37-DW36)))</f>
        <v>173.04</v>
      </c>
      <c r="DP37" s="17">
        <f>DO37*VLOOKUP('Données projet'!$B$14,Paramètres!$A$1:$I$89,3,0)*VLOOKUP('Données projet'!$B$14,Paramètres!$A$1:$I$89,5,0)</f>
        <v>175.46256</v>
      </c>
      <c r="DQ37" s="13">
        <f t="shared" si="43"/>
        <v>44.311194244027057</v>
      </c>
      <c r="DR37" s="20">
        <f t="shared" si="16"/>
        <v>382.77262197501381</v>
      </c>
      <c r="DS37" s="59">
        <f t="shared" si="17"/>
        <v>676.10595530834712</v>
      </c>
      <c r="DT37" s="59">
        <f ca="1">AVERAGE(OFFSET($DS$3,0,0,'Données projet'!$E$14+1,1))-AVERAGE(OFFSET($H$3,0,0,'Données projet'!$E$14+1,1))</f>
        <v>778.88878505968955</v>
      </c>
      <c r="DU37" s="59">
        <f t="shared" si="44"/>
        <v>279.20782832611059</v>
      </c>
      <c r="DV37" s="15">
        <f>IF(ISNA(VLOOKUP(A37,'Données projet'!$A$165:$I$185,3,0)),0,VLOOKUP(A37,'Données projet'!$A$165:$I$185,3,0))</f>
        <v>1</v>
      </c>
      <c r="DW37" s="15">
        <f>IF(ISNA(VLOOKUP(A37,'Données projet'!$A$165:$I$185,4,0)),0,VLOOKUP(A37,'Données projet'!$A$165:$I$185,4,0))</f>
        <v>35.450000000000003</v>
      </c>
      <c r="DX37" s="16">
        <f>IF(ISNA(VLOOKUP(A37,'Données projet'!$A$165:$I$185,5,0)),0%,VLOOKUP(A37,'Données projet'!$A$165:$I$185,5,0)*VLOOKUP('Données projet'!$B$14,Paramètres!$A$1:$I$89,7,0))</f>
        <v>0.43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17.08715505863627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17.08715505863627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323</v>
      </c>
      <c r="L38" s="12">
        <f>VLOOKUP(A38,'Données projet'!$A$35:$I$55,9,0)</f>
        <v>8.6</v>
      </c>
      <c r="M38" s="12">
        <f t="array" ref="M38">INDEX(L:L,MIN(IF(ISNUMBER(L38:L234),ROW(L38:L234),"")))</f>
        <v>8.6</v>
      </c>
      <c r="N38" s="13">
        <f>IF('Données projet'!$A$36&gt;35,N37+M38-V37,IF(A38&lt;'Données projet'!$A$36,$K$205^A38,IF(A38='Données projet'!$A$36,'Données projet'!$B$36,N37+M38-V37)))</f>
        <v>323.00000000000011</v>
      </c>
      <c r="O38" s="13">
        <f>N38*VLOOKUP('Données projet'!$B$9,Paramètres!$A$1:$I$89,3,0)*VLOOKUP('Données projet'!$B$9,Paramètres!$A$1:$I$89,5,0)</f>
        <v>292.25040000000013</v>
      </c>
      <c r="P38" s="13">
        <f t="shared" si="33"/>
        <v>69.549383363839993</v>
      </c>
      <c r="Q38" s="20">
        <f t="shared" si="53"/>
        <v>630.13462269202148</v>
      </c>
      <c r="R38" s="59">
        <f t="shared" si="0"/>
        <v>923.46795602535485</v>
      </c>
      <c r="S38" s="59">
        <f ca="1">AVERAGE(OFFSET($R$3,0,0,'Données projet'!$E$9+1,1))-AVERAGE(OFFSET($H$3,0,0,'Données projet'!$E$9+1,1))</f>
        <v>436.4497226650281</v>
      </c>
      <c r="T38" s="59">
        <f t="shared" si="34"/>
        <v>611.43967996341871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11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3.3007576780246635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3.3007576780246635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630</v>
      </c>
      <c r="AJ38" s="13">
        <f>AI38*VLOOKUP('Données projet'!$B$10,Paramètres!$A$1:$I$89,3,0)*VLOOKUP('Données projet'!$B$10,Paramètres!$A$1:$I$89,5,0)</f>
        <v>550.36800000000005</v>
      </c>
      <c r="AK38" s="13">
        <f t="shared" si="35"/>
        <v>121.67271812244785</v>
      </c>
      <c r="AL38" s="20">
        <f t="shared" si="4"/>
        <v>1170.4709173965966</v>
      </c>
      <c r="AM38" s="59">
        <f t="shared" si="5"/>
        <v>1463.8042507299299</v>
      </c>
      <c r="AN38" s="59">
        <f ca="1">AVERAGE(OFFSET($AM$3,0,0,'Données projet'!$E$10+1,1))-AVERAGE(OFFSET($H$3,0,0,'Données projet'!$E$10+1,1))</f>
        <v>662.13838733542616</v>
      </c>
      <c r="AO38" s="59">
        <f t="shared" si="36"/>
        <v>1194.915361841041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18.603333333333332</v>
      </c>
      <c r="BD38" s="12">
        <f>IF('Données projet'!$A$88&gt;35,BD37+BC38-BL37,IF(A38&lt;'Données projet'!$A$88,$BA$205^A38,IF(A38='Données projet'!$A$88,'Données projet'!$B$88,BD37+BC38-BL37)))</f>
        <v>292.47666666666669</v>
      </c>
      <c r="BE38" s="13">
        <f>BD38*VLOOKUP('Données projet'!$B$11,Paramètres!$A$1:$I$89,3,0)*VLOOKUP('Données projet'!$B$11,Paramètres!$A$1:$I$89,5,0)</f>
        <v>136.87908000000002</v>
      </c>
      <c r="BF38" s="13">
        <f t="shared" si="37"/>
        <v>35.581111165684554</v>
      </c>
      <c r="BG38" s="20">
        <f t="shared" si="7"/>
        <v>300.36816628023394</v>
      </c>
      <c r="BH38" s="59">
        <f t="shared" si="8"/>
        <v>593.70149961356719</v>
      </c>
      <c r="BI38" s="59">
        <f ca="1">AVERAGE(OFFSET($BH$3,0,0,'Données projet'!$E$11+1,1))-AVERAGE(OFFSET($H$3,0,0,'Données projet'!$E$11+1,1))</f>
        <v>321.82962838167799</v>
      </c>
      <c r="BJ38" s="59">
        <f t="shared" si="38"/>
        <v>243.43396255104295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187.80389738728508</v>
      </c>
      <c r="CE38" s="59">
        <f t="shared" si="40"/>
        <v>439.28159165815265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111.86580544404413</v>
      </c>
      <c r="CL38" s="21">
        <f>EXP(-LN(2)/25)*CL37+(1-EXP(-LN(2)/25))/(LN(2)/25)*Calculateur!CG38*Calculateur!CI38*VLOOKUP('Données projet'!$B$12,Paramètres!$A$1:$I$89,3,0)*0.475*44/12</f>
        <v>12.516174969212534</v>
      </c>
      <c r="CM38" s="21">
        <f>EXP(-LN(2)/2)*CM37+(1-EXP(-LN(2)/2))/(LN(2)/2)*CG38*CJ38*VLOOKUP('Données projet'!$B$12,Paramètres!$A$1:$I$89,3,0)*0.475*44/12</f>
        <v>7.9482348350392047E-3</v>
      </c>
      <c r="CN38" s="22">
        <f t="shared" si="12"/>
        <v>124.3899286480917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8.0511538458333352</v>
      </c>
      <c r="CT38" s="12">
        <f>IF('Données projet'!$A$140&gt;35,CT37+CS38-DB37,IF(A38&lt;'Données projet'!$A$140,$CQ$205^A38,IF(A38='Données projet'!$A$140,'Données projet'!$B$140,CT37+CS38-DB37)))</f>
        <v>115.6019230791667</v>
      </c>
      <c r="CU38" s="17">
        <f>CT38*VLOOKUP('Données projet'!$B$13,Paramètres!$A$1:$I$89,3,0)*VLOOKUP('Données projet'!$B$13,Paramètres!$A$1:$I$89,5,0)</f>
        <v>131.64747000255502</v>
      </c>
      <c r="CV38" s="13">
        <f t="shared" si="41"/>
        <v>34.376761818713817</v>
      </c>
      <c r="CW38" s="20">
        <f t="shared" si="13"/>
        <v>289.15887042204321</v>
      </c>
      <c r="CX38" s="59">
        <f t="shared" si="14"/>
        <v>582.49220375537652</v>
      </c>
      <c r="CY38" s="59">
        <f ca="1">AVERAGE(OFFSET($CX$3,0,0,'Données projet'!$E$13+1,1))-AVERAGE(OFFSET($H$3,0,0,'Données projet'!$E$13+1,1))</f>
        <v>770.11410336045037</v>
      </c>
      <c r="CZ38" s="59">
        <f t="shared" si="42"/>
        <v>227.12611049004596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13.802500000000002</v>
      </c>
      <c r="DO38" s="12">
        <f>IF('Données projet'!$A$166&gt;35,DO37+DN38-DW37,IF(A38&lt;'Données projet'!$A$166,$DL$205^A38,IF(A38='Données projet'!$A$166,'Données projet'!$B$166,DO37+DN38-DW37)))</f>
        <v>151.39249999999998</v>
      </c>
      <c r="DP38" s="17">
        <f>DO38*VLOOKUP('Données projet'!$B$14,Paramètres!$A$1:$I$89,3,0)*VLOOKUP('Données projet'!$B$14,Paramètres!$A$1:$I$89,5,0)</f>
        <v>153.51199500000001</v>
      </c>
      <c r="DQ38" s="13">
        <f t="shared" si="43"/>
        <v>39.375620894369419</v>
      </c>
      <c r="DR38" s="20">
        <f t="shared" si="16"/>
        <v>335.9459310160268</v>
      </c>
      <c r="DS38" s="59">
        <f t="shared" si="17"/>
        <v>629.27926434936012</v>
      </c>
      <c r="DT38" s="59">
        <f ca="1">AVERAGE(OFFSET($DS$3,0,0,'Données projet'!$E$14+1,1))-AVERAGE(OFFSET($H$3,0,0,'Données projet'!$E$14+1,1))</f>
        <v>778.88878505968955</v>
      </c>
      <c r="DU38" s="59">
        <f t="shared" si="44"/>
        <v>279.20782832611059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16.752086370071897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16.752086370071897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7.6</v>
      </c>
      <c r="N39" s="13">
        <f>IF('Données projet'!$A$36&gt;35,N38+M39-V38,IF(A39&lt;'Données projet'!$A$36,$K$205^A39,IF(A39='Données projet'!$A$36,'Données projet'!$B$36,N38+M39-V38)))</f>
        <v>319.60000000000014</v>
      </c>
      <c r="O39" s="13">
        <f>N39*VLOOKUP('Données projet'!$B$9,Paramètres!$A$1:$I$89,3,0)*VLOOKUP('Données projet'!$B$9,Paramètres!$A$1:$I$89,5,0)</f>
        <v>289.17408000000012</v>
      </c>
      <c r="P39" s="13">
        <f t="shared" si="33"/>
        <v>68.902103026957732</v>
      </c>
      <c r="Q39" s="20">
        <f t="shared" si="53"/>
        <v>623.64935210528495</v>
      </c>
      <c r="R39" s="59">
        <f t="shared" si="0"/>
        <v>916.98268543861832</v>
      </c>
      <c r="S39" s="59">
        <f ca="1">AVERAGE(OFFSET($R$3,0,0,'Données projet'!$E$9+1,1))-AVERAGE(OFFSET($H$3,0,0,'Données projet'!$E$9+1,1))</f>
        <v>436.4497226650281</v>
      </c>
      <c r="T39" s="59">
        <f t="shared" si="34"/>
        <v>611.43967996341871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3.2360318332219902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3.2360318332219902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630</v>
      </c>
      <c r="AJ39" s="13">
        <f>AI39*VLOOKUP('Données projet'!$B$10,Paramètres!$A$1:$I$89,3,0)*VLOOKUP('Données projet'!$B$10,Paramètres!$A$1:$I$89,5,0)</f>
        <v>550.36800000000005</v>
      </c>
      <c r="AK39" s="13">
        <f t="shared" si="35"/>
        <v>121.67271812244785</v>
      </c>
      <c r="AL39" s="20">
        <f t="shared" si="4"/>
        <v>1170.4709173965966</v>
      </c>
      <c r="AM39" s="59">
        <f t="shared" si="5"/>
        <v>1463.8042507299299</v>
      </c>
      <c r="AN39" s="59">
        <f ca="1">AVERAGE(OFFSET($AM$3,0,0,'Données projet'!$E$10+1,1))-AVERAGE(OFFSET($H$3,0,0,'Données projet'!$E$10+1,1))</f>
        <v>662.13838733542616</v>
      </c>
      <c r="AO39" s="59">
        <f t="shared" si="36"/>
        <v>1194.915361841041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18.603333333333332</v>
      </c>
      <c r="BD39" s="12">
        <f>IF('Données projet'!$A$88&gt;35,BD38+BC39-BL38,IF(A39&lt;'Données projet'!$A$88,$BA$205^A39,IF(A39='Données projet'!$A$88,'Données projet'!$B$88,BD38+BC39-BL38)))</f>
        <v>311.08000000000004</v>
      </c>
      <c r="BE39" s="13">
        <f>BD39*VLOOKUP('Données projet'!$B$11,Paramètres!$A$1:$I$89,3,0)*VLOOKUP('Données projet'!$B$11,Paramètres!$A$1:$I$89,5,0)</f>
        <v>145.58544000000003</v>
      </c>
      <c r="BF39" s="13">
        <f t="shared" si="37"/>
        <v>37.573623529058466</v>
      </c>
      <c r="BG39" s="20">
        <f t="shared" si="7"/>
        <v>319.00203564644352</v>
      </c>
      <c r="BH39" s="59">
        <f t="shared" si="8"/>
        <v>612.33536897977683</v>
      </c>
      <c r="BI39" s="59">
        <f ca="1">AVERAGE(OFFSET($BH$3,0,0,'Données projet'!$E$11+1,1))-AVERAGE(OFFSET($H$3,0,0,'Données projet'!$E$11+1,1))</f>
        <v>321.82962838167799</v>
      </c>
      <c r="BJ39" s="59">
        <f t="shared" si="38"/>
        <v>243.43396255104295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187.80389738728508</v>
      </c>
      <c r="CE39" s="59">
        <f t="shared" si="40"/>
        <v>439.28159165815265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109.67218523069045</v>
      </c>
      <c r="CL39" s="21">
        <f>EXP(-LN(2)/25)*CL38+(1-EXP(-LN(2)/25))/(LN(2)/25)*Calculateur!CG39*Calculateur!CI39*VLOOKUP('Données projet'!$B$12,Paramètres!$A$1:$I$89,3,0)*0.475*44/12</f>
        <v>12.173919506482381</v>
      </c>
      <c r="CM39" s="21">
        <f>EXP(-LN(2)/2)*CM38+(1-EXP(-LN(2)/2))/(LN(2)/2)*CG39*CJ39*VLOOKUP('Données projet'!$B$12,Paramètres!$A$1:$I$89,3,0)*0.475*44/12</f>
        <v>5.6202507503193616E-3</v>
      </c>
      <c r="CN39" s="22">
        <f t="shared" si="12"/>
        <v>121.85172498792315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8.0511538458333352</v>
      </c>
      <c r="CT39" s="12">
        <f>IF('Données projet'!$A$140&gt;35,CT38+CS39-DB38,IF(A39&lt;'Données projet'!$A$140,$CQ$205^A39,IF(A39='Données projet'!$A$140,'Données projet'!$B$140,CT38+CS39-DB38)))</f>
        <v>123.65307692500004</v>
      </c>
      <c r="CU39" s="17">
        <f>CT39*VLOOKUP('Données projet'!$B$13,Paramètres!$A$1:$I$89,3,0)*VLOOKUP('Données projet'!$B$13,Paramètres!$A$1:$I$89,5,0)</f>
        <v>140.81612400219004</v>
      </c>
      <c r="CV39" s="13">
        <f t="shared" si="41"/>
        <v>36.483904749093682</v>
      </c>
      <c r="CW39" s="20">
        <f t="shared" si="13"/>
        <v>308.79755007515246</v>
      </c>
      <c r="CX39" s="59">
        <f t="shared" si="14"/>
        <v>602.13088340848572</v>
      </c>
      <c r="CY39" s="59">
        <f ca="1">AVERAGE(OFFSET($CX$3,0,0,'Données projet'!$E$13+1,1))-AVERAGE(OFFSET($H$3,0,0,'Données projet'!$E$13+1,1))</f>
        <v>770.11410336045037</v>
      </c>
      <c r="CZ39" s="59">
        <f t="shared" si="42"/>
        <v>227.12611049004596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13.802500000000002</v>
      </c>
      <c r="DO39" s="12">
        <f>IF('Données projet'!$A$166&gt;35,DO38+DN39-DW38,IF(A39&lt;'Données projet'!$A$166,$DL$205^A39,IF(A39='Données projet'!$A$166,'Données projet'!$B$166,DO38+DN39-DW38)))</f>
        <v>165.19499999999999</v>
      </c>
      <c r="DP39" s="17">
        <f>DO39*VLOOKUP('Données projet'!$B$14,Paramètres!$A$1:$I$89,3,0)*VLOOKUP('Données projet'!$B$14,Paramètres!$A$1:$I$89,5,0)</f>
        <v>167.50773000000001</v>
      </c>
      <c r="DQ39" s="13">
        <f t="shared" si="43"/>
        <v>42.53135912962076</v>
      </c>
      <c r="DR39" s="20">
        <f t="shared" si="16"/>
        <v>365.81808023408945</v>
      </c>
      <c r="DS39" s="59">
        <f t="shared" si="17"/>
        <v>659.15141356742276</v>
      </c>
      <c r="DT39" s="59">
        <f ca="1">AVERAGE(OFFSET($DS$3,0,0,'Données projet'!$E$14+1,1))-AVERAGE(OFFSET($H$3,0,0,'Données projet'!$E$14+1,1))</f>
        <v>778.88878505968955</v>
      </c>
      <c r="DU39" s="59">
        <f t="shared" si="44"/>
        <v>279.20782832611059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16.423588174118553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16.423588174118553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7.6</v>
      </c>
      <c r="N40" s="13">
        <f>IF('Données projet'!$A$36&gt;35,N39+M40-V39,IF(A40&lt;'Données projet'!$A$36,$K$205^A40,IF(A40='Données projet'!$A$36,'Données projet'!$B$36,N39+M40-V39)))</f>
        <v>327.20000000000016</v>
      </c>
      <c r="O40" s="13">
        <f>N40*VLOOKUP('Données projet'!$B$9,Paramètres!$A$1:$I$89,3,0)*VLOOKUP('Données projet'!$B$9,Paramètres!$A$1:$I$89,5,0)</f>
        <v>296.05056000000013</v>
      </c>
      <c r="P40" s="13">
        <f t="shared" si="33"/>
        <v>70.34787165092402</v>
      </c>
      <c r="Q40" s="20">
        <f t="shared" si="53"/>
        <v>638.14393512535958</v>
      </c>
      <c r="R40" s="59">
        <f t="shared" si="0"/>
        <v>931.47726845869283</v>
      </c>
      <c r="S40" s="59">
        <f ca="1">AVERAGE(OFFSET($R$3,0,0,'Données projet'!$E$9+1,1))-AVERAGE(OFFSET($H$3,0,0,'Données projet'!$E$9+1,1))</f>
        <v>436.4497226650281</v>
      </c>
      <c r="T40" s="59">
        <f t="shared" si="34"/>
        <v>611.43967996341871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3.1725752227570303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3.1725752227570303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630</v>
      </c>
      <c r="AJ40" s="13">
        <f>AI40*VLOOKUP('Données projet'!$B$10,Paramètres!$A$1:$I$89,3,0)*VLOOKUP('Données projet'!$B$10,Paramètres!$A$1:$I$89,5,0)</f>
        <v>550.36800000000005</v>
      </c>
      <c r="AK40" s="13">
        <f t="shared" si="35"/>
        <v>121.67271812244785</v>
      </c>
      <c r="AL40" s="20">
        <f t="shared" si="4"/>
        <v>1170.4709173965966</v>
      </c>
      <c r="AM40" s="59">
        <f t="shared" si="5"/>
        <v>1463.8042507299299</v>
      </c>
      <c r="AN40" s="59">
        <f ca="1">AVERAGE(OFFSET($AM$3,0,0,'Données projet'!$E$10+1,1))-AVERAGE(OFFSET($H$3,0,0,'Données projet'!$E$10+1,1))</f>
        <v>662.13838733542616</v>
      </c>
      <c r="AO40" s="59">
        <f t="shared" si="36"/>
        <v>1194.915361841041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18.603333333333332</v>
      </c>
      <c r="BD40" s="12">
        <f>IF('Données projet'!$A$88&gt;35,BD39+BC40-BL39,IF(A40&lt;'Données projet'!$A$88,$BA$205^A40,IF(A40='Données projet'!$A$88,'Données projet'!$B$88,BD39+BC40-BL39)))</f>
        <v>329.68333333333339</v>
      </c>
      <c r="BE40" s="13">
        <f>BD40*VLOOKUP('Données projet'!$B$11,Paramètres!$A$1:$I$89,3,0)*VLOOKUP('Données projet'!$B$11,Paramètres!$A$1:$I$89,5,0)</f>
        <v>154.29180000000002</v>
      </c>
      <c r="BF40" s="13">
        <f t="shared" si="37"/>
        <v>39.552305474713343</v>
      </c>
      <c r="BG40" s="20">
        <f t="shared" si="7"/>
        <v>337.61181703512574</v>
      </c>
      <c r="BH40" s="59">
        <f t="shared" si="8"/>
        <v>630.94515036845905</v>
      </c>
      <c r="BI40" s="59">
        <f ca="1">AVERAGE(OFFSET($BH$3,0,0,'Données projet'!$E$11+1,1))-AVERAGE(OFFSET($H$3,0,0,'Données projet'!$E$11+1,1))</f>
        <v>321.82962838167799</v>
      </c>
      <c r="BJ40" s="59">
        <f t="shared" si="38"/>
        <v>243.43396255104295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187.80389738728508</v>
      </c>
      <c r="CE40" s="59">
        <f t="shared" si="40"/>
        <v>439.28159165815265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107.52158057174442</v>
      </c>
      <c r="CL40" s="21">
        <f>EXP(-LN(2)/25)*CL39+(1-EXP(-LN(2)/25))/(LN(2)/25)*Calculateur!CG40*Calculateur!CI40*VLOOKUP('Données projet'!$B$12,Paramètres!$A$1:$I$89,3,0)*0.475*44/12</f>
        <v>11.841023037379017</v>
      </c>
      <c r="CM40" s="21">
        <f>EXP(-LN(2)/2)*CM39+(1-EXP(-LN(2)/2))/(LN(2)/2)*CG40*CJ40*VLOOKUP('Données projet'!$B$12,Paramètres!$A$1:$I$89,3,0)*0.475*44/12</f>
        <v>3.9741174175196023E-3</v>
      </c>
      <c r="CN40" s="22">
        <f t="shared" si="12"/>
        <v>119.36657772654095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8.0511538458333352</v>
      </c>
      <c r="CT40" s="12">
        <f>IF('Données projet'!$A$140&gt;35,CT39+CS40-DB39,IF(A40&lt;'Données projet'!$A$140,$CQ$205^A40,IF(A40='Données projet'!$A$140,'Données projet'!$B$140,CT39+CS40-DB39)))</f>
        <v>131.70423077083336</v>
      </c>
      <c r="CU40" s="17">
        <f>CT40*VLOOKUP('Données projet'!$B$13,Paramètres!$A$1:$I$89,3,0)*VLOOKUP('Données projet'!$B$13,Paramètres!$A$1:$I$89,5,0)</f>
        <v>149.98477800182505</v>
      </c>
      <c r="CV40" s="13">
        <f t="shared" si="41"/>
        <v>38.575126346714775</v>
      </c>
      <c r="CW40" s="20">
        <f t="shared" si="13"/>
        <v>328.40850007370682</v>
      </c>
      <c r="CX40" s="59">
        <f t="shared" si="14"/>
        <v>621.74183340704008</v>
      </c>
      <c r="CY40" s="59">
        <f ca="1">AVERAGE(OFFSET($CX$3,0,0,'Données projet'!$E$13+1,1))-AVERAGE(OFFSET($H$3,0,0,'Données projet'!$E$13+1,1))</f>
        <v>770.11410336045037</v>
      </c>
      <c r="CZ40" s="59">
        <f t="shared" si="42"/>
        <v>227.12611049004596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13.802500000000002</v>
      </c>
      <c r="DO40" s="12">
        <f>IF('Données projet'!$A$166&gt;35,DO39+DN40-DW39,IF(A40&lt;'Données projet'!$A$166,$DL$205^A40,IF(A40='Données projet'!$A$166,'Données projet'!$B$166,DO39+DN40-DW39)))</f>
        <v>178.9975</v>
      </c>
      <c r="DP40" s="17">
        <f>DO40*VLOOKUP('Données projet'!$B$14,Paramètres!$A$1:$I$89,3,0)*VLOOKUP('Données projet'!$B$14,Paramètres!$A$1:$I$89,5,0)</f>
        <v>181.50346500000001</v>
      </c>
      <c r="DQ40" s="13">
        <f t="shared" si="43"/>
        <v>45.656517328578786</v>
      </c>
      <c r="DR40" s="20">
        <f t="shared" si="16"/>
        <v>395.63696922227473</v>
      </c>
      <c r="DS40" s="59">
        <f t="shared" si="17"/>
        <v>688.97030255560799</v>
      </c>
      <c r="DT40" s="59">
        <f ca="1">AVERAGE(OFFSET($DS$3,0,0,'Données projet'!$E$14+1,1))-AVERAGE(OFFSET($H$3,0,0,'Données projet'!$E$14+1,1))</f>
        <v>778.88878505968955</v>
      </c>
      <c r="DU40" s="59">
        <f t="shared" si="44"/>
        <v>279.20782832611059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16.101531627423739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16.101531627423739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7.6</v>
      </c>
      <c r="N41" s="13">
        <f>IF('Données projet'!$A$36&gt;35,N40+M41-V40,IF(A41&lt;'Données projet'!$A$36,$K$205^A41,IF(A41='Données projet'!$A$36,'Données projet'!$B$36,N40+M41-V40)))</f>
        <v>334.80000000000018</v>
      </c>
      <c r="O41" s="13">
        <f>N41*VLOOKUP('Données projet'!$B$9,Paramètres!$A$1:$I$89,3,0)*VLOOKUP('Données projet'!$B$9,Paramètres!$A$1:$I$89,5,0)</f>
        <v>302.92704000000015</v>
      </c>
      <c r="P41" s="13">
        <f t="shared" si="33"/>
        <v>71.789736305653022</v>
      </c>
      <c r="Q41" s="20">
        <f t="shared" si="53"/>
        <v>652.63171873234603</v>
      </c>
      <c r="R41" s="59">
        <f t="shared" si="0"/>
        <v>945.9650520656794</v>
      </c>
      <c r="S41" s="59">
        <f ca="1">AVERAGE(OFFSET($R$3,0,0,'Données projet'!$E$9+1,1))-AVERAGE(OFFSET($H$3,0,0,'Données projet'!$E$9+1,1))</f>
        <v>436.4497226650281</v>
      </c>
      <c r="T41" s="59">
        <f t="shared" si="34"/>
        <v>611.43967996341871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3.1103629577185776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3.1103629577185776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630</v>
      </c>
      <c r="AJ41" s="13">
        <f>AI41*VLOOKUP('Données projet'!$B$10,Paramètres!$A$1:$I$89,3,0)*VLOOKUP('Données projet'!$B$10,Paramètres!$A$1:$I$89,5,0)</f>
        <v>550.36800000000005</v>
      </c>
      <c r="AK41" s="13">
        <f t="shared" si="35"/>
        <v>121.67271812244785</v>
      </c>
      <c r="AL41" s="20">
        <f t="shared" si="4"/>
        <v>1170.4709173965966</v>
      </c>
      <c r="AM41" s="59">
        <f t="shared" si="5"/>
        <v>1463.8042507299299</v>
      </c>
      <c r="AN41" s="59">
        <f ca="1">AVERAGE(OFFSET($AM$3,0,0,'Données projet'!$E$10+1,1))-AVERAGE(OFFSET($H$3,0,0,'Données projet'!$E$10+1,1))</f>
        <v>662.13838733542616</v>
      </c>
      <c r="AO41" s="59">
        <f t="shared" si="36"/>
        <v>1194.915361841041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18.603333333333332</v>
      </c>
      <c r="BD41" s="12">
        <f>IF('Données projet'!$A$88&gt;35,BD40+BC41-BL40,IF(A41&lt;'Données projet'!$A$88,$BA$205^A41,IF(A41='Données projet'!$A$88,'Données projet'!$B$88,BD40+BC41-BL40)))</f>
        <v>348.28666666666675</v>
      </c>
      <c r="BE41" s="13">
        <f>BD41*VLOOKUP('Données projet'!$B$11,Paramètres!$A$1:$I$89,3,0)*VLOOKUP('Données projet'!$B$11,Paramètres!$A$1:$I$89,5,0)</f>
        <v>162.99816000000004</v>
      </c>
      <c r="BF41" s="13">
        <f t="shared" si="37"/>
        <v>41.518026357942645</v>
      </c>
      <c r="BG41" s="20">
        <f t="shared" si="7"/>
        <v>356.19902457341686</v>
      </c>
      <c r="BH41" s="59">
        <f t="shared" si="8"/>
        <v>649.53235790675012</v>
      </c>
      <c r="BI41" s="59">
        <f ca="1">AVERAGE(OFFSET($BH$3,0,0,'Données projet'!$E$11+1,1))-AVERAGE(OFFSET($H$3,0,0,'Données projet'!$E$11+1,1))</f>
        <v>321.82962838167799</v>
      </c>
      <c r="BJ41" s="59">
        <f t="shared" si="38"/>
        <v>243.43396255104295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187.80389738728508</v>
      </c>
      <c r="CE41" s="59">
        <f t="shared" si="40"/>
        <v>439.28159165815265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105.41314795842101</v>
      </c>
      <c r="CL41" s="21">
        <f>EXP(-LN(2)/25)*CL40+(1-EXP(-LN(2)/25))/(LN(2)/25)*Calculateur!CG41*Calculateur!CI41*VLOOKUP('Données projet'!$B$12,Paramètres!$A$1:$I$89,3,0)*0.475*44/12</f>
        <v>11.51722963972955</v>
      </c>
      <c r="CM41" s="21">
        <f>EXP(-LN(2)/2)*CM40+(1-EXP(-LN(2)/2))/(LN(2)/2)*CG41*CJ41*VLOOKUP('Données projet'!$B$12,Paramètres!$A$1:$I$89,3,0)*0.475*44/12</f>
        <v>2.8101253751596808E-3</v>
      </c>
      <c r="CN41" s="22">
        <f t="shared" si="12"/>
        <v>116.93318772352572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8.0511538458333352</v>
      </c>
      <c r="CT41" s="12">
        <f>IF('Données projet'!$A$140&gt;35,CT40+CS41-DB40,IF(A41&lt;'Données projet'!$A$140,$CQ$205^A41,IF(A41='Données projet'!$A$140,'Données projet'!$B$140,CT40+CS41-DB40)))</f>
        <v>139.7553846166667</v>
      </c>
      <c r="CU41" s="17">
        <f>CT41*VLOOKUP('Données projet'!$B$13,Paramètres!$A$1:$I$89,3,0)*VLOOKUP('Données projet'!$B$13,Paramètres!$A$1:$I$89,5,0)</f>
        <v>159.15343200146003</v>
      </c>
      <c r="CV41" s="13">
        <f t="shared" si="41"/>
        <v>40.651510715799269</v>
      </c>
      <c r="CW41" s="20">
        <f t="shared" si="13"/>
        <v>347.99360856589328</v>
      </c>
      <c r="CX41" s="59">
        <f t="shared" si="14"/>
        <v>641.32694189922654</v>
      </c>
      <c r="CY41" s="59">
        <f ca="1">AVERAGE(OFFSET($CX$3,0,0,'Données projet'!$E$13+1,1))-AVERAGE(OFFSET($H$3,0,0,'Données projet'!$E$13+1,1))</f>
        <v>770.11410336045037</v>
      </c>
      <c r="CZ41" s="59">
        <f t="shared" si="42"/>
        <v>227.12611049004596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13.802500000000002</v>
      </c>
      <c r="DO41" s="12">
        <f>IF('Données projet'!$A$166&gt;35,DO40+DN41-DW40,IF(A41&lt;'Données projet'!$A$166,$DL$205^A41,IF(A41='Données projet'!$A$166,'Données projet'!$B$166,DO40+DN41-DW40)))</f>
        <v>192.8</v>
      </c>
      <c r="DP41" s="17">
        <f>DO41*VLOOKUP('Données projet'!$B$14,Paramètres!$A$1:$I$89,3,0)*VLOOKUP('Données projet'!$B$14,Paramètres!$A$1:$I$89,5,0)</f>
        <v>195.49920000000003</v>
      </c>
      <c r="DQ41" s="13">
        <f t="shared" si="43"/>
        <v>48.753721622209305</v>
      </c>
      <c r="DR41" s="20">
        <f t="shared" si="16"/>
        <v>425.40717182534786</v>
      </c>
      <c r="DS41" s="59">
        <f t="shared" si="17"/>
        <v>718.74050515868112</v>
      </c>
      <c r="DT41" s="59">
        <f ca="1">AVERAGE(OFFSET($DS$3,0,0,'Données projet'!$E$14+1,1))-AVERAGE(OFFSET($H$3,0,0,'Données projet'!$E$14+1,1))</f>
        <v>778.88878505968955</v>
      </c>
      <c r="DU41" s="59">
        <f t="shared" si="44"/>
        <v>279.20782832611059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15.785790413174512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15.785790413174512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7.6</v>
      </c>
      <c r="N42" s="13">
        <f>IF('Données projet'!$A$36&gt;35,N41+M42-V41,IF(A42&lt;'Données projet'!$A$36,$K$205^A42,IF(A42='Données projet'!$A$36,'Données projet'!$B$36,N41+M42-V41)))</f>
        <v>342.4000000000002</v>
      </c>
      <c r="O42" s="13">
        <f>N42*VLOOKUP('Données projet'!$B$9,Paramètres!$A$1:$I$89,3,0)*VLOOKUP('Données projet'!$B$9,Paramètres!$A$1:$I$89,5,0)</f>
        <v>309.80352000000016</v>
      </c>
      <c r="P42" s="13">
        <f t="shared" si="33"/>
        <v>73.227795813703821</v>
      </c>
      <c r="Q42" s="20">
        <f t="shared" si="53"/>
        <v>667.11287504220115</v>
      </c>
      <c r="R42" s="59">
        <f t="shared" si="0"/>
        <v>960.44620837553452</v>
      </c>
      <c r="S42" s="59">
        <f ca="1">AVERAGE(OFFSET($R$3,0,0,'Données projet'!$E$9+1,1))-AVERAGE(OFFSET($H$3,0,0,'Données projet'!$E$9+1,1))</f>
        <v>436.4497226650281</v>
      </c>
      <c r="T42" s="59">
        <f t="shared" si="34"/>
        <v>611.43967996341871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3.0493706372517941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3.0493706372517941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630</v>
      </c>
      <c r="AJ42" s="13">
        <f>AI42*VLOOKUP('Données projet'!$B$10,Paramètres!$A$1:$I$89,3,0)*VLOOKUP('Données projet'!$B$10,Paramètres!$A$1:$I$89,5,0)</f>
        <v>550.36800000000005</v>
      </c>
      <c r="AK42" s="13">
        <f t="shared" si="35"/>
        <v>121.67271812244785</v>
      </c>
      <c r="AL42" s="20">
        <f t="shared" si="4"/>
        <v>1170.4709173965966</v>
      </c>
      <c r="AM42" s="59">
        <f t="shared" si="5"/>
        <v>1463.8042507299299</v>
      </c>
      <c r="AN42" s="59">
        <f ca="1">AVERAGE(OFFSET($AM$3,0,0,'Données projet'!$E$10+1,1))-AVERAGE(OFFSET($H$3,0,0,'Données projet'!$E$10+1,1))</f>
        <v>662.13838733542616</v>
      </c>
      <c r="AO42" s="59">
        <f t="shared" si="36"/>
        <v>1194.915361841041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18.603333333333332</v>
      </c>
      <c r="BD42" s="12">
        <f>IF('Données projet'!$A$88&gt;35,BD41+BC42-BL41,IF(A42&lt;'Données projet'!$A$88,$BA$205^A42,IF(A42='Données projet'!$A$88,'Données projet'!$B$88,BD41+BC42-BL41)))</f>
        <v>366.8900000000001</v>
      </c>
      <c r="BE42" s="13">
        <f>BD42*VLOOKUP('Données projet'!$B$11,Paramètres!$A$1:$I$89,3,0)*VLOOKUP('Données projet'!$B$11,Paramètres!$A$1:$I$89,5,0)</f>
        <v>171.70452000000003</v>
      </c>
      <c r="BF42" s="13">
        <f t="shared" si="37"/>
        <v>43.471557417579092</v>
      </c>
      <c r="BG42" s="20">
        <f t="shared" si="7"/>
        <v>374.76500150228361</v>
      </c>
      <c r="BH42" s="59">
        <f t="shared" si="8"/>
        <v>668.09833483561692</v>
      </c>
      <c r="BI42" s="59">
        <f ca="1">AVERAGE(OFFSET($BH$3,0,0,'Données projet'!$E$11+1,1))-AVERAGE(OFFSET($H$3,0,0,'Données projet'!$E$11+1,1))</f>
        <v>321.82962838167799</v>
      </c>
      <c r="BJ42" s="59">
        <f t="shared" si="38"/>
        <v>243.43396255104295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187.80389738728508</v>
      </c>
      <c r="CE42" s="59">
        <f t="shared" si="40"/>
        <v>439.28159165815265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103.34606042262796</v>
      </c>
      <c r="CL42" s="21">
        <f>EXP(-LN(2)/25)*CL41+(1-EXP(-LN(2)/25))/(LN(2)/25)*Calculateur!CG42*Calculateur!CI42*VLOOKUP('Données projet'!$B$12,Paramètres!$A$1:$I$89,3,0)*0.475*44/12</f>
        <v>11.202290389566361</v>
      </c>
      <c r="CM42" s="21">
        <f>EXP(-LN(2)/2)*CM41+(1-EXP(-LN(2)/2))/(LN(2)/2)*CG42*CJ42*VLOOKUP('Données projet'!$B$12,Paramètres!$A$1:$I$89,3,0)*0.475*44/12</f>
        <v>1.9870587087598012E-3</v>
      </c>
      <c r="CN42" s="22">
        <f t="shared" si="12"/>
        <v>114.55033787090308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8.0511538458333352</v>
      </c>
      <c r="CT42" s="12">
        <f>IF('Données projet'!$A$140&gt;35,CT41+CS42-DB41,IF(A42&lt;'Données projet'!$A$140,$CQ$205^A42,IF(A42='Données projet'!$A$140,'Données projet'!$B$140,CT41+CS42-DB41)))</f>
        <v>147.80653846250004</v>
      </c>
      <c r="CU42" s="17">
        <f>CT42*VLOOKUP('Données projet'!$B$13,Paramètres!$A$1:$I$89,3,0)*VLOOKUP('Données projet'!$B$13,Paramètres!$A$1:$I$89,5,0)</f>
        <v>168.32208600109504</v>
      </c>
      <c r="CV42" s="13">
        <f t="shared" si="41"/>
        <v>42.714009997061638</v>
      </c>
      <c r="CW42" s="20">
        <f t="shared" si="13"/>
        <v>367.55453386345613</v>
      </c>
      <c r="CX42" s="59">
        <f t="shared" si="14"/>
        <v>660.88786719678944</v>
      </c>
      <c r="CY42" s="59">
        <f ca="1">AVERAGE(OFFSET($CX$3,0,0,'Données projet'!$E$13+1,1))-AVERAGE(OFFSET($H$3,0,0,'Données projet'!$E$13+1,1))</f>
        <v>770.11410336045037</v>
      </c>
      <c r="CZ42" s="59">
        <f t="shared" si="42"/>
        <v>227.12611049004596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13.802500000000002</v>
      </c>
      <c r="DO42" s="12">
        <f>IF('Données projet'!$A$166&gt;35,DO41+DN42-DW41,IF(A42&lt;'Données projet'!$A$166,$DL$205^A42,IF(A42='Données projet'!$A$166,'Données projet'!$B$166,DO41+DN42-DW41)))</f>
        <v>206.60250000000002</v>
      </c>
      <c r="DP42" s="17">
        <f>DO42*VLOOKUP('Données projet'!$B$14,Paramètres!$A$1:$I$89,3,0)*VLOOKUP('Données projet'!$B$14,Paramètres!$A$1:$I$89,5,0)</f>
        <v>209.49493500000003</v>
      </c>
      <c r="DQ42" s="13">
        <f t="shared" si="43"/>
        <v>51.825200825730676</v>
      </c>
      <c r="DR42" s="20">
        <f t="shared" si="16"/>
        <v>455.1325698964809</v>
      </c>
      <c r="DS42" s="59">
        <f t="shared" si="17"/>
        <v>748.46590322981422</v>
      </c>
      <c r="DT42" s="59">
        <f ca="1">AVERAGE(OFFSET($DS$3,0,0,'Données projet'!$E$14+1,1))-AVERAGE(OFFSET($H$3,0,0,'Données projet'!$E$14+1,1))</f>
        <v>778.88878505968955</v>
      </c>
      <c r="DU42" s="59">
        <f t="shared" si="44"/>
        <v>279.20782832611059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15.476240691553588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15.476240691553588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350</v>
      </c>
      <c r="L43" s="12">
        <f>VLOOKUP(A43,'Données projet'!$A$35:$I$55,9,0)</f>
        <v>7.6</v>
      </c>
      <c r="M43" s="12">
        <f t="array" ref="M43">INDEX(L:L,MIN(IF(ISNUMBER(L43:L239),ROW(L43:L239),"")))</f>
        <v>7.6</v>
      </c>
      <c r="N43" s="13">
        <f>IF('Données projet'!$A$36&gt;35,N42+M43-V42,IF(A43&lt;'Données projet'!$A$36,$K$205^A43,IF(A43='Données projet'!$A$36,'Données projet'!$B$36,N42+M43-V42)))</f>
        <v>350.00000000000023</v>
      </c>
      <c r="O43" s="13">
        <f>N43*VLOOKUP('Données projet'!$B$9,Paramètres!$A$1:$I$89,3,0)*VLOOKUP('Données projet'!$B$9,Paramètres!$A$1:$I$89,5,0)</f>
        <v>316.68000000000018</v>
      </c>
      <c r="P43" s="13">
        <f t="shared" si="33"/>
        <v>74.662144360177763</v>
      </c>
      <c r="Q43" s="20">
        <f t="shared" si="53"/>
        <v>681.58756809397653</v>
      </c>
      <c r="R43" s="59">
        <f t="shared" si="0"/>
        <v>974.9209014273099</v>
      </c>
      <c r="S43" s="59">
        <f ca="1">AVERAGE(OFFSET($R$3,0,0,'Données projet'!$E$9+1,1))-AVERAGE(OFFSET($H$3,0,0,'Données projet'!$E$9+1,1))</f>
        <v>436.4497226650281</v>
      </c>
      <c r="T43" s="59">
        <f t="shared" si="34"/>
        <v>611.43967996341871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9</v>
      </c>
      <c r="W43" s="16">
        <f>IF(ISNA(VLOOKUP(A43,'Données projet'!$A$35:$I$55,5,0)),0%,VLOOKUP(A43,'Données projet'!$A$35:$I$55,5,0)*VLOOKUP('Données projet'!$B$9,Paramètres!$A$1:$I$89,7,0))</f>
        <v>0.3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5.6901942573715374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5.6901942573715374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630</v>
      </c>
      <c r="AJ43" s="13">
        <f>AI43*VLOOKUP('Données projet'!$B$10,Paramètres!$A$1:$I$89,3,0)*VLOOKUP('Données projet'!$B$10,Paramètres!$A$1:$I$89,5,0)</f>
        <v>550.36800000000005</v>
      </c>
      <c r="AK43" s="13">
        <f t="shared" si="35"/>
        <v>121.67271812244785</v>
      </c>
      <c r="AL43" s="20">
        <f t="shared" si="4"/>
        <v>1170.4709173965966</v>
      </c>
      <c r="AM43" s="59">
        <f t="shared" si="5"/>
        <v>1463.8042507299299</v>
      </c>
      <c r="AN43" s="59">
        <f ca="1">AVERAGE(OFFSET($AM$3,0,0,'Données projet'!$E$10+1,1))-AVERAGE(OFFSET($H$3,0,0,'Données projet'!$E$10+1,1))</f>
        <v>662.13838733542616</v>
      </c>
      <c r="AO43" s="59">
        <f t="shared" si="36"/>
        <v>1194.915361841041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18.603333333333332</v>
      </c>
      <c r="BD43" s="12">
        <f>IF('Données projet'!$A$88&gt;35,BD42+BC43-BL42,IF(A43&lt;'Données projet'!$A$88,$BA$205^A43,IF(A43='Données projet'!$A$88,'Données projet'!$B$88,BD42+BC43-BL42)))</f>
        <v>385.49333333333345</v>
      </c>
      <c r="BE43" s="13">
        <f>BD43*VLOOKUP('Données projet'!$B$11,Paramètres!$A$1:$I$89,3,0)*VLOOKUP('Données projet'!$B$11,Paramètres!$A$1:$I$89,5,0)</f>
        <v>180.41088000000005</v>
      </c>
      <c r="BF43" s="13">
        <f t="shared" si="37"/>
        <v>45.413587262495575</v>
      </c>
      <c r="BG43" s="20">
        <f t="shared" si="7"/>
        <v>393.31094714884654</v>
      </c>
      <c r="BH43" s="59">
        <f t="shared" si="8"/>
        <v>686.64428048217985</v>
      </c>
      <c r="BI43" s="59">
        <f ca="1">AVERAGE(OFFSET($BH$3,0,0,'Données projet'!$E$11+1,1))-AVERAGE(OFFSET($H$3,0,0,'Données projet'!$E$11+1,1))</f>
        <v>321.82962838167799</v>
      </c>
      <c r="BJ43" s="59">
        <f t="shared" si="38"/>
        <v>243.43396255104295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187.80389738728508</v>
      </c>
      <c r="CE43" s="59">
        <f t="shared" si="40"/>
        <v>439.28159165815265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101.3195072126129</v>
      </c>
      <c r="CL43" s="21">
        <f>EXP(-LN(2)/25)*CL42+(1-EXP(-LN(2)/25))/(LN(2)/25)*Calculateur!CG43*Calculateur!CI43*VLOOKUP('Données projet'!$B$12,Paramètres!$A$1:$I$89,3,0)*0.475*44/12</f>
        <v>10.895963169760821</v>
      </c>
      <c r="CM43" s="21">
        <f>EXP(-LN(2)/2)*CM42+(1-EXP(-LN(2)/2))/(LN(2)/2)*CG43*CJ43*VLOOKUP('Données projet'!$B$12,Paramètres!$A$1:$I$89,3,0)*0.475*44/12</f>
        <v>1.4050626875798404E-3</v>
      </c>
      <c r="CN43" s="22">
        <f t="shared" si="12"/>
        <v>112.21687544506131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8.0511538458333352</v>
      </c>
      <c r="CT43" s="12">
        <f>IF('Données projet'!$A$140&gt;35,CT42+CS43-DB42,IF(A43&lt;'Données projet'!$A$140,$CQ$205^A43,IF(A43='Données projet'!$A$140,'Données projet'!$B$140,CT42+CS43-DB42)))</f>
        <v>155.85769230833338</v>
      </c>
      <c r="CU43" s="17">
        <f>CT43*VLOOKUP('Données projet'!$B$13,Paramètres!$A$1:$I$89,3,0)*VLOOKUP('Données projet'!$B$13,Paramètres!$A$1:$I$89,5,0)</f>
        <v>177.49074000073006</v>
      </c>
      <c r="CV43" s="13">
        <f t="shared" si="41"/>
        <v>44.763466744965683</v>
      </c>
      <c r="CW43" s="20">
        <f t="shared" si="13"/>
        <v>387.09274341542005</v>
      </c>
      <c r="CX43" s="59">
        <f t="shared" si="14"/>
        <v>680.4260767487533</v>
      </c>
      <c r="CY43" s="59">
        <f ca="1">AVERAGE(OFFSET($CX$3,0,0,'Données projet'!$E$13+1,1))-AVERAGE(OFFSET($H$3,0,0,'Données projet'!$E$13+1,1))</f>
        <v>770.11410336045037</v>
      </c>
      <c r="CZ43" s="59">
        <f t="shared" si="42"/>
        <v>227.12611049004596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13.802500000000002</v>
      </c>
      <c r="DO43" s="12">
        <f>IF('Données projet'!$A$166&gt;35,DO42+DN43-DW42,IF(A43&lt;'Données projet'!$A$166,$DL$205^A43,IF(A43='Données projet'!$A$166,'Données projet'!$B$166,DO42+DN43-DW42)))</f>
        <v>220.40500000000003</v>
      </c>
      <c r="DP43" s="17">
        <f>DO43*VLOOKUP('Données projet'!$B$14,Paramètres!$A$1:$I$89,3,0)*VLOOKUP('Données projet'!$B$14,Paramètres!$A$1:$I$89,5,0)</f>
        <v>223.49067000000005</v>
      </c>
      <c r="DQ43" s="13">
        <f t="shared" si="43"/>
        <v>54.872869104654043</v>
      </c>
      <c r="DR43" s="20">
        <f t="shared" si="16"/>
        <v>484.81649727393921</v>
      </c>
      <c r="DS43" s="59">
        <f t="shared" si="17"/>
        <v>778.14983060727252</v>
      </c>
      <c r="DT43" s="59">
        <f ca="1">AVERAGE(OFFSET($DS$3,0,0,'Données projet'!$E$14+1,1))-AVERAGE(OFFSET($H$3,0,0,'Données projet'!$E$14+1,1))</f>
        <v>778.88878505968955</v>
      </c>
      <c r="DU43" s="59">
        <f t="shared" si="44"/>
        <v>279.20782832611059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15.172761051166963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15.172761051166963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7.4</v>
      </c>
      <c r="N44" s="13">
        <f>IF('Données projet'!$A$36&gt;35,N43+M44-V43,IF(A44&lt;'Données projet'!$A$36,$K$205^A44,IF(A44='Données projet'!$A$36,'Données projet'!$B$36,N43+M44-V43)))</f>
        <v>348.4000000000002</v>
      </c>
      <c r="O44" s="13">
        <f>N44*VLOOKUP('Données projet'!$B$9,Paramètres!$A$1:$I$89,3,0)*VLOOKUP('Données projet'!$B$9,Paramètres!$A$1:$I$89,5,0)</f>
        <v>315.23232000000019</v>
      </c>
      <c r="P44" s="13">
        <f t="shared" si="33"/>
        <v>74.360480118488482</v>
      </c>
      <c r="Q44" s="20">
        <f t="shared" si="53"/>
        <v>678.54079353970099</v>
      </c>
      <c r="R44" s="59">
        <f t="shared" si="0"/>
        <v>971.87412687303436</v>
      </c>
      <c r="S44" s="59">
        <f ca="1">AVERAGE(OFFSET($R$3,0,0,'Données projet'!$E$9+1,1))-AVERAGE(OFFSET($H$3,0,0,'Données projet'!$E$9+1,1))</f>
        <v>436.4497226650281</v>
      </c>
      <c r="T44" s="59">
        <f t="shared" si="34"/>
        <v>611.43967996341871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5.5786130186602776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5.5786130186602776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630</v>
      </c>
      <c r="AJ44" s="13">
        <f>AI44*VLOOKUP('Données projet'!$B$10,Paramètres!$A$1:$I$89,3,0)*VLOOKUP('Données projet'!$B$10,Paramètres!$A$1:$I$89,5,0)</f>
        <v>550.36800000000005</v>
      </c>
      <c r="AK44" s="13">
        <f t="shared" si="35"/>
        <v>121.67271812244785</v>
      </c>
      <c r="AL44" s="20">
        <f t="shared" si="4"/>
        <v>1170.4709173965966</v>
      </c>
      <c r="AM44" s="59">
        <f t="shared" si="5"/>
        <v>1463.8042507299299</v>
      </c>
      <c r="AN44" s="59">
        <f ca="1">AVERAGE(OFFSET($AM$3,0,0,'Données projet'!$E$10+1,1))-AVERAGE(OFFSET($H$3,0,0,'Données projet'!$E$10+1,1))</f>
        <v>662.13838733542616</v>
      </c>
      <c r="AO44" s="59">
        <f t="shared" si="36"/>
        <v>1194.915361841041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18.603333333333332</v>
      </c>
      <c r="BD44" s="12">
        <f>IF('Données projet'!$A$88&gt;35,BD43+BC44-BL43,IF(A44&lt;'Données projet'!$A$88,$BA$205^A44,IF(A44='Données projet'!$A$88,'Données projet'!$B$88,BD43+BC44-BL43)))</f>
        <v>404.09666666666681</v>
      </c>
      <c r="BE44" s="13">
        <f>BD44*VLOOKUP('Données projet'!$B$11,Paramètres!$A$1:$I$89,3,0)*VLOOKUP('Données projet'!$B$11,Paramètres!$A$1:$I$89,5,0)</f>
        <v>189.11724000000007</v>
      </c>
      <c r="BF44" s="13">
        <f t="shared" si="37"/>
        <v>47.344734283919593</v>
      </c>
      <c r="BG44" s="20">
        <f t="shared" si="7"/>
        <v>411.8379385444934</v>
      </c>
      <c r="BH44" s="59">
        <f t="shared" si="8"/>
        <v>705.17127187782671</v>
      </c>
      <c r="BI44" s="59">
        <f ca="1">AVERAGE(OFFSET($BH$3,0,0,'Données projet'!$E$11+1,1))-AVERAGE(OFFSET($H$3,0,0,'Données projet'!$E$11+1,1))</f>
        <v>321.82962838167799</v>
      </c>
      <c r="BJ44" s="59">
        <f t="shared" si="38"/>
        <v>243.43396255104295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187.80389738728508</v>
      </c>
      <c r="CE44" s="59">
        <f t="shared" si="40"/>
        <v>439.28159165815265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99.332693474970839</v>
      </c>
      <c r="CL44" s="21">
        <f>EXP(-LN(2)/25)*CL43+(1-EXP(-LN(2)/25))/(LN(2)/25)*Calculateur!CG44*Calculateur!CI44*VLOOKUP('Données projet'!$B$12,Paramètres!$A$1:$I$89,3,0)*0.475*44/12</f>
        <v>10.59801248388991</v>
      </c>
      <c r="CM44" s="21">
        <f>EXP(-LN(2)/2)*CM43+(1-EXP(-LN(2)/2))/(LN(2)/2)*CG44*CJ44*VLOOKUP('Données projet'!$B$12,Paramètres!$A$1:$I$89,3,0)*0.475*44/12</f>
        <v>9.9352935437990058E-4</v>
      </c>
      <c r="CN44" s="22">
        <f t="shared" si="12"/>
        <v>109.93169948821513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8.0511538458333352</v>
      </c>
      <c r="CT44" s="12">
        <f>IF('Données projet'!$A$140&gt;35,CT43+CS44-DB43,IF(A44&lt;'Données projet'!$A$140,$CQ$205^A44,IF(A44='Données projet'!$A$140,'Données projet'!$B$140,CT43+CS44-DB43)))</f>
        <v>163.90884615416672</v>
      </c>
      <c r="CU44" s="17">
        <f>CT44*VLOOKUP('Données projet'!$B$13,Paramètres!$A$1:$I$89,3,0)*VLOOKUP('Données projet'!$B$13,Paramètres!$A$1:$I$89,5,0)</f>
        <v>186.65939400036507</v>
      </c>
      <c r="CV44" s="13">
        <f t="shared" si="41"/>
        <v>46.800631549496863</v>
      </c>
      <c r="CW44" s="20">
        <f t="shared" si="13"/>
        <v>406.6095444993428</v>
      </c>
      <c r="CX44" s="59">
        <f t="shared" si="14"/>
        <v>699.94287783267612</v>
      </c>
      <c r="CY44" s="59">
        <f ca="1">AVERAGE(OFFSET($CX$3,0,0,'Données projet'!$E$13+1,1))-AVERAGE(OFFSET($H$3,0,0,'Données projet'!$E$13+1,1))</f>
        <v>770.11410336045037</v>
      </c>
      <c r="CZ44" s="59">
        <f t="shared" si="42"/>
        <v>227.12611049004596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13.802500000000002</v>
      </c>
      <c r="DO44" s="12">
        <f>IF('Données projet'!$A$166&gt;35,DO43+DN44-DW43,IF(A44&lt;'Données projet'!$A$166,$DL$205^A44,IF(A44='Données projet'!$A$166,'Données projet'!$B$166,DO43+DN44-DW43)))</f>
        <v>234.20750000000004</v>
      </c>
      <c r="DP44" s="17">
        <f>DO44*VLOOKUP('Données projet'!$B$14,Paramètres!$A$1:$I$89,3,0)*VLOOKUP('Données projet'!$B$14,Paramètres!$A$1:$I$89,5,0)</f>
        <v>237.48640500000005</v>
      </c>
      <c r="DQ44" s="13">
        <f t="shared" si="43"/>
        <v>57.898387330944949</v>
      </c>
      <c r="DR44" s="20">
        <f t="shared" si="16"/>
        <v>514.46184664306247</v>
      </c>
      <c r="DS44" s="59">
        <f t="shared" si="17"/>
        <v>807.79517997639573</v>
      </c>
      <c r="DT44" s="59">
        <f ca="1">AVERAGE(OFFSET($DS$3,0,0,'Données projet'!$E$14+1,1))-AVERAGE(OFFSET($H$3,0,0,'Données projet'!$E$14+1,1))</f>
        <v>778.88878505968955</v>
      </c>
      <c r="DU44" s="59">
        <f t="shared" si="44"/>
        <v>279.20782832611059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14.875232461424018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14.875232461424018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7.4</v>
      </c>
      <c r="N45" s="13">
        <f>IF('Données projet'!$A$36&gt;35,N44+M45-V44,IF(A45&lt;'Données projet'!$A$36,$K$205^A45,IF(A45='Données projet'!$A$36,'Données projet'!$B$36,N44+M45-V44)))</f>
        <v>355.80000000000018</v>
      </c>
      <c r="O45" s="13">
        <f>N45*VLOOKUP('Données projet'!$B$9,Paramètres!$A$1:$I$89,3,0)*VLOOKUP('Données projet'!$B$9,Paramètres!$A$1:$I$89,5,0)</f>
        <v>321.92784000000017</v>
      </c>
      <c r="P45" s="13">
        <f t="shared" si="33"/>
        <v>75.754337936715828</v>
      </c>
      <c r="Q45" s="20">
        <f t="shared" si="53"/>
        <v>692.62979323978027</v>
      </c>
      <c r="R45" s="59">
        <f t="shared" si="0"/>
        <v>985.96312657311364</v>
      </c>
      <c r="S45" s="59">
        <f ca="1">AVERAGE(OFFSET($R$3,0,0,'Données projet'!$E$9+1,1))-AVERAGE(OFFSET($H$3,0,0,'Données projet'!$E$9+1,1))</f>
        <v>436.4497226650281</v>
      </c>
      <c r="T45" s="59">
        <f t="shared" si="34"/>
        <v>611.43967996341871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5.4692198199823103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5.4692198199823103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630</v>
      </c>
      <c r="AJ45" s="13">
        <f>AI45*VLOOKUP('Données projet'!$B$10,Paramètres!$A$1:$I$89,3,0)*VLOOKUP('Données projet'!$B$10,Paramètres!$A$1:$I$89,5,0)</f>
        <v>550.36800000000005</v>
      </c>
      <c r="AK45" s="13">
        <f t="shared" si="35"/>
        <v>121.67271812244785</v>
      </c>
      <c r="AL45" s="20">
        <f t="shared" si="4"/>
        <v>1170.4709173965966</v>
      </c>
      <c r="AM45" s="59">
        <f t="shared" si="5"/>
        <v>1463.8042507299299</v>
      </c>
      <c r="AN45" s="59">
        <f ca="1">AVERAGE(OFFSET($AM$3,0,0,'Données projet'!$E$10+1,1))-AVERAGE(OFFSET($H$3,0,0,'Données projet'!$E$10+1,1))</f>
        <v>662.13838733542616</v>
      </c>
      <c r="AO45" s="59">
        <f t="shared" si="36"/>
        <v>1194.915361841041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422.7</v>
      </c>
      <c r="BB45" s="12">
        <f>VLOOKUP(A45,'Données projet'!$A$87:$I$107,9,0)</f>
        <v>18.603333333333332</v>
      </c>
      <c r="BC45" s="12">
        <f t="array" ref="BC45">INDEX(BB:BB,MIN(IF(ISNUMBER(BB45:BB241),ROW(BB45:BB241),"")))</f>
        <v>18.603333333333332</v>
      </c>
      <c r="BD45" s="12">
        <f>IF('Données projet'!$A$88&gt;35,BD44+BC45-BL44,IF(A45&lt;'Données projet'!$A$88,$BA$205^A45,IF(A45='Données projet'!$A$88,'Données projet'!$B$88,BD44+BC45-BL44)))</f>
        <v>422.70000000000016</v>
      </c>
      <c r="BE45" s="13">
        <f>BD45*VLOOKUP('Données projet'!$B$11,Paramètres!$A$1:$I$89,3,0)*VLOOKUP('Données projet'!$B$11,Paramètres!$A$1:$I$89,5,0)</f>
        <v>197.82360000000008</v>
      </c>
      <c r="BF45" s="13">
        <f t="shared" si="37"/>
        <v>49.265556717403577</v>
      </c>
      <c r="BG45" s="20">
        <f t="shared" si="7"/>
        <v>430.34694794947796</v>
      </c>
      <c r="BH45" s="59">
        <f t="shared" si="8"/>
        <v>723.68028128281128</v>
      </c>
      <c r="BI45" s="59">
        <f ca="1">AVERAGE(OFFSET($BH$3,0,0,'Données projet'!$E$11+1,1))-AVERAGE(OFFSET($H$3,0,0,'Données projet'!$E$11+1,1))</f>
        <v>321.82962838167799</v>
      </c>
      <c r="BJ45" s="59">
        <f t="shared" si="38"/>
        <v>243.43396255104295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182.39</v>
      </c>
      <c r="BM45" s="16">
        <f>IF(ISNA(VLOOKUP(A45,'Données projet'!$A$87:$I$107,5,0)),0%,VLOOKUP(A45,'Données projet'!$A$87:$I$107,5,0)*VLOOKUP('Données projet'!$B$11,Paramètres!$A$1:$I$89,7,0))</f>
        <v>0.55000000000000004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62.2784682305088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62.2784682305088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187.80389738728508</v>
      </c>
      <c r="CE45" s="59">
        <f t="shared" si="40"/>
        <v>439.28159165815265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97.384839942887211</v>
      </c>
      <c r="CL45" s="21">
        <f>EXP(-LN(2)/25)*CL44+(1-EXP(-LN(2)/25))/(LN(2)/25)*Calculateur!CG45*Calculateur!CI45*VLOOKUP('Données projet'!$B$12,Paramètres!$A$1:$I$89,3,0)*0.475*44/12</f>
        <v>10.308209275192686</v>
      </c>
      <c r="CM45" s="21">
        <f>EXP(-LN(2)/2)*CM44+(1-EXP(-LN(2)/2))/(LN(2)/2)*CG45*CJ45*VLOOKUP('Données projet'!$B$12,Paramètres!$A$1:$I$89,3,0)*0.475*44/12</f>
        <v>7.025313437899202E-4</v>
      </c>
      <c r="CN45" s="22">
        <f t="shared" si="12"/>
        <v>107.69375174942368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8.0511538458333352</v>
      </c>
      <c r="CS45" s="12">
        <f t="array" ref="CS45">INDEX(CR:CR,MIN(IF(ISNUMBER(CR45:CR241),ROW(CR45:CR241),"")))</f>
        <v>8.0511538458333352</v>
      </c>
      <c r="CT45" s="12">
        <f>IF('Données projet'!$A$140&gt;35,CT44+CS45-DB44,IF(A45&lt;'Données projet'!$A$140,$CQ$205^A45,IF(A45='Données projet'!$A$140,'Données projet'!$B$140,CT44+CS45-DB44)))</f>
        <v>171.96000000000006</v>
      </c>
      <c r="CU45" s="17">
        <f>CT45*VLOOKUP('Données projet'!$B$13,Paramètres!$A$1:$I$89,3,0)*VLOOKUP('Données projet'!$B$13,Paramètres!$A$1:$I$89,5,0)</f>
        <v>195.82804800000008</v>
      </c>
      <c r="CV45" s="13">
        <f t="shared" si="41"/>
        <v>48.826177097350865</v>
      </c>
      <c r="CW45" s="20">
        <f t="shared" si="13"/>
        <v>426.10610871121958</v>
      </c>
      <c r="CX45" s="59">
        <f t="shared" si="14"/>
        <v>719.43944204455283</v>
      </c>
      <c r="CY45" s="59">
        <f ca="1">AVERAGE(OFFSET($CX$3,0,0,'Données projet'!$E$13+1,1))-AVERAGE(OFFSET($H$3,0,0,'Données projet'!$E$13+1,1))</f>
        <v>770.11410336045037</v>
      </c>
      <c r="CZ45" s="59">
        <f t="shared" si="42"/>
        <v>227.12611049004596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0.43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23.39091930828172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23.39091930828172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248.01</v>
      </c>
      <c r="DM45" s="12">
        <f>VLOOKUP(A45,'Données projet'!$A$165:$I$185,9,0)</f>
        <v>13.802500000000002</v>
      </c>
      <c r="DN45" s="12">
        <f t="array" ref="DN45">INDEX(DM:DM,MIN(IF(ISNUMBER(DM45:DM241),ROW(DM45:DM241),"")))</f>
        <v>13.802500000000002</v>
      </c>
      <c r="DO45" s="12">
        <f>IF('Données projet'!$A$166&gt;35,DO44+DN45-DW44,IF(A45&lt;'Données projet'!$A$166,$DL$205^A45,IF(A45='Données projet'!$A$166,'Données projet'!$B$166,DO44+DN45-DW44)))</f>
        <v>248.01000000000005</v>
      </c>
      <c r="DP45" s="17">
        <f>DO45*VLOOKUP('Données projet'!$B$14,Paramètres!$A$1:$I$89,3,0)*VLOOKUP('Données projet'!$B$14,Paramètres!$A$1:$I$89,5,0)</f>
        <v>251.48214000000007</v>
      </c>
      <c r="DQ45" s="13">
        <f t="shared" si="43"/>
        <v>60.903209558225292</v>
      </c>
      <c r="DR45" s="20">
        <f t="shared" si="16"/>
        <v>544.07115048057574</v>
      </c>
      <c r="DS45" s="59">
        <f t="shared" si="17"/>
        <v>837.40448381390911</v>
      </c>
      <c r="DT45" s="59">
        <f ca="1">AVERAGE(OFFSET($DS$3,0,0,'Données projet'!$E$14+1,1))-AVERAGE(OFFSET($H$3,0,0,'Données projet'!$E$14+1,1))</f>
        <v>778.88878505968955</v>
      </c>
      <c r="DU45" s="59">
        <f t="shared" si="44"/>
        <v>279.20782832611059</v>
      </c>
      <c r="DV45" s="15">
        <f>IF(ISNA(VLOOKUP(A45,'Données projet'!$A$165:$I$185,3,0)),0,VLOOKUP(A45,'Données projet'!$A$165:$I$185,3,0))</f>
        <v>2</v>
      </c>
      <c r="DW45" s="15">
        <f>IF(ISNA(VLOOKUP(A45,'Données projet'!$A$165:$I$185,4,0)),0,VLOOKUP(A45,'Données projet'!$A$165:$I$185,4,0))</f>
        <v>55.41</v>
      </c>
      <c r="DX45" s="16">
        <f>IF(ISNA(VLOOKUP(A45,'Données projet'!$A$165:$I$185,5,0)),0%,VLOOKUP(A45,'Données projet'!$A$165:$I$185,5,0)*VLOOKUP('Données projet'!$B$14,Paramètres!$A$1:$I$89,7,0))</f>
        <v>0.43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41.29155689437146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41.29155689437146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7.4</v>
      </c>
      <c r="N46" s="13">
        <f>IF('Données projet'!$A$36&gt;35,N45+M46-V45,IF(A46&lt;'Données projet'!$A$36,$K$205^A46,IF(A46='Données projet'!$A$36,'Données projet'!$B$36,N45+M46-V45)))</f>
        <v>363.20000000000016</v>
      </c>
      <c r="O46" s="13">
        <f>N46*VLOOKUP('Données projet'!$B$9,Paramètres!$A$1:$I$89,3,0)*VLOOKUP('Données projet'!$B$9,Paramètres!$A$1:$I$89,5,0)</f>
        <v>328.62336000000016</v>
      </c>
      <c r="P46" s="13">
        <f t="shared" si="33"/>
        <v>77.144825174157617</v>
      </c>
      <c r="Q46" s="20">
        <f t="shared" si="53"/>
        <v>706.71292251165812</v>
      </c>
      <c r="R46" s="59">
        <f t="shared" si="0"/>
        <v>1000.0462558449915</v>
      </c>
      <c r="S46" s="59">
        <f ca="1">AVERAGE(OFFSET($R$3,0,0,'Données projet'!$E$9+1,1))-AVERAGE(OFFSET($H$3,0,0,'Données projet'!$E$9+1,1))</f>
        <v>436.4497226650281</v>
      </c>
      <c r="T46" s="59">
        <f t="shared" si="34"/>
        <v>611.43967996341871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5.3619717552071551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5.3619717552071551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630</v>
      </c>
      <c r="AJ46" s="13">
        <f>AI46*VLOOKUP('Données projet'!$B$10,Paramètres!$A$1:$I$89,3,0)*VLOOKUP('Données projet'!$B$10,Paramètres!$A$1:$I$89,5,0)</f>
        <v>550.36800000000005</v>
      </c>
      <c r="AK46" s="13">
        <f t="shared" si="35"/>
        <v>121.67271812244785</v>
      </c>
      <c r="AL46" s="20">
        <f t="shared" si="4"/>
        <v>1170.4709173965966</v>
      </c>
      <c r="AM46" s="59">
        <f t="shared" si="5"/>
        <v>1463.8042507299299</v>
      </c>
      <c r="AN46" s="59">
        <f ca="1">AVERAGE(OFFSET($AM$3,0,0,'Données projet'!$E$10+1,1))-AVERAGE(OFFSET($H$3,0,0,'Données projet'!$E$10+1,1))</f>
        <v>662.13838733542616</v>
      </c>
      <c r="AO46" s="59">
        <f t="shared" si="36"/>
        <v>1194.915361841041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17.884285714285713</v>
      </c>
      <c r="BD46" s="12">
        <f>IF('Données projet'!$A$88&gt;35,BD45+BC46-BL45,IF(A46&lt;'Données projet'!$A$88,$BA$205^A46,IF(A46='Données projet'!$A$88,'Données projet'!$B$88,BD45+BC46-BL45)))</f>
        <v>258.19428571428591</v>
      </c>
      <c r="BE46" s="13">
        <f>BD46*VLOOKUP('Données projet'!$B$11,Paramètres!$A$1:$I$89,3,0)*VLOOKUP('Données projet'!$B$11,Paramètres!$A$1:$I$89,5,0)</f>
        <v>120.83492571428582</v>
      </c>
      <c r="BF46" s="13">
        <f t="shared" si="37"/>
        <v>31.86965335450185</v>
      </c>
      <c r="BG46" s="20">
        <f t="shared" si="7"/>
        <v>265.96047521147182</v>
      </c>
      <c r="BH46" s="59">
        <f t="shared" si="8"/>
        <v>559.29380854480519</v>
      </c>
      <c r="BI46" s="59">
        <f ca="1">AVERAGE(OFFSET($BH$3,0,0,'Données projet'!$E$11+1,1))-AVERAGE(OFFSET($H$3,0,0,'Données projet'!$E$11+1,1))</f>
        <v>321.82962838167799</v>
      </c>
      <c r="BJ46" s="59">
        <f t="shared" si="38"/>
        <v>243.43396255104295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61.057225454623328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61.057225454623328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187.80389738728508</v>
      </c>
      <c r="CE46" s="59">
        <f t="shared" si="40"/>
        <v>439.28159165815265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95.475182630494402</v>
      </c>
      <c r="CL46" s="21">
        <f>EXP(-LN(2)/25)*CL45+(1-EXP(-LN(2)/25))/(LN(2)/25)*Calculateur!CG46*Calculateur!CI46*VLOOKUP('Données projet'!$B$12,Paramètres!$A$1:$I$89,3,0)*0.475*44/12</f>
        <v>10.026330750477376</v>
      </c>
      <c r="CM46" s="21">
        <f>EXP(-LN(2)/2)*CM45+(1-EXP(-LN(2)/2))/(LN(2)/2)*CG46*CJ46*VLOOKUP('Données projet'!$B$12,Paramètres!$A$1:$I$89,3,0)*0.475*44/12</f>
        <v>4.9676467718995029E-4</v>
      </c>
      <c r="CN46" s="22">
        <f t="shared" si="12"/>
        <v>105.50201014564897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9.9475000000000016</v>
      </c>
      <c r="CT46" s="12">
        <f>IF('Données projet'!$A$140&gt;35,CT45+CS46-DB45,IF(A46&lt;'Données projet'!$A$140,$CQ$205^A46,IF(A46='Données projet'!$A$140,'Données projet'!$B$140,CT45+CS46-DB45)))</f>
        <v>138.69750000000005</v>
      </c>
      <c r="CU46" s="17">
        <f>CT46*VLOOKUP('Données projet'!$B$13,Paramètres!$A$1:$I$89,3,0)*VLOOKUP('Données projet'!$B$13,Paramètres!$A$1:$I$89,5,0)</f>
        <v>157.94871300000005</v>
      </c>
      <c r="CV46" s="13">
        <f t="shared" si="41"/>
        <v>40.379495013247535</v>
      </c>
      <c r="CW46" s="20">
        <f t="shared" si="13"/>
        <v>345.42162895640627</v>
      </c>
      <c r="CX46" s="59">
        <f t="shared" si="14"/>
        <v>638.75496228973952</v>
      </c>
      <c r="CY46" s="59">
        <f ca="1">AVERAGE(OFFSET($CX$3,0,0,'Données projet'!$E$13+1,1))-AVERAGE(OFFSET($H$3,0,0,'Données projet'!$E$13+1,1))</f>
        <v>770.11410336045037</v>
      </c>
      <c r="CZ46" s="59">
        <f t="shared" si="42"/>
        <v>227.12611049004596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22.93223764769834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22.93223764769834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14.015000000000004</v>
      </c>
      <c r="DO46" s="12">
        <f>IF('Données projet'!$A$166&gt;35,DO45+DN46-DW45,IF(A46&lt;'Données projet'!$A$166,$DL$205^A46,IF(A46='Données projet'!$A$166,'Données projet'!$B$166,DO45+DN46-DW45)))</f>
        <v>206.61500000000004</v>
      </c>
      <c r="DP46" s="17">
        <f>DO46*VLOOKUP('Données projet'!$B$14,Paramètres!$A$1:$I$89,3,0)*VLOOKUP('Données projet'!$B$14,Paramètres!$A$1:$I$89,5,0)</f>
        <v>209.50761000000003</v>
      </c>
      <c r="DQ46" s="13">
        <f t="shared" si="43"/>
        <v>51.827971398824275</v>
      </c>
      <c r="DR46" s="20">
        <f t="shared" si="16"/>
        <v>455.15947093628557</v>
      </c>
      <c r="DS46" s="59">
        <f t="shared" si="17"/>
        <v>748.49280426961889</v>
      </c>
      <c r="DT46" s="59">
        <f ca="1">AVERAGE(OFFSET($DS$3,0,0,'Données projet'!$E$14+1,1))-AVERAGE(OFFSET($H$3,0,0,'Données projet'!$E$14+1,1))</f>
        <v>778.88878505968955</v>
      </c>
      <c r="DU46" s="59">
        <f t="shared" si="44"/>
        <v>279.20782832611059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40.481854649035697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40.481854649035697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7.4</v>
      </c>
      <c r="N47" s="13">
        <f>IF('Données projet'!$A$36&gt;35,N46+M47-V46,IF(A47&lt;'Données projet'!$A$36,$K$205^A47,IF(A47='Données projet'!$A$36,'Données projet'!$B$36,N46+M47-V46)))</f>
        <v>370.60000000000014</v>
      </c>
      <c r="O47" s="13">
        <f>N47*VLOOKUP('Données projet'!$B$9,Paramètres!$A$1:$I$89,3,0)*VLOOKUP('Données projet'!$B$9,Paramètres!$A$1:$I$89,5,0)</f>
        <v>335.31888000000009</v>
      </c>
      <c r="P47" s="13">
        <f t="shared" si="33"/>
        <v>78.532018418019703</v>
      </c>
      <c r="Q47" s="20">
        <f t="shared" si="53"/>
        <v>720.79031474471776</v>
      </c>
      <c r="R47" s="59">
        <f t="shared" si="0"/>
        <v>1014.123648078051</v>
      </c>
      <c r="S47" s="59">
        <f ca="1">AVERAGE(OFFSET($R$3,0,0,'Données projet'!$E$9+1,1))-AVERAGE(OFFSET($H$3,0,0,'Données projet'!$E$9+1,1))</f>
        <v>436.4497226650281</v>
      </c>
      <c r="T47" s="59">
        <f t="shared" si="34"/>
        <v>611.43967996341871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5.2568267595673808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5.2568267595673808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630</v>
      </c>
      <c r="AJ47" s="13">
        <f>AI47*VLOOKUP('Données projet'!$B$10,Paramètres!$A$1:$I$89,3,0)*VLOOKUP('Données projet'!$B$10,Paramètres!$A$1:$I$89,5,0)</f>
        <v>550.36800000000005</v>
      </c>
      <c r="AK47" s="13">
        <f t="shared" si="35"/>
        <v>121.67271812244785</v>
      </c>
      <c r="AL47" s="20">
        <f t="shared" si="4"/>
        <v>1170.4709173965966</v>
      </c>
      <c r="AM47" s="59">
        <f t="shared" si="5"/>
        <v>1463.8042507299299</v>
      </c>
      <c r="AN47" s="59">
        <f ca="1">AVERAGE(OFFSET($AM$3,0,0,'Données projet'!$E$10+1,1))-AVERAGE(OFFSET($H$3,0,0,'Données projet'!$E$10+1,1))</f>
        <v>662.13838733542616</v>
      </c>
      <c r="AO47" s="59">
        <f t="shared" si="36"/>
        <v>1194.915361841041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17.884285714285713</v>
      </c>
      <c r="BD47" s="12">
        <f>IF('Données projet'!$A$88&gt;35,BD46+BC47-BL46,IF(A47&lt;'Données projet'!$A$88,$BA$205^A47,IF(A47='Données projet'!$A$88,'Données projet'!$B$88,BD46+BC47-BL46)))</f>
        <v>276.07857142857165</v>
      </c>
      <c r="BE47" s="13">
        <f>BD47*VLOOKUP('Données projet'!$B$11,Paramètres!$A$1:$I$89,3,0)*VLOOKUP('Données projet'!$B$11,Paramètres!$A$1:$I$89,5,0)</f>
        <v>129.20477142857152</v>
      </c>
      <c r="BF47" s="13">
        <f t="shared" si="37"/>
        <v>33.812539788903472</v>
      </c>
      <c r="BG47" s="20">
        <f t="shared" si="7"/>
        <v>283.92181703710224</v>
      </c>
      <c r="BH47" s="59">
        <f t="shared" si="8"/>
        <v>577.25515037043556</v>
      </c>
      <c r="BI47" s="59">
        <f ca="1">AVERAGE(OFFSET($BH$3,0,0,'Données projet'!$E$11+1,1))-AVERAGE(OFFSET($H$3,0,0,'Données projet'!$E$11+1,1))</f>
        <v>321.82962838167799</v>
      </c>
      <c r="BJ47" s="59">
        <f t="shared" si="38"/>
        <v>243.43396255104295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59.859930504688428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59.859930504688428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187.80389738728508</v>
      </c>
      <c r="CE47" s="59">
        <f t="shared" si="40"/>
        <v>439.28159165815265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93.602972533221674</v>
      </c>
      <c r="CL47" s="21">
        <f>EXP(-LN(2)/25)*CL46+(1-EXP(-LN(2)/25))/(LN(2)/25)*Calculateur!CG47*Calculateur!CI47*VLOOKUP('Données projet'!$B$12,Paramètres!$A$1:$I$89,3,0)*0.475*44/12</f>
        <v>9.7521602088437529</v>
      </c>
      <c r="CM47" s="21">
        <f>EXP(-LN(2)/2)*CM46+(1-EXP(-LN(2)/2))/(LN(2)/2)*CG47*CJ47*VLOOKUP('Données projet'!$B$12,Paramètres!$A$1:$I$89,3,0)*0.475*44/12</f>
        <v>3.512656718949601E-4</v>
      </c>
      <c r="CN47" s="22">
        <f t="shared" si="12"/>
        <v>103.35548400773732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9.9475000000000016</v>
      </c>
      <c r="CT47" s="12">
        <f>IF('Données projet'!$A$140&gt;35,CT46+CS47-DB46,IF(A47&lt;'Données projet'!$A$140,$CQ$205^A47,IF(A47='Données projet'!$A$140,'Données projet'!$B$140,CT46+CS47-DB46)))</f>
        <v>148.64500000000004</v>
      </c>
      <c r="CU47" s="17">
        <f>CT47*VLOOKUP('Données projet'!$B$13,Paramètres!$A$1:$I$89,3,0)*VLOOKUP('Données projet'!$B$13,Paramètres!$A$1:$I$89,5,0)</f>
        <v>169.27692600000003</v>
      </c>
      <c r="CV47" s="13">
        <f t="shared" si="41"/>
        <v>42.928038910438609</v>
      </c>
      <c r="CW47" s="20">
        <f t="shared" si="13"/>
        <v>369.59031388568059</v>
      </c>
      <c r="CX47" s="59">
        <f t="shared" si="14"/>
        <v>662.9236472190139</v>
      </c>
      <c r="CY47" s="59">
        <f ca="1">AVERAGE(OFFSET($CX$3,0,0,'Données projet'!$E$13+1,1))-AVERAGE(OFFSET($H$3,0,0,'Données projet'!$E$13+1,1))</f>
        <v>770.11410336045037</v>
      </c>
      <c r="CZ47" s="59">
        <f t="shared" si="42"/>
        <v>227.12611049004596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22.482550454710811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22.482550454710811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14.015000000000004</v>
      </c>
      <c r="DO47" s="12">
        <f>IF('Données projet'!$A$166&gt;35,DO46+DN47-DW46,IF(A47&lt;'Données projet'!$A$166,$DL$205^A47,IF(A47='Données projet'!$A$166,'Données projet'!$B$166,DO46+DN47-DW46)))</f>
        <v>220.63000000000005</v>
      </c>
      <c r="DP47" s="17">
        <f>DO47*VLOOKUP('Données projet'!$B$14,Paramètres!$A$1:$I$89,3,0)*VLOOKUP('Données projet'!$B$14,Paramètres!$A$1:$I$89,5,0)</f>
        <v>223.71882000000008</v>
      </c>
      <c r="DQ47" s="13">
        <f t="shared" si="43"/>
        <v>54.922362660590522</v>
      </c>
      <c r="DR47" s="20">
        <f t="shared" si="16"/>
        <v>485.30005980052869</v>
      </c>
      <c r="DS47" s="59">
        <f t="shared" si="17"/>
        <v>778.633393133862</v>
      </c>
      <c r="DT47" s="59">
        <f ca="1">AVERAGE(OFFSET($DS$3,0,0,'Données projet'!$E$14+1,1))-AVERAGE(OFFSET($H$3,0,0,'Données projet'!$E$14+1,1))</f>
        <v>778.88878505968955</v>
      </c>
      <c r="DU47" s="59">
        <f t="shared" si="44"/>
        <v>279.20782832611059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39.68803017086136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39.68803017086136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378</v>
      </c>
      <c r="L48" s="12">
        <f>VLOOKUP(A48,'Données projet'!$A$35:$I$55,9,0)</f>
        <v>7.4</v>
      </c>
      <c r="M48" s="12">
        <f t="array" ref="M48">INDEX(L:L,MIN(IF(ISNUMBER(L48:L244),ROW(L48:L244),"")))</f>
        <v>7.4</v>
      </c>
      <c r="N48" s="13">
        <f>IF('Données projet'!$A$36&gt;35,N47+M48-V47,IF(A48&lt;'Données projet'!$A$36,$K$205^A48,IF(A48='Données projet'!$A$36,'Données projet'!$B$36,N47+M48-V47)))</f>
        <v>378.00000000000011</v>
      </c>
      <c r="O48" s="13">
        <f>N48*VLOOKUP('Données projet'!$B$9,Paramètres!$A$1:$I$89,3,0)*VLOOKUP('Données projet'!$B$9,Paramètres!$A$1:$I$89,5,0)</f>
        <v>342.01440000000008</v>
      </c>
      <c r="P48" s="13">
        <f t="shared" si="33"/>
        <v>79.915991022086629</v>
      </c>
      <c r="Q48" s="20">
        <f t="shared" si="53"/>
        <v>734.86209769680102</v>
      </c>
      <c r="R48" s="59">
        <f t="shared" si="0"/>
        <v>1028.1954310301344</v>
      </c>
      <c r="S48" s="59">
        <f ca="1">AVERAGE(OFFSET($R$3,0,0,'Données projet'!$E$9+1,1))-AVERAGE(OFFSET($H$3,0,0,'Données projet'!$E$9+1,1))</f>
        <v>436.4497226650281</v>
      </c>
      <c r="T48" s="59">
        <f t="shared" si="34"/>
        <v>611.43967996341871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9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7.8543635115438022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7.8543635115438022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630</v>
      </c>
      <c r="AJ48" s="13">
        <f>AI48*VLOOKUP('Données projet'!$B$10,Paramètres!$A$1:$I$89,3,0)*VLOOKUP('Données projet'!$B$10,Paramètres!$A$1:$I$89,5,0)</f>
        <v>550.36800000000005</v>
      </c>
      <c r="AK48" s="13">
        <f t="shared" si="35"/>
        <v>121.67271812244785</v>
      </c>
      <c r="AL48" s="20">
        <f t="shared" si="4"/>
        <v>1170.4709173965966</v>
      </c>
      <c r="AM48" s="59">
        <f t="shared" si="5"/>
        <v>1463.8042507299299</v>
      </c>
      <c r="AN48" s="59">
        <f ca="1">AVERAGE(OFFSET($AM$3,0,0,'Données projet'!$E$10+1,1))-AVERAGE(OFFSET($H$3,0,0,'Données projet'!$E$10+1,1))</f>
        <v>662.13838733542616</v>
      </c>
      <c r="AO48" s="59">
        <f t="shared" si="36"/>
        <v>1194.915361841041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17.884285714285713</v>
      </c>
      <c r="BD48" s="12">
        <f>IF('Données projet'!$A$88&gt;35,BD47+BC48-BL47,IF(A48&lt;'Données projet'!$A$88,$BA$205^A48,IF(A48='Données projet'!$A$88,'Données projet'!$B$88,BD47+BC48-BL47)))</f>
        <v>293.96285714285739</v>
      </c>
      <c r="BE48" s="13">
        <f>BD48*VLOOKUP('Données projet'!$B$11,Paramètres!$A$1:$I$89,3,0)*VLOOKUP('Données projet'!$B$11,Paramètres!$A$1:$I$89,5,0)</f>
        <v>137.57461714285725</v>
      </c>
      <c r="BF48" s="13">
        <f t="shared" si="37"/>
        <v>35.74082048158521</v>
      </c>
      <c r="BG48" s="20">
        <f t="shared" si="7"/>
        <v>301.85772052923727</v>
      </c>
      <c r="BH48" s="59">
        <f t="shared" si="8"/>
        <v>595.19105386257058</v>
      </c>
      <c r="BI48" s="59">
        <f ca="1">AVERAGE(OFFSET($BH$3,0,0,'Données projet'!$E$11+1,1))-AVERAGE(OFFSET($H$3,0,0,'Données projet'!$E$11+1,1))</f>
        <v>321.82962838167799</v>
      </c>
      <c r="BJ48" s="59">
        <f t="shared" si="38"/>
        <v>243.43396255104295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58.686113778443939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58.686113778443939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187.80389738728508</v>
      </c>
      <c r="CE48" s="59">
        <f t="shared" si="40"/>
        <v>439.28159165815265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91.767475334021057</v>
      </c>
      <c r="CL48" s="21">
        <f>EXP(-LN(2)/25)*CL47+(1-EXP(-LN(2)/25))/(LN(2)/25)*Calculateur!CG48*Calculateur!CI48*VLOOKUP('Données projet'!$B$12,Paramètres!$A$1:$I$89,3,0)*0.475*44/12</f>
        <v>9.4854868750891033</v>
      </c>
      <c r="CM48" s="21">
        <f>EXP(-LN(2)/2)*CM47+(1-EXP(-LN(2)/2))/(LN(2)/2)*CG48*CJ48*VLOOKUP('Données projet'!$B$12,Paramètres!$A$1:$I$89,3,0)*0.475*44/12</f>
        <v>2.4838233859497515E-4</v>
      </c>
      <c r="CN48" s="22">
        <f t="shared" si="12"/>
        <v>101.25321059144876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9.9475000000000016</v>
      </c>
      <c r="CT48" s="12">
        <f>IF('Données projet'!$A$140&gt;35,CT47+CS48-DB47,IF(A48&lt;'Données projet'!$A$140,$CQ$205^A48,IF(A48='Données projet'!$A$140,'Données projet'!$B$140,CT47+CS48-DB47)))</f>
        <v>158.59250000000003</v>
      </c>
      <c r="CU48" s="17">
        <f>CT48*VLOOKUP('Données projet'!$B$13,Paramètres!$A$1:$I$89,3,0)*VLOOKUP('Données projet'!$B$13,Paramètres!$A$1:$I$89,5,0)</f>
        <v>180.60513900000004</v>
      </c>
      <c r="CV48" s="13">
        <f t="shared" si="41"/>
        <v>45.456792135568733</v>
      </c>
      <c r="CW48" s="20">
        <f t="shared" si="13"/>
        <v>393.72453006111556</v>
      </c>
      <c r="CX48" s="59">
        <f t="shared" si="14"/>
        <v>687.05786339444887</v>
      </c>
      <c r="CY48" s="59">
        <f ca="1">AVERAGE(OFFSET($CX$3,0,0,'Données projet'!$E$13+1,1))-AVERAGE(OFFSET($H$3,0,0,'Données projet'!$E$13+1,1))</f>
        <v>770.11410336045037</v>
      </c>
      <c r="CZ48" s="59">
        <f t="shared" si="42"/>
        <v>227.12611049004596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22.041681353295662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22.041681353295662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14.015000000000004</v>
      </c>
      <c r="DO48" s="12">
        <f>IF('Données projet'!$A$166&gt;35,DO47+DN48-DW47,IF(A48&lt;'Données projet'!$A$166,$DL$205^A48,IF(A48='Données projet'!$A$166,'Données projet'!$B$166,DO47+DN48-DW47)))</f>
        <v>234.64500000000007</v>
      </c>
      <c r="DP48" s="17">
        <f>DO48*VLOOKUP('Données projet'!$B$14,Paramètres!$A$1:$I$89,3,0)*VLOOKUP('Données projet'!$B$14,Paramètres!$A$1:$I$89,5,0)</f>
        <v>237.9300300000001</v>
      </c>
      <c r="DQ48" s="13">
        <f t="shared" si="43"/>
        <v>57.993942073834525</v>
      </c>
      <c r="DR48" s="20">
        <f t="shared" si="16"/>
        <v>515.40091802859536</v>
      </c>
      <c r="DS48" s="59">
        <f t="shared" si="17"/>
        <v>808.73425136192873</v>
      </c>
      <c r="DT48" s="59">
        <f ca="1">AVERAGE(OFFSET($DS$3,0,0,'Données projet'!$E$14+1,1))-AVERAGE(OFFSET($H$3,0,0,'Données projet'!$E$14+1,1))</f>
        <v>778.88878505968955</v>
      </c>
      <c r="DU48" s="59">
        <f t="shared" si="44"/>
        <v>279.20782832611059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38.909772106518901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38.909772106518901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369.00000000000011</v>
      </c>
      <c r="O49" s="13">
        <f>N49*VLOOKUP('Données projet'!$B$9,Paramètres!$A$1:$I$89,3,0)*VLOOKUP('Données projet'!$B$9,Paramètres!$A$1:$I$89,5,0)</f>
        <v>333.87120000000004</v>
      </c>
      <c r="P49" s="13">
        <f t="shared" si="33"/>
        <v>78.232360111376309</v>
      </c>
      <c r="Q49" s="20">
        <f t="shared" si="53"/>
        <v>717.74703386064709</v>
      </c>
      <c r="R49" s="59">
        <f t="shared" si="0"/>
        <v>1011.0803671939805</v>
      </c>
      <c r="S49" s="59">
        <f ca="1">AVERAGE(OFFSET($R$3,0,0,'Données projet'!$E$9+1,1))-AVERAGE(OFFSET($H$3,0,0,'Données projet'!$E$9+1,1))</f>
        <v>436.4497226650281</v>
      </c>
      <c r="T49" s="59">
        <f t="shared" si="34"/>
        <v>611.43967996341871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7.700344233771129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7.700344233771129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630</v>
      </c>
      <c r="AJ49" s="13">
        <f>AI49*VLOOKUP('Données projet'!$B$10,Paramètres!$A$1:$I$89,3,0)*VLOOKUP('Données projet'!$B$10,Paramètres!$A$1:$I$89,5,0)</f>
        <v>550.36800000000005</v>
      </c>
      <c r="AK49" s="13">
        <f t="shared" si="35"/>
        <v>121.67271812244785</v>
      </c>
      <c r="AL49" s="20">
        <f t="shared" si="4"/>
        <v>1170.4709173965966</v>
      </c>
      <c r="AM49" s="59">
        <f t="shared" si="5"/>
        <v>1463.8042507299299</v>
      </c>
      <c r="AN49" s="59">
        <f ca="1">AVERAGE(OFFSET($AM$3,0,0,'Données projet'!$E$10+1,1))-AVERAGE(OFFSET($H$3,0,0,'Données projet'!$E$10+1,1))</f>
        <v>662.13838733542616</v>
      </c>
      <c r="AO49" s="59">
        <f t="shared" si="36"/>
        <v>1194.915361841041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17.884285714285713</v>
      </c>
      <c r="BD49" s="12">
        <f>IF('Données projet'!$A$88&gt;35,BD48+BC49-BL48,IF(A49&lt;'Données projet'!$A$88,$BA$205^A49,IF(A49='Données projet'!$A$88,'Données projet'!$B$88,BD48+BC49-BL48)))</f>
        <v>311.84714285714313</v>
      </c>
      <c r="BE49" s="13">
        <f>BD49*VLOOKUP('Données projet'!$B$11,Paramètres!$A$1:$I$89,3,0)*VLOOKUP('Données projet'!$B$11,Paramètres!$A$1:$I$89,5,0)</f>
        <v>145.94446285714298</v>
      </c>
      <c r="BF49" s="13">
        <f t="shared" si="37"/>
        <v>37.655485210877949</v>
      </c>
      <c r="BG49" s="20">
        <f t="shared" si="7"/>
        <v>319.7699095518031</v>
      </c>
      <c r="BH49" s="59">
        <f t="shared" si="8"/>
        <v>613.10324288513641</v>
      </c>
      <c r="BI49" s="59">
        <f ca="1">AVERAGE(OFFSET($BH$3,0,0,'Données projet'!$E$11+1,1))-AVERAGE(OFFSET($H$3,0,0,'Données projet'!$E$11+1,1))</f>
        <v>321.82962838167799</v>
      </c>
      <c r="BJ49" s="59">
        <f t="shared" si="38"/>
        <v>243.43396255104295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57.535314882243597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57.535314882243597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187.80389738728508</v>
      </c>
      <c r="CE49" s="59">
        <f t="shared" si="40"/>
        <v>439.28159165815265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89.967971115354018</v>
      </c>
      <c r="CL49" s="21">
        <f>EXP(-LN(2)/25)*CL48+(1-EXP(-LN(2)/25))/(LN(2)/25)*Calculateur!CG49*Calculateur!CI49*VLOOKUP('Données projet'!$B$12,Paramètres!$A$1:$I$89,3,0)*0.475*44/12</f>
        <v>9.226105737669716</v>
      </c>
      <c r="CM49" s="21">
        <f>EXP(-LN(2)/2)*CM48+(1-EXP(-LN(2)/2))/(LN(2)/2)*CG49*CJ49*VLOOKUP('Données projet'!$B$12,Paramètres!$A$1:$I$89,3,0)*0.475*44/12</f>
        <v>1.7563283594748005E-4</v>
      </c>
      <c r="CN49" s="22">
        <f t="shared" si="12"/>
        <v>99.194252485859678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9.9475000000000016</v>
      </c>
      <c r="CT49" s="12">
        <f>IF('Données projet'!$A$140&gt;35,CT48+CS49-DB48,IF(A49&lt;'Données projet'!$A$140,$CQ$205^A49,IF(A49='Données projet'!$A$140,'Données projet'!$B$140,CT48+CS49-DB48)))</f>
        <v>168.54000000000002</v>
      </c>
      <c r="CU49" s="17">
        <f>CT49*VLOOKUP('Données projet'!$B$13,Paramètres!$A$1:$I$89,3,0)*VLOOKUP('Données projet'!$B$13,Paramètres!$A$1:$I$89,5,0)</f>
        <v>191.93335200000001</v>
      </c>
      <c r="CV49" s="13">
        <f t="shared" si="41"/>
        <v>47.967137346746064</v>
      </c>
      <c r="CW49" s="20">
        <f t="shared" si="13"/>
        <v>417.82668561224938</v>
      </c>
      <c r="CX49" s="59">
        <f t="shared" si="14"/>
        <v>711.16001894558269</v>
      </c>
      <c r="CY49" s="59">
        <f ca="1">AVERAGE(OFFSET($CX$3,0,0,'Données projet'!$E$13+1,1))-AVERAGE(OFFSET($H$3,0,0,'Données projet'!$E$13+1,1))</f>
        <v>770.11410336045037</v>
      </c>
      <c r="CZ49" s="59">
        <f t="shared" si="42"/>
        <v>227.12611049004596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21.609457426055666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21.609457426055666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14.015000000000004</v>
      </c>
      <c r="DO49" s="12">
        <f>IF('Données projet'!$A$166&gt;35,DO48+DN49-DW48,IF(A49&lt;'Données projet'!$A$166,$DL$205^A49,IF(A49='Données projet'!$A$166,'Données projet'!$B$166,DO48+DN49-DW48)))</f>
        <v>248.66000000000008</v>
      </c>
      <c r="DP49" s="17">
        <f>DO49*VLOOKUP('Données projet'!$B$14,Paramètres!$A$1:$I$89,3,0)*VLOOKUP('Données projet'!$B$14,Paramètres!$A$1:$I$89,5,0)</f>
        <v>252.1412400000001</v>
      </c>
      <c r="DQ49" s="13">
        <f t="shared" si="43"/>
        <v>61.044227335970774</v>
      </c>
      <c r="DR49" s="20">
        <f t="shared" si="16"/>
        <v>545.46468894348254</v>
      </c>
      <c r="DS49" s="59">
        <f t="shared" si="17"/>
        <v>838.7980222768158</v>
      </c>
      <c r="DT49" s="59">
        <f ca="1">AVERAGE(OFFSET($DS$3,0,0,'Données projet'!$E$14+1,1))-AVERAGE(OFFSET($H$3,0,0,'Données projet'!$E$14+1,1))</f>
        <v>778.88878505968955</v>
      </c>
      <c r="DU49" s="59">
        <f t="shared" si="44"/>
        <v>279.20782832611059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38.14677520812765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38.14677520812765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369.00000000000011</v>
      </c>
      <c r="O50" s="13">
        <f>N50*VLOOKUP('Données projet'!$B$9,Paramètres!$A$1:$I$89,3,0)*VLOOKUP('Données projet'!$B$9,Paramètres!$A$1:$I$89,5,0)</f>
        <v>333.87120000000004</v>
      </c>
      <c r="P50" s="13">
        <f t="shared" si="33"/>
        <v>78.232360111376309</v>
      </c>
      <c r="Q50" s="20">
        <f t="shared" si="53"/>
        <v>717.74703386064709</v>
      </c>
      <c r="R50" s="59">
        <f t="shared" si="0"/>
        <v>1011.0803671939805</v>
      </c>
      <c r="S50" s="59">
        <f ca="1">AVERAGE(OFFSET($R$3,0,0,'Données projet'!$E$9+1,1))-AVERAGE(OFFSET($H$3,0,0,'Données projet'!$E$9+1,1))</f>
        <v>436.4497226650281</v>
      </c>
      <c r="T50" s="59">
        <f t="shared" si="34"/>
        <v>611.43967996341871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7.5493451800930949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7.5493451800930949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630</v>
      </c>
      <c r="AJ50" s="13">
        <f>AI50*VLOOKUP('Données projet'!$B$10,Paramètres!$A$1:$I$89,3,0)*VLOOKUP('Données projet'!$B$10,Paramètres!$A$1:$I$89,5,0)</f>
        <v>550.36800000000005</v>
      </c>
      <c r="AK50" s="13">
        <f t="shared" si="35"/>
        <v>121.67271812244785</v>
      </c>
      <c r="AL50" s="20">
        <f t="shared" si="4"/>
        <v>1170.4709173965966</v>
      </c>
      <c r="AM50" s="59">
        <f t="shared" si="5"/>
        <v>1463.8042507299299</v>
      </c>
      <c r="AN50" s="59">
        <f ca="1">AVERAGE(OFFSET($AM$3,0,0,'Données projet'!$E$10+1,1))-AVERAGE(OFFSET($H$3,0,0,'Données projet'!$E$10+1,1))</f>
        <v>662.13838733542616</v>
      </c>
      <c r="AO50" s="59">
        <f t="shared" si="36"/>
        <v>1194.915361841041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17.884285714285713</v>
      </c>
      <c r="BD50" s="12">
        <f>IF('Données projet'!$A$88&gt;35,BD49+BC50-BL49,IF(A50&lt;'Données projet'!$A$88,$BA$205^A50,IF(A50='Données projet'!$A$88,'Données projet'!$B$88,BD49+BC50-BL49)))</f>
        <v>329.73142857142886</v>
      </c>
      <c r="BE50" s="13">
        <f>BD50*VLOOKUP('Données projet'!$B$11,Paramètres!$A$1:$I$89,3,0)*VLOOKUP('Données projet'!$B$11,Paramètres!$A$1:$I$89,5,0)</f>
        <v>154.31430857142871</v>
      </c>
      <c r="BF50" s="13">
        <f t="shared" si="37"/>
        <v>39.557403816067122</v>
      </c>
      <c r="BG50" s="20">
        <f t="shared" si="7"/>
        <v>337.65989907488859</v>
      </c>
      <c r="BH50" s="59">
        <f t="shared" si="8"/>
        <v>630.99323240822196</v>
      </c>
      <c r="BI50" s="59">
        <f ca="1">AVERAGE(OFFSET($BH$3,0,0,'Données projet'!$E$11+1,1))-AVERAGE(OFFSET($H$3,0,0,'Données projet'!$E$11+1,1))</f>
        <v>321.82962838167799</v>
      </c>
      <c r="BJ50" s="59">
        <f t="shared" si="38"/>
        <v>243.43396255104295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56.407082450479727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56.407082450479727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187.80389738728508</v>
      </c>
      <c r="CE50" s="59">
        <f t="shared" si="40"/>
        <v>439.28159165815265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88.203754076825845</v>
      </c>
      <c r="CL50" s="21">
        <f>EXP(-LN(2)/25)*CL49+(1-EXP(-LN(2)/25))/(LN(2)/25)*Calculateur!CG50*Calculateur!CI50*VLOOKUP('Données projet'!$B$12,Paramètres!$A$1:$I$89,3,0)*0.475*44/12</f>
        <v>8.9738173910933234</v>
      </c>
      <c r="CM50" s="21">
        <f>EXP(-LN(2)/2)*CM49+(1-EXP(-LN(2)/2))/(LN(2)/2)*CG50*CJ50*VLOOKUP('Données projet'!$B$12,Paramètres!$A$1:$I$89,3,0)*0.475*44/12</f>
        <v>1.2419116929748757E-4</v>
      </c>
      <c r="CN50" s="22">
        <f t="shared" si="12"/>
        <v>97.177695659088457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9.9475000000000016</v>
      </c>
      <c r="CT50" s="12">
        <f>IF('Données projet'!$A$140&gt;35,CT49+CS50-DB49,IF(A50&lt;'Données projet'!$A$140,$CQ$205^A50,IF(A50='Données projet'!$A$140,'Données projet'!$B$140,CT49+CS50-DB49)))</f>
        <v>178.48750000000001</v>
      </c>
      <c r="CU50" s="17">
        <f>CT50*VLOOKUP('Données projet'!$B$13,Paramètres!$A$1:$I$89,3,0)*VLOOKUP('Données projet'!$B$13,Paramètres!$A$1:$I$89,5,0)</f>
        <v>203.26156499999999</v>
      </c>
      <c r="CV50" s="13">
        <f t="shared" si="41"/>
        <v>50.460284768468533</v>
      </c>
      <c r="CW50" s="20">
        <f t="shared" si="13"/>
        <v>441.89888834674935</v>
      </c>
      <c r="CX50" s="59">
        <f t="shared" si="14"/>
        <v>735.2322216800826</v>
      </c>
      <c r="CY50" s="59">
        <f ca="1">AVERAGE(OFFSET($CX$3,0,0,'Données projet'!$E$13+1,1))-AVERAGE(OFFSET($H$3,0,0,'Données projet'!$E$13+1,1))</f>
        <v>770.11410336045037</v>
      </c>
      <c r="CZ50" s="59">
        <f t="shared" si="42"/>
        <v>227.12611049004596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21.185709146398281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21.185709146398281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14.015000000000004</v>
      </c>
      <c r="DO50" s="12">
        <f>IF('Données projet'!$A$166&gt;35,DO49+DN50-DW49,IF(A50&lt;'Données projet'!$A$166,$DL$205^A50,IF(A50='Données projet'!$A$166,'Données projet'!$B$166,DO49+DN50-DW49)))</f>
        <v>262.67500000000007</v>
      </c>
      <c r="DP50" s="17">
        <f>DO50*VLOOKUP('Données projet'!$B$14,Paramètres!$A$1:$I$89,3,0)*VLOOKUP('Données projet'!$B$14,Paramètres!$A$1:$I$89,5,0)</f>
        <v>266.35245000000009</v>
      </c>
      <c r="DQ50" s="13">
        <f t="shared" si="43"/>
        <v>64.074555400413075</v>
      </c>
      <c r="DR50" s="20">
        <f t="shared" si="16"/>
        <v>575.49370107238622</v>
      </c>
      <c r="DS50" s="59">
        <f t="shared" si="17"/>
        <v>868.82703440571959</v>
      </c>
      <c r="DT50" s="59">
        <f ca="1">AVERAGE(OFFSET($DS$3,0,0,'Données projet'!$E$14+1,1))-AVERAGE(OFFSET($H$3,0,0,'Données projet'!$E$14+1,1))</f>
        <v>778.88878505968955</v>
      </c>
      <c r="DU50" s="59">
        <f t="shared" si="44"/>
        <v>279.20782832611059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37.398740213531696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37.398740213531696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369.00000000000011</v>
      </c>
      <c r="O51" s="13">
        <f>N51*VLOOKUP('Données projet'!$B$9,Paramètres!$A$1:$I$89,3,0)*VLOOKUP('Données projet'!$B$9,Paramètres!$A$1:$I$89,5,0)</f>
        <v>333.87120000000004</v>
      </c>
      <c r="P51" s="13">
        <f t="shared" si="33"/>
        <v>78.232360111376309</v>
      </c>
      <c r="Q51" s="20">
        <f t="shared" si="53"/>
        <v>717.74703386064709</v>
      </c>
      <c r="R51" s="59">
        <f t="shared" si="0"/>
        <v>1011.0803671939805</v>
      </c>
      <c r="S51" s="59">
        <f ca="1">AVERAGE(OFFSET($R$3,0,0,'Données projet'!$E$9+1,1))-AVERAGE(OFFSET($H$3,0,0,'Données projet'!$E$9+1,1))</f>
        <v>436.4497226650281</v>
      </c>
      <c r="T51" s="59">
        <f t="shared" si="34"/>
        <v>611.43967996341871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7.4013071257573584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7.4013071257573584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630</v>
      </c>
      <c r="AJ51" s="13">
        <f>AI51*VLOOKUP('Données projet'!$B$10,Paramètres!$A$1:$I$89,3,0)*VLOOKUP('Données projet'!$B$10,Paramètres!$A$1:$I$89,5,0)</f>
        <v>550.36800000000005</v>
      </c>
      <c r="AK51" s="13">
        <f t="shared" si="35"/>
        <v>121.67271812244785</v>
      </c>
      <c r="AL51" s="20">
        <f t="shared" si="4"/>
        <v>1170.4709173965966</v>
      </c>
      <c r="AM51" s="59">
        <f t="shared" si="5"/>
        <v>1463.8042507299299</v>
      </c>
      <c r="AN51" s="59">
        <f ca="1">AVERAGE(OFFSET($AM$3,0,0,'Données projet'!$E$10+1,1))-AVERAGE(OFFSET($H$3,0,0,'Données projet'!$E$10+1,1))</f>
        <v>662.13838733542616</v>
      </c>
      <c r="AO51" s="59">
        <f t="shared" si="36"/>
        <v>1194.915361841041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17.884285714285713</v>
      </c>
      <c r="BD51" s="12">
        <f>IF('Données projet'!$A$88&gt;35,BD50+BC51-BL50,IF(A51&lt;'Données projet'!$A$88,$BA$205^A51,IF(A51='Données projet'!$A$88,'Données projet'!$B$88,BD50+BC51-BL50)))</f>
        <v>347.6157142857146</v>
      </c>
      <c r="BE51" s="13">
        <f>BD51*VLOOKUP('Données projet'!$B$11,Paramètres!$A$1:$I$89,3,0)*VLOOKUP('Données projet'!$B$11,Paramètres!$A$1:$I$89,5,0)</f>
        <v>162.68415428571444</v>
      </c>
      <c r="BF51" s="13">
        <f t="shared" si="37"/>
        <v>41.447346448934482</v>
      </c>
      <c r="BG51" s="20">
        <f t="shared" si="7"/>
        <v>355.52903044618012</v>
      </c>
      <c r="BH51" s="59">
        <f t="shared" si="8"/>
        <v>648.86236377951343</v>
      </c>
      <c r="BI51" s="59">
        <f ca="1">AVERAGE(OFFSET($BH$3,0,0,'Données projet'!$E$11+1,1))-AVERAGE(OFFSET($H$3,0,0,'Données projet'!$E$11+1,1))</f>
        <v>321.82962838167799</v>
      </c>
      <c r="BJ51" s="59">
        <f t="shared" si="38"/>
        <v>243.43396255104295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55.300973968548909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55.300973968548909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187.80389738728508</v>
      </c>
      <c r="CE51" s="59">
        <f t="shared" si="40"/>
        <v>439.28159165815265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86.474132258357074</v>
      </c>
      <c r="CL51" s="21">
        <f>EXP(-LN(2)/25)*CL50+(1-EXP(-LN(2)/25))/(LN(2)/25)*Calculateur!CG51*Calculateur!CI51*VLOOKUP('Données projet'!$B$12,Paramètres!$A$1:$I$89,3,0)*0.475*44/12</f>
        <v>8.7284278826213306</v>
      </c>
      <c r="CM51" s="21">
        <f>EXP(-LN(2)/2)*CM50+(1-EXP(-LN(2)/2))/(LN(2)/2)*CG51*CJ51*VLOOKUP('Données projet'!$B$12,Paramètres!$A$1:$I$89,3,0)*0.475*44/12</f>
        <v>8.7816417973740025E-5</v>
      </c>
      <c r="CN51" s="22">
        <f t="shared" si="12"/>
        <v>95.20264795739638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9.9475000000000016</v>
      </c>
      <c r="CT51" s="12">
        <f>IF('Données projet'!$A$140&gt;35,CT50+CS51-DB50,IF(A51&lt;'Données projet'!$A$140,$CQ$205^A51,IF(A51='Données projet'!$A$140,'Données projet'!$B$140,CT50+CS51-DB50)))</f>
        <v>188.435</v>
      </c>
      <c r="CU51" s="17">
        <f>CT51*VLOOKUP('Données projet'!$B$13,Paramètres!$A$1:$I$89,3,0)*VLOOKUP('Données projet'!$B$13,Paramètres!$A$1:$I$89,5,0)</f>
        <v>214.589778</v>
      </c>
      <c r="CV51" s="13">
        <f t="shared" si="41"/>
        <v>52.937302109424579</v>
      </c>
      <c r="CW51" s="20">
        <f t="shared" si="13"/>
        <v>465.94299785724775</v>
      </c>
      <c r="CX51" s="59">
        <f t="shared" si="14"/>
        <v>759.276331190581</v>
      </c>
      <c r="CY51" s="59">
        <f ca="1">AVERAGE(OFFSET($CX$3,0,0,'Données projet'!$E$13+1,1))-AVERAGE(OFFSET($H$3,0,0,'Données projet'!$E$13+1,1))</f>
        <v>770.11410336045037</v>
      </c>
      <c r="CZ51" s="59">
        <f t="shared" si="42"/>
        <v>227.12611049004596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20.770270312044048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20.770270312044048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14.015000000000004</v>
      </c>
      <c r="DO51" s="12">
        <f>IF('Données projet'!$A$166&gt;35,DO50+DN51-DW50,IF(A51&lt;'Données projet'!$A$166,$DL$205^A51,IF(A51='Données projet'!$A$166,'Données projet'!$B$166,DO50+DN51-DW50)))</f>
        <v>276.69000000000005</v>
      </c>
      <c r="DP51" s="17">
        <f>DO51*VLOOKUP('Données projet'!$B$14,Paramètres!$A$1:$I$89,3,0)*VLOOKUP('Données projet'!$B$14,Paramètres!$A$1:$I$89,5,0)</f>
        <v>280.56366000000008</v>
      </c>
      <c r="DQ51" s="13">
        <f t="shared" si="43"/>
        <v>67.086112496955295</v>
      </c>
      <c r="DR51" s="20">
        <f t="shared" si="16"/>
        <v>605.4900204321973</v>
      </c>
      <c r="DS51" s="59">
        <f t="shared" si="17"/>
        <v>898.82335376553056</v>
      </c>
      <c r="DT51" s="59">
        <f ca="1">AVERAGE(OFFSET($DS$3,0,0,'Données projet'!$E$14+1,1))-AVERAGE(OFFSET($H$3,0,0,'Données projet'!$E$14+1,1))</f>
        <v>778.88878505968955</v>
      </c>
      <c r="DU51" s="59">
        <f t="shared" si="44"/>
        <v>279.20782832611059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36.66537372892347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36.66537372892347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369.00000000000011</v>
      </c>
      <c r="O52" s="13">
        <f>N52*VLOOKUP('Données projet'!$B$9,Paramètres!$A$1:$I$89,3,0)*VLOOKUP('Données projet'!$B$9,Paramètres!$A$1:$I$89,5,0)</f>
        <v>333.87120000000004</v>
      </c>
      <c r="P52" s="13">
        <f t="shared" si="33"/>
        <v>78.232360111376309</v>
      </c>
      <c r="Q52" s="20">
        <f t="shared" si="53"/>
        <v>717.74703386064709</v>
      </c>
      <c r="R52" s="59">
        <f t="shared" si="0"/>
        <v>1011.0803671939805</v>
      </c>
      <c r="S52" s="59">
        <f ca="1">AVERAGE(OFFSET($R$3,0,0,'Données projet'!$E$9+1,1))-AVERAGE(OFFSET($H$3,0,0,'Données projet'!$E$9+1,1))</f>
        <v>436.4497226650281</v>
      </c>
      <c r="T52" s="59">
        <f t="shared" si="34"/>
        <v>611.43967996341871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7.2561720073728484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7.2561720073728484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630</v>
      </c>
      <c r="AJ52" s="13">
        <f>AI52*VLOOKUP('Données projet'!$B$10,Paramètres!$A$1:$I$89,3,0)*VLOOKUP('Données projet'!$B$10,Paramètres!$A$1:$I$89,5,0)</f>
        <v>550.36800000000005</v>
      </c>
      <c r="AK52" s="13">
        <f t="shared" si="35"/>
        <v>121.67271812244785</v>
      </c>
      <c r="AL52" s="20">
        <f t="shared" si="4"/>
        <v>1170.4709173965966</v>
      </c>
      <c r="AM52" s="59">
        <f t="shared" si="5"/>
        <v>1463.8042507299299</v>
      </c>
      <c r="AN52" s="59">
        <f ca="1">AVERAGE(OFFSET($AM$3,0,0,'Données projet'!$E$10+1,1))-AVERAGE(OFFSET($H$3,0,0,'Données projet'!$E$10+1,1))</f>
        <v>662.13838733542616</v>
      </c>
      <c r="AO52" s="59">
        <f t="shared" si="36"/>
        <v>1194.915361841041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365.5</v>
      </c>
      <c r="BB52" s="12">
        <f>VLOOKUP(A52,'Données projet'!$A$87:$I$107,9,0)</f>
        <v>17.884285714285713</v>
      </c>
      <c r="BC52" s="12">
        <f t="array" ref="BC52">INDEX(BB:BB,MIN(IF(ISNUMBER(BB52:BB248),ROW(BB52:BB248),"")))</f>
        <v>17.884285714285713</v>
      </c>
      <c r="BD52" s="12">
        <f>IF('Données projet'!$A$88&gt;35,BD51+BC52-BL51,IF(A52&lt;'Données projet'!$A$88,$BA$205^A52,IF(A52='Données projet'!$A$88,'Données projet'!$B$88,BD51+BC52-BL51)))</f>
        <v>365.50000000000034</v>
      </c>
      <c r="BE52" s="13">
        <f>BD52*VLOOKUP('Données projet'!$B$11,Paramètres!$A$1:$I$89,3,0)*VLOOKUP('Données projet'!$B$11,Paramètres!$A$1:$I$89,5,0)</f>
        <v>171.05400000000017</v>
      </c>
      <c r="BF52" s="13">
        <f t="shared" si="37"/>
        <v>43.32599953897904</v>
      </c>
      <c r="BG52" s="20">
        <f t="shared" si="7"/>
        <v>373.37849919705542</v>
      </c>
      <c r="BH52" s="59">
        <f t="shared" si="8"/>
        <v>666.71183253038873</v>
      </c>
      <c r="BI52" s="59">
        <f ca="1">AVERAGE(OFFSET($BH$3,0,0,'Données projet'!$E$11+1,1))-AVERAGE(OFFSET($H$3,0,0,'Données projet'!$E$11+1,1))</f>
        <v>321.82962838167799</v>
      </c>
      <c r="BJ52" s="59">
        <f t="shared" si="38"/>
        <v>243.43396255104295</v>
      </c>
      <c r="BK52" s="15">
        <f>IF(ISNA(VLOOKUP(A52,'Données projet'!$A$87:$I$107,3,0)),0,VLOOKUP(A52,'Données projet'!$A$87:$I$107,3,0))</f>
        <v>2</v>
      </c>
      <c r="BL52" s="15">
        <f>IF(ISNA(VLOOKUP(A52,'Données projet'!$A$87:$I$107,4,0)),0,VLOOKUP(A52,'Données projet'!$A$87:$I$107,4,0))</f>
        <v>100.16</v>
      </c>
      <c r="BM52" s="16">
        <f>IF(ISNA(VLOOKUP(A52,'Données projet'!$A$87:$I$107,5,0)),0%,VLOOKUP(A52,'Données projet'!$A$87:$I$107,5,0)*VLOOKUP('Données projet'!$B$11,Paramètres!$A$1:$I$89,7,0))</f>
        <v>0.55000000000000004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88.416957912835784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88.416957912835784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187.80389738728508</v>
      </c>
      <c r="CE52" s="59">
        <f t="shared" si="40"/>
        <v>439.28159165815265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84.778427268783332</v>
      </c>
      <c r="CL52" s="21">
        <f>EXP(-LN(2)/25)*CL51+(1-EXP(-LN(2)/25))/(LN(2)/25)*Calculateur!CG52*Calculateur!CI52*VLOOKUP('Données projet'!$B$12,Paramètres!$A$1:$I$89,3,0)*0.475*44/12</f>
        <v>8.4897485631629763</v>
      </c>
      <c r="CM52" s="21">
        <f>EXP(-LN(2)/2)*CM51+(1-EXP(-LN(2)/2))/(LN(2)/2)*CG52*CJ52*VLOOKUP('Données projet'!$B$12,Paramètres!$A$1:$I$89,3,0)*0.475*44/12</f>
        <v>6.2095584648743786E-5</v>
      </c>
      <c r="CN52" s="22">
        <f t="shared" si="12"/>
        <v>93.268237927530961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9.9475000000000016</v>
      </c>
      <c r="CT52" s="12">
        <f>IF('Données projet'!$A$140&gt;35,CT51+CS52-DB51,IF(A52&lt;'Données projet'!$A$140,$CQ$205^A52,IF(A52='Données projet'!$A$140,'Données projet'!$B$140,CT51+CS52-DB51)))</f>
        <v>198.38249999999999</v>
      </c>
      <c r="CU52" s="17">
        <f>CT52*VLOOKUP('Données projet'!$B$13,Paramètres!$A$1:$I$89,3,0)*VLOOKUP('Données projet'!$B$13,Paramètres!$A$1:$I$89,5,0)</f>
        <v>225.917991</v>
      </c>
      <c r="CV52" s="13">
        <f t="shared" si="41"/>
        <v>55.399137982572697</v>
      </c>
      <c r="CW52" s="20">
        <f t="shared" si="13"/>
        <v>489.96066631131407</v>
      </c>
      <c r="CX52" s="59">
        <f t="shared" si="14"/>
        <v>783.29399964464733</v>
      </c>
      <c r="CY52" s="59">
        <f ca="1">AVERAGE(OFFSET($CX$3,0,0,'Données projet'!$E$13+1,1))-AVERAGE(OFFSET($H$3,0,0,'Données projet'!$E$13+1,1))</f>
        <v>770.11410336045037</v>
      </c>
      <c r="CZ52" s="59">
        <f t="shared" si="42"/>
        <v>227.12611049004596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20.362977979838831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20.362977979838831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14.015000000000004</v>
      </c>
      <c r="DO52" s="12">
        <f>IF('Données projet'!$A$166&gt;35,DO51+DN52-DW51,IF(A52&lt;'Données projet'!$A$166,$DL$205^A52,IF(A52='Données projet'!$A$166,'Données projet'!$B$166,DO51+DN52-DW51)))</f>
        <v>290.70500000000004</v>
      </c>
      <c r="DP52" s="17">
        <f>DO52*VLOOKUP('Données projet'!$B$14,Paramètres!$A$1:$I$89,3,0)*VLOOKUP('Données projet'!$B$14,Paramètres!$A$1:$I$89,5,0)</f>
        <v>294.77487000000002</v>
      </c>
      <c r="DQ52" s="13">
        <f t="shared" si="43"/>
        <v>70.079957896732736</v>
      </c>
      <c r="DR52" s="20">
        <f t="shared" si="16"/>
        <v>635.45549192014289</v>
      </c>
      <c r="DS52" s="59">
        <f t="shared" si="17"/>
        <v>928.78882525347626</v>
      </c>
      <c r="DT52" s="59">
        <f ca="1">AVERAGE(OFFSET($DS$3,0,0,'Données projet'!$E$14+1,1))-AVERAGE(OFFSET($H$3,0,0,'Données projet'!$E$14+1,1))</f>
        <v>778.88878505968955</v>
      </c>
      <c r="DU52" s="59">
        <f t="shared" si="44"/>
        <v>279.20782832611059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35.946388113769025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35.946388113769025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369.00000000000011</v>
      </c>
      <c r="O53" s="13">
        <f>N53*VLOOKUP('Données projet'!$B$9,Paramètres!$A$1:$I$89,3,0)*VLOOKUP('Données projet'!$B$9,Paramètres!$A$1:$I$89,5,0)</f>
        <v>333.87120000000004</v>
      </c>
      <c r="P53" s="13">
        <f t="shared" si="33"/>
        <v>78.232360111376309</v>
      </c>
      <c r="Q53" s="20">
        <f t="shared" si="53"/>
        <v>717.74703386064709</v>
      </c>
      <c r="R53" s="59">
        <f t="shared" si="0"/>
        <v>1011.0803671939805</v>
      </c>
      <c r="S53" s="59">
        <f ca="1">AVERAGE(OFFSET($R$3,0,0,'Données projet'!$E$9+1,1))-AVERAGE(OFFSET($H$3,0,0,'Données projet'!$E$9+1,1))</f>
        <v>436.4497226650281</v>
      </c>
      <c r="T53" s="59">
        <f t="shared" si="34"/>
        <v>611.43967996341871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7.1138829001361774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7.1138829001361774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630</v>
      </c>
      <c r="AJ53" s="13">
        <f>AI53*VLOOKUP('Données projet'!$B$10,Paramètres!$A$1:$I$89,3,0)*VLOOKUP('Données projet'!$B$10,Paramètres!$A$1:$I$89,5,0)</f>
        <v>550.36800000000005</v>
      </c>
      <c r="AK53" s="13">
        <f t="shared" si="35"/>
        <v>121.67271812244785</v>
      </c>
      <c r="AL53" s="20">
        <f t="shared" si="4"/>
        <v>1170.4709173965966</v>
      </c>
      <c r="AM53" s="59">
        <f t="shared" si="5"/>
        <v>1463.8042507299299</v>
      </c>
      <c r="AN53" s="59">
        <f ca="1">AVERAGE(OFFSET($AM$3,0,0,'Données projet'!$E$10+1,1))-AVERAGE(OFFSET($H$3,0,0,'Données projet'!$E$10+1,1))</f>
        <v>662.13838733542616</v>
      </c>
      <c r="AO53" s="59">
        <f t="shared" si="36"/>
        <v>1194.915361841041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16.972857142857134</v>
      </c>
      <c r="BD53" s="12">
        <f>IF('Données projet'!$A$88&gt;35,BD52+BC53-BL52,IF(A53&lt;'Données projet'!$A$88,$BA$205^A53,IF(A53='Données projet'!$A$88,'Données projet'!$B$88,BD52+BC53-BL52)))</f>
        <v>282.31285714285752</v>
      </c>
      <c r="BE53" s="13">
        <f>BD53*VLOOKUP('Données projet'!$B$11,Paramètres!$A$1:$I$89,3,0)*VLOOKUP('Données projet'!$B$11,Paramètres!$A$1:$I$89,5,0)</f>
        <v>132.12241714285733</v>
      </c>
      <c r="BF53" s="13">
        <f t="shared" si="37"/>
        <v>34.486324425392105</v>
      </c>
      <c r="BG53" s="20">
        <f t="shared" si="7"/>
        <v>290.17689156470107</v>
      </c>
      <c r="BH53" s="59">
        <f t="shared" si="8"/>
        <v>583.51022489803438</v>
      </c>
      <c r="BI53" s="59">
        <f ca="1">AVERAGE(OFFSET($BH$3,0,0,'Données projet'!$E$11+1,1))-AVERAGE(OFFSET($H$3,0,0,'Données projet'!$E$11+1,1))</f>
        <v>321.82962838167799</v>
      </c>
      <c r="BJ53" s="59">
        <f t="shared" si="38"/>
        <v>243.43396255104295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86.683155297184356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86.683155297184356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187.80389738728508</v>
      </c>
      <c r="CE53" s="59">
        <f t="shared" si="40"/>
        <v>439.28159165815265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83.115974019777212</v>
      </c>
      <c r="CL53" s="21">
        <f>EXP(-LN(2)/25)*CL52+(1-EXP(-LN(2)/25))/(LN(2)/25)*Calculateur!CG53*Calculateur!CI53*VLOOKUP('Données projet'!$B$12,Paramètres!$A$1:$I$89,3,0)*0.475*44/12</f>
        <v>8.2575959422468106</v>
      </c>
      <c r="CM53" s="21">
        <f>EXP(-LN(2)/2)*CM52+(1-EXP(-LN(2)/2))/(LN(2)/2)*CG53*CJ53*VLOOKUP('Données projet'!$B$12,Paramètres!$A$1:$I$89,3,0)*0.475*44/12</f>
        <v>4.3908208986870012E-5</v>
      </c>
      <c r="CN53" s="22">
        <f t="shared" si="12"/>
        <v>91.373613870233001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9.9475000000000016</v>
      </c>
      <c r="CS53" s="12">
        <f t="array" ref="CS53">INDEX(CR:CR,MIN(IF(ISNUMBER(CR53:CR249),ROW(CR53:CR249),"")))</f>
        <v>9.9475000000000016</v>
      </c>
      <c r="CT53" s="12">
        <f>IF('Données projet'!$A$140&gt;35,CT52+CS53-DB52,IF(A53&lt;'Données projet'!$A$140,$CQ$205^A53,IF(A53='Données projet'!$A$140,'Données projet'!$B$140,CT52+CS53-DB52)))</f>
        <v>208.32999999999998</v>
      </c>
      <c r="CU53" s="17">
        <f>CT53*VLOOKUP('Données projet'!$B$13,Paramètres!$A$1:$I$89,3,0)*VLOOKUP('Données projet'!$B$13,Paramètres!$A$1:$I$89,5,0)</f>
        <v>237.24620399999998</v>
      </c>
      <c r="CV53" s="13">
        <f t="shared" si="41"/>
        <v>57.846640494287307</v>
      </c>
      <c r="CW53" s="20">
        <f t="shared" si="13"/>
        <v>513.95337082755043</v>
      </c>
      <c r="CX53" s="59">
        <f t="shared" si="14"/>
        <v>807.2867041608838</v>
      </c>
      <c r="CY53" s="59">
        <f ca="1">AVERAGE(OFFSET($CX$3,0,0,'Données projet'!$E$13+1,1))-AVERAGE(OFFSET($H$3,0,0,'Données projet'!$E$13+1,1))</f>
        <v>770.11410336045037</v>
      </c>
      <c r="CZ53" s="59">
        <f t="shared" si="42"/>
        <v>227.12611049004596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39.22423497968893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39.22423497968893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304.72000000000003</v>
      </c>
      <c r="DM53" s="12">
        <f>VLOOKUP(A53,'Données projet'!$A$165:$I$185,9,0)</f>
        <v>14.015000000000004</v>
      </c>
      <c r="DN53" s="12">
        <f t="array" ref="DN53">INDEX(DM:DM,MIN(IF(ISNUMBER(DM53:DM249),ROW(DM53:DM249),"")))</f>
        <v>14.015000000000004</v>
      </c>
      <c r="DO53" s="12">
        <f>IF('Données projet'!$A$166&gt;35,DO52+DN53-DW52,IF(A53&lt;'Données projet'!$A$166,$DL$205^A53,IF(A53='Données projet'!$A$166,'Données projet'!$B$166,DO52+DN53-DW52)))</f>
        <v>304.72000000000003</v>
      </c>
      <c r="DP53" s="17">
        <f>DO53*VLOOKUP('Données projet'!$B$14,Paramètres!$A$1:$I$89,3,0)*VLOOKUP('Données projet'!$B$14,Paramètres!$A$1:$I$89,5,0)</f>
        <v>308.98608000000002</v>
      </c>
      <c r="DQ53" s="13">
        <f t="shared" si="43"/>
        <v>73.057042964372911</v>
      </c>
      <c r="DR53" s="20">
        <f t="shared" si="16"/>
        <v>665.39177249628278</v>
      </c>
      <c r="DS53" s="59">
        <f t="shared" si="17"/>
        <v>958.72510582961604</v>
      </c>
      <c r="DT53" s="59">
        <f ca="1">AVERAGE(OFFSET($DS$3,0,0,'Données projet'!$E$14+1,1))-AVERAGE(OFFSET($H$3,0,0,'Données projet'!$E$14+1,1))</f>
        <v>778.88878505968955</v>
      </c>
      <c r="DU53" s="59">
        <f t="shared" si="44"/>
        <v>279.20782832611059</v>
      </c>
      <c r="DV53" s="15">
        <f>IF(ISNA(VLOOKUP(A53,'Données projet'!$A$165:$I$185,3,0)),0,VLOOKUP(A53,'Données projet'!$A$165:$I$185,3,0))</f>
        <v>3</v>
      </c>
      <c r="DW53" s="15">
        <f>IF(ISNA(VLOOKUP(A53,'Données projet'!$A$165:$I$185,4,0)),0,VLOOKUP(A53,'Données projet'!$A$165:$I$185,4,0))</f>
        <v>66.62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67.352820691159053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67.352820691159053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369.00000000000011</v>
      </c>
      <c r="O54" s="13">
        <f>N54*VLOOKUP('Données projet'!$B$9,Paramètres!$A$1:$I$89,3,0)*VLOOKUP('Données projet'!$B$9,Paramètres!$A$1:$I$89,5,0)</f>
        <v>333.87120000000004</v>
      </c>
      <c r="P54" s="13">
        <f t="shared" si="33"/>
        <v>78.232360111376309</v>
      </c>
      <c r="Q54" s="20">
        <f t="shared" si="53"/>
        <v>717.74703386064709</v>
      </c>
      <c r="R54" s="59">
        <f t="shared" si="0"/>
        <v>1011.0803671939805</v>
      </c>
      <c r="S54" s="59">
        <f ca="1">AVERAGE(OFFSET($R$3,0,0,'Données projet'!$E$9+1,1))-AVERAGE(OFFSET($H$3,0,0,'Données projet'!$E$9+1,1))</f>
        <v>436.4497226650281</v>
      </c>
      <c r="T54" s="59">
        <f t="shared" si="34"/>
        <v>611.43967996341871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6.9743839955046312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6.9743839955046312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630</v>
      </c>
      <c r="AJ54" s="13">
        <f>AI54*VLOOKUP('Données projet'!$B$10,Paramètres!$A$1:$I$89,3,0)*VLOOKUP('Données projet'!$B$10,Paramètres!$A$1:$I$89,5,0)</f>
        <v>550.36800000000005</v>
      </c>
      <c r="AK54" s="13">
        <f t="shared" si="35"/>
        <v>121.67271812244785</v>
      </c>
      <c r="AL54" s="20">
        <f t="shared" si="4"/>
        <v>1170.4709173965966</v>
      </c>
      <c r="AM54" s="59">
        <f t="shared" si="5"/>
        <v>1463.8042507299299</v>
      </c>
      <c r="AN54" s="59">
        <f ca="1">AVERAGE(OFFSET($AM$3,0,0,'Données projet'!$E$10+1,1))-AVERAGE(OFFSET($H$3,0,0,'Données projet'!$E$10+1,1))</f>
        <v>662.13838733542616</v>
      </c>
      <c r="AO54" s="59">
        <f t="shared" si="36"/>
        <v>1194.915361841041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16.972857142857134</v>
      </c>
      <c r="BD54" s="12">
        <f>IF('Données projet'!$A$88&gt;35,BD53+BC54-BL53,IF(A54&lt;'Données projet'!$A$88,$BA$205^A54,IF(A54='Données projet'!$A$88,'Données projet'!$B$88,BD53+BC54-BL53)))</f>
        <v>299.28571428571468</v>
      </c>
      <c r="BE54" s="13">
        <f>BD54*VLOOKUP('Données projet'!$B$11,Paramètres!$A$1:$I$89,3,0)*VLOOKUP('Données projet'!$B$11,Paramètres!$A$1:$I$89,5,0)</f>
        <v>140.06571428571445</v>
      </c>
      <c r="BF54" s="13">
        <f t="shared" si="37"/>
        <v>36.312059303889946</v>
      </c>
      <c r="BG54" s="20">
        <f t="shared" si="7"/>
        <v>307.19128900189429</v>
      </c>
      <c r="BH54" s="59">
        <f t="shared" si="8"/>
        <v>600.5246223352276</v>
      </c>
      <c r="BI54" s="59">
        <f ca="1">AVERAGE(OFFSET($BH$3,0,0,'Données projet'!$E$11+1,1))-AVERAGE(OFFSET($H$3,0,0,'Données projet'!$E$11+1,1))</f>
        <v>321.82962838167799</v>
      </c>
      <c r="BJ54" s="59">
        <f t="shared" si="38"/>
        <v>243.43396255104295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84.983351493310678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84.983351493310678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187.80389738728508</v>
      </c>
      <c r="CE54" s="59">
        <f t="shared" si="40"/>
        <v>439.28159165815265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81.486120464987749</v>
      </c>
      <c r="CL54" s="21">
        <f>EXP(-LN(2)/25)*CL53+(1-EXP(-LN(2)/25))/(LN(2)/25)*Calculateur!CG54*Calculateur!CI54*VLOOKUP('Données projet'!$B$12,Paramètres!$A$1:$I$89,3,0)*0.475*44/12</f>
        <v>8.0317915469579741</v>
      </c>
      <c r="CM54" s="21">
        <f>EXP(-LN(2)/2)*CM53+(1-EXP(-LN(2)/2))/(LN(2)/2)*CG54*CJ54*VLOOKUP('Données projet'!$B$12,Paramètres!$A$1:$I$89,3,0)*0.475*44/12</f>
        <v>3.1047792324371893E-5</v>
      </c>
      <c r="CN54" s="22">
        <f t="shared" si="12"/>
        <v>89.517943059738045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10.118749999999999</v>
      </c>
      <c r="CT54" s="12">
        <f>IF('Données projet'!$A$140&gt;35,CT53+CS54-DB53,IF(A54&lt;'Données projet'!$A$140,$CQ$205^A54,IF(A54='Données projet'!$A$140,'Données projet'!$B$140,CT53+CS54-DB53)))</f>
        <v>182.86874999999998</v>
      </c>
      <c r="CU54" s="17">
        <f>CT54*VLOOKUP('Données projet'!$B$13,Paramètres!$A$1:$I$89,3,0)*VLOOKUP('Données projet'!$B$13,Paramètres!$A$1:$I$89,5,0)</f>
        <v>208.25093249999998</v>
      </c>
      <c r="CV54" s="13">
        <f t="shared" si="41"/>
        <v>51.553184591235386</v>
      </c>
      <c r="CW54" s="20">
        <f t="shared" si="13"/>
        <v>452.49217060056822</v>
      </c>
      <c r="CX54" s="59">
        <f t="shared" si="14"/>
        <v>745.82550393390147</v>
      </c>
      <c r="CY54" s="59">
        <f ca="1">AVERAGE(OFFSET($CX$3,0,0,'Données projet'!$E$13+1,1))-AVERAGE(OFFSET($H$3,0,0,'Données projet'!$E$13+1,1))</f>
        <v>770.11410336045037</v>
      </c>
      <c r="CZ54" s="59">
        <f t="shared" si="42"/>
        <v>227.12611049004596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38.455071656158225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38.455071656158225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13.559999999999995</v>
      </c>
      <c r="DO54" s="12">
        <f>IF('Données projet'!$A$166&gt;35,DO53+DN54-DW53,IF(A54&lt;'Données projet'!$A$166,$DL$205^A54,IF(A54='Données projet'!$A$166,'Données projet'!$B$166,DO53+DN54-DW53)))</f>
        <v>251.66000000000003</v>
      </c>
      <c r="DP54" s="17">
        <f>DO54*VLOOKUP('Données projet'!$B$14,Paramètres!$A$1:$I$89,3,0)*VLOOKUP('Données projet'!$B$14,Paramètres!$A$1:$I$89,5,0)</f>
        <v>255.18324000000001</v>
      </c>
      <c r="DQ54" s="13">
        <f t="shared" si="43"/>
        <v>61.694524622951683</v>
      </c>
      <c r="DR54" s="20">
        <f t="shared" si="16"/>
        <v>551.89544005164078</v>
      </c>
      <c r="DS54" s="59">
        <f t="shared" si="17"/>
        <v>845.22877338497415</v>
      </c>
      <c r="DT54" s="59">
        <f ca="1">AVERAGE(OFFSET($DS$3,0,0,'Données projet'!$E$14+1,1))-AVERAGE(OFFSET($H$3,0,0,'Données projet'!$E$14+1,1))</f>
        <v>778.88878505968955</v>
      </c>
      <c r="DU54" s="59">
        <f t="shared" si="44"/>
        <v>279.20782832611059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66.032072958569614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66.032072958569614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369.00000000000011</v>
      </c>
      <c r="O55" s="13">
        <f>N55*VLOOKUP('Données projet'!$B$9,Paramètres!$A$1:$I$89,3,0)*VLOOKUP('Données projet'!$B$9,Paramètres!$A$1:$I$89,5,0)</f>
        <v>333.87120000000004</v>
      </c>
      <c r="P55" s="13">
        <f t="shared" si="33"/>
        <v>78.232360111376309</v>
      </c>
      <c r="Q55" s="20">
        <f t="shared" si="53"/>
        <v>717.74703386064709</v>
      </c>
      <c r="R55" s="59">
        <f t="shared" si="0"/>
        <v>1011.0803671939805</v>
      </c>
      <c r="S55" s="59">
        <f ca="1">AVERAGE(OFFSET($R$3,0,0,'Données projet'!$E$9+1,1))-AVERAGE(OFFSET($H$3,0,0,'Données projet'!$E$9+1,1))</f>
        <v>436.4497226650281</v>
      </c>
      <c r="T55" s="59">
        <f t="shared" si="34"/>
        <v>611.43967996341871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6.8376205793069795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6.8376205793069795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630</v>
      </c>
      <c r="AJ55" s="13">
        <f>AI55*VLOOKUP('Données projet'!$B$10,Paramètres!$A$1:$I$89,3,0)*VLOOKUP('Données projet'!$B$10,Paramètres!$A$1:$I$89,5,0)</f>
        <v>550.36800000000005</v>
      </c>
      <c r="AK55" s="13">
        <f t="shared" si="35"/>
        <v>121.67271812244785</v>
      </c>
      <c r="AL55" s="20">
        <f t="shared" si="4"/>
        <v>1170.4709173965966</v>
      </c>
      <c r="AM55" s="59">
        <f t="shared" si="5"/>
        <v>1463.8042507299299</v>
      </c>
      <c r="AN55" s="59">
        <f ca="1">AVERAGE(OFFSET($AM$3,0,0,'Données projet'!$E$10+1,1))-AVERAGE(OFFSET($H$3,0,0,'Données projet'!$E$10+1,1))</f>
        <v>662.13838733542616</v>
      </c>
      <c r="AO55" s="59">
        <f t="shared" si="36"/>
        <v>1194.915361841041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16.972857142857134</v>
      </c>
      <c r="BD55" s="12">
        <f>IF('Données projet'!$A$88&gt;35,BD54+BC55-BL54,IF(A55&lt;'Données projet'!$A$88,$BA$205^A55,IF(A55='Données projet'!$A$88,'Données projet'!$B$88,BD54+BC55-BL54)))</f>
        <v>316.25857142857183</v>
      </c>
      <c r="BE55" s="13">
        <f>BD55*VLOOKUP('Données projet'!$B$11,Paramètres!$A$1:$I$89,3,0)*VLOOKUP('Données projet'!$B$11,Paramètres!$A$1:$I$89,5,0)</f>
        <v>148.00901142857163</v>
      </c>
      <c r="BF55" s="13">
        <f t="shared" si="37"/>
        <v>38.125775058500331</v>
      </c>
      <c r="BG55" s="20">
        <f t="shared" si="7"/>
        <v>324.18475313165033</v>
      </c>
      <c r="BH55" s="59">
        <f t="shared" si="8"/>
        <v>617.51808646498364</v>
      </c>
      <c r="BI55" s="59">
        <f ca="1">AVERAGE(OFFSET($BH$3,0,0,'Données projet'!$E$11+1,1))-AVERAGE(OFFSET($H$3,0,0,'Données projet'!$E$11+1,1))</f>
        <v>321.82962838167799</v>
      </c>
      <c r="BJ55" s="59">
        <f t="shared" si="38"/>
        <v>243.43396255104295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83.316879805253009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83.316879805253009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187.80389738728508</v>
      </c>
      <c r="CE55" s="59">
        <f t="shared" si="40"/>
        <v>439.28159165815265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79.888227344295188</v>
      </c>
      <c r="CL55" s="21">
        <f>EXP(-LN(2)/25)*CL54+(1-EXP(-LN(2)/25))/(LN(2)/25)*Calculateur!CG55*Calculateur!CI55*VLOOKUP('Données projet'!$B$12,Paramètres!$A$1:$I$89,3,0)*0.475*44/12</f>
        <v>7.8121617847328482</v>
      </c>
      <c r="CM55" s="21">
        <f>EXP(-LN(2)/2)*CM54+(1-EXP(-LN(2)/2))/(LN(2)/2)*CG55*CJ55*VLOOKUP('Données projet'!$B$12,Paramètres!$A$1:$I$89,3,0)*0.475*44/12</f>
        <v>2.1954104493435006E-5</v>
      </c>
      <c r="CN55" s="22">
        <f t="shared" si="12"/>
        <v>87.700411083132536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10.118749999999999</v>
      </c>
      <c r="CT55" s="12">
        <f>IF('Données projet'!$A$140&gt;35,CT54+CS55-DB54,IF(A55&lt;'Données projet'!$A$140,$CQ$205^A55,IF(A55='Données projet'!$A$140,'Données projet'!$B$140,CT54+CS55-DB54)))</f>
        <v>192.98749999999998</v>
      </c>
      <c r="CU55" s="17">
        <f>CT55*VLOOKUP('Données projet'!$B$13,Paramètres!$A$1:$I$89,3,0)*VLOOKUP('Données projet'!$B$13,Paramètres!$A$1:$I$89,5,0)</f>
        <v>219.77416499999998</v>
      </c>
      <c r="CV55" s="13">
        <f t="shared" si="41"/>
        <v>54.065798665568828</v>
      </c>
      <c r="CW55" s="20">
        <f t="shared" si="13"/>
        <v>476.9379367175323</v>
      </c>
      <c r="CX55" s="59">
        <f t="shared" si="14"/>
        <v>770.27127005086561</v>
      </c>
      <c r="CY55" s="59">
        <f ca="1">AVERAGE(OFFSET($CX$3,0,0,'Données projet'!$E$13+1,1))-AVERAGE(OFFSET($H$3,0,0,'Données projet'!$E$13+1,1))</f>
        <v>770.11410336045037</v>
      </c>
      <c r="CZ55" s="59">
        <f t="shared" si="42"/>
        <v>227.12611049004596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37.700991156258659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37.700991156258659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13.559999999999995</v>
      </c>
      <c r="DO55" s="12">
        <f>IF('Données projet'!$A$166&gt;35,DO54+DN55-DW54,IF(A55&lt;'Données projet'!$A$166,$DL$205^A55,IF(A55='Données projet'!$A$166,'Données projet'!$B$166,DO54+DN55-DW54)))</f>
        <v>265.22000000000003</v>
      </c>
      <c r="DP55" s="17">
        <f>DO55*VLOOKUP('Données projet'!$B$14,Paramètres!$A$1:$I$89,3,0)*VLOOKUP('Données projet'!$B$14,Paramètres!$A$1:$I$89,5,0)</f>
        <v>268.93308000000007</v>
      </c>
      <c r="DQ55" s="13">
        <f t="shared" si="43"/>
        <v>64.622789785966404</v>
      </c>
      <c r="DR55" s="20">
        <f t="shared" si="16"/>
        <v>580.94313987722501</v>
      </c>
      <c r="DS55" s="59">
        <f t="shared" si="17"/>
        <v>874.27647321055838</v>
      </c>
      <c r="DT55" s="59">
        <f ca="1">AVERAGE(OFFSET($DS$3,0,0,'Données projet'!$E$14+1,1))-AVERAGE(OFFSET($H$3,0,0,'Données projet'!$E$14+1,1))</f>
        <v>778.88878505968955</v>
      </c>
      <c r="DU55" s="59">
        <f t="shared" si="44"/>
        <v>279.20782832611059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64.737224283439687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64.737224283439687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369.00000000000011</v>
      </c>
      <c r="O56" s="13">
        <f>N56*VLOOKUP('Données projet'!$B$9,Paramètres!$A$1:$I$89,3,0)*VLOOKUP('Données projet'!$B$9,Paramètres!$A$1:$I$89,5,0)</f>
        <v>333.87120000000004</v>
      </c>
      <c r="P56" s="13">
        <f t="shared" si="33"/>
        <v>78.232360111376309</v>
      </c>
      <c r="Q56" s="20">
        <f t="shared" si="53"/>
        <v>717.74703386064709</v>
      </c>
      <c r="R56" s="59">
        <f t="shared" si="0"/>
        <v>1011.0803671939805</v>
      </c>
      <c r="S56" s="59">
        <f ca="1">AVERAGE(OFFSET($R$3,0,0,'Données projet'!$E$9+1,1))-AVERAGE(OFFSET($H$3,0,0,'Données projet'!$E$9+1,1))</f>
        <v>436.4497226650281</v>
      </c>
      <c r="T56" s="59">
        <f t="shared" si="34"/>
        <v>611.43967996341871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6.7035390102835164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6.7035390102835164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630</v>
      </c>
      <c r="AJ56" s="13">
        <f>AI56*VLOOKUP('Données projet'!$B$10,Paramètres!$A$1:$I$89,3,0)*VLOOKUP('Données projet'!$B$10,Paramètres!$A$1:$I$89,5,0)</f>
        <v>550.36800000000005</v>
      </c>
      <c r="AK56" s="13">
        <f t="shared" si="35"/>
        <v>121.67271812244785</v>
      </c>
      <c r="AL56" s="20">
        <f t="shared" si="4"/>
        <v>1170.4709173965966</v>
      </c>
      <c r="AM56" s="59">
        <f t="shared" si="5"/>
        <v>1463.8042507299299</v>
      </c>
      <c r="AN56" s="59">
        <f ca="1">AVERAGE(OFFSET($AM$3,0,0,'Données projet'!$E$10+1,1))-AVERAGE(OFFSET($H$3,0,0,'Données projet'!$E$10+1,1))</f>
        <v>662.13838733542616</v>
      </c>
      <c r="AO56" s="59">
        <f t="shared" si="36"/>
        <v>1194.915361841041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16.972857142857134</v>
      </c>
      <c r="BD56" s="12">
        <f>IF('Données projet'!$A$88&gt;35,BD55+BC56-BL55,IF(A56&lt;'Données projet'!$A$88,$BA$205^A56,IF(A56='Données projet'!$A$88,'Données projet'!$B$88,BD55+BC56-BL55)))</f>
        <v>333.23142857142898</v>
      </c>
      <c r="BE56" s="13">
        <f>BD56*VLOOKUP('Données projet'!$B$11,Paramètres!$A$1:$I$89,3,0)*VLOOKUP('Données projet'!$B$11,Paramètres!$A$1:$I$89,5,0)</f>
        <v>155.95230857142877</v>
      </c>
      <c r="BF56" s="13">
        <f t="shared" si="37"/>
        <v>39.928190273182487</v>
      </c>
      <c r="BG56" s="20">
        <f t="shared" si="7"/>
        <v>341.15853548769792</v>
      </c>
      <c r="BH56" s="59">
        <f t="shared" si="8"/>
        <v>634.49186882103118</v>
      </c>
      <c r="BI56" s="59">
        <f ca="1">AVERAGE(OFFSET($BH$3,0,0,'Données projet'!$E$11+1,1))-AVERAGE(OFFSET($H$3,0,0,'Données projet'!$E$11+1,1))</f>
        <v>321.82962838167799</v>
      </c>
      <c r="BJ56" s="59">
        <f t="shared" si="38"/>
        <v>243.43396255104295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81.683086610550788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81.683086610550788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187.80389738728508</v>
      </c>
      <c r="CE56" s="59">
        <f t="shared" si="40"/>
        <v>439.28159165815265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78.321667933080846</v>
      </c>
      <c r="CL56" s="21">
        <f>EXP(-LN(2)/25)*CL55+(1-EXP(-LN(2)/25))/(LN(2)/25)*Calculateur!CG56*Calculateur!CI56*VLOOKUP('Données projet'!$B$12,Paramètres!$A$1:$I$89,3,0)*0.475*44/12</f>
        <v>7.5985378099055954</v>
      </c>
      <c r="CM56" s="21">
        <f>EXP(-LN(2)/2)*CM55+(1-EXP(-LN(2)/2))/(LN(2)/2)*CG56*CJ56*VLOOKUP('Données projet'!$B$12,Paramètres!$A$1:$I$89,3,0)*0.475*44/12</f>
        <v>1.5523896162185947E-5</v>
      </c>
      <c r="CN56" s="22">
        <f t="shared" si="12"/>
        <v>85.920221266882606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10.118749999999999</v>
      </c>
      <c r="CT56" s="12">
        <f>IF('Données projet'!$A$140&gt;35,CT55+CS56-DB55,IF(A56&lt;'Données projet'!$A$140,$CQ$205^A56,IF(A56='Données projet'!$A$140,'Données projet'!$B$140,CT55+CS56-DB55)))</f>
        <v>203.10624999999999</v>
      </c>
      <c r="CU56" s="17">
        <f>CT56*VLOOKUP('Données projet'!$B$13,Paramètres!$A$1:$I$89,3,0)*VLOOKUP('Données projet'!$B$13,Paramètres!$A$1:$I$89,5,0)</f>
        <v>231.29739750000002</v>
      </c>
      <c r="CV56" s="13">
        <f t="shared" si="41"/>
        <v>56.563117299882443</v>
      </c>
      <c r="CW56" s="20">
        <f t="shared" si="13"/>
        <v>501.35706327646199</v>
      </c>
      <c r="CX56" s="59">
        <f t="shared" si="14"/>
        <v>794.69039660979524</v>
      </c>
      <c r="CY56" s="59">
        <f ca="1">AVERAGE(OFFSET($CX$3,0,0,'Données projet'!$E$13+1,1))-AVERAGE(OFFSET($H$3,0,0,'Données projet'!$E$13+1,1))</f>
        <v>770.11410336045037</v>
      </c>
      <c r="CZ56" s="59">
        <f t="shared" si="42"/>
        <v>227.12611049004596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36.961697715018431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36.961697715018431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13.559999999999995</v>
      </c>
      <c r="DO56" s="12">
        <f>IF('Données projet'!$A$166&gt;35,DO55+DN56-DW55,IF(A56&lt;'Données projet'!$A$166,$DL$205^A56,IF(A56='Données projet'!$A$166,'Données projet'!$B$166,DO55+DN56-DW55)))</f>
        <v>278.78000000000003</v>
      </c>
      <c r="DP56" s="17">
        <f>DO56*VLOOKUP('Données projet'!$B$14,Paramètres!$A$1:$I$89,3,0)*VLOOKUP('Données projet'!$B$14,Paramètres!$A$1:$I$89,5,0)</f>
        <v>282.68292000000002</v>
      </c>
      <c r="DQ56" s="13">
        <f t="shared" si="43"/>
        <v>67.533671940336532</v>
      </c>
      <c r="DR56" s="20">
        <f t="shared" si="16"/>
        <v>609.9605642960862</v>
      </c>
      <c r="DS56" s="59">
        <f t="shared" si="17"/>
        <v>903.29389762941946</v>
      </c>
      <c r="DT56" s="59">
        <f ca="1">AVERAGE(OFFSET($DS$3,0,0,'Données projet'!$E$14+1,1))-AVERAGE(OFFSET($H$3,0,0,'Données projet'!$E$14+1,1))</f>
        <v>778.88878505968955</v>
      </c>
      <c r="DU56" s="59">
        <f t="shared" si="44"/>
        <v>279.20782832611059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63.467766801049351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63.467766801049351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369.00000000000011</v>
      </c>
      <c r="O57" s="13">
        <f>N57*VLOOKUP('Données projet'!$B$9,Paramètres!$A$1:$I$89,3,0)*VLOOKUP('Données projet'!$B$9,Paramètres!$A$1:$I$89,5,0)</f>
        <v>333.87120000000004</v>
      </c>
      <c r="P57" s="13">
        <f t="shared" si="33"/>
        <v>78.232360111376309</v>
      </c>
      <c r="Q57" s="20">
        <f t="shared" si="53"/>
        <v>717.74703386064709</v>
      </c>
      <c r="R57" s="59">
        <f t="shared" si="0"/>
        <v>1011.0803671939805</v>
      </c>
      <c r="S57" s="59">
        <f ca="1">AVERAGE(OFFSET($R$3,0,0,'Données projet'!$E$9+1,1))-AVERAGE(OFFSET($H$3,0,0,'Données projet'!$E$9+1,1))</f>
        <v>436.4497226650281</v>
      </c>
      <c r="T57" s="59">
        <f t="shared" si="34"/>
        <v>611.43967996341871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6.5720866990469222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6.5720866990469222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630</v>
      </c>
      <c r="AJ57" s="13">
        <f>AI57*VLOOKUP('Données projet'!$B$10,Paramètres!$A$1:$I$89,3,0)*VLOOKUP('Données projet'!$B$10,Paramètres!$A$1:$I$89,5,0)</f>
        <v>550.36800000000005</v>
      </c>
      <c r="AK57" s="13">
        <f t="shared" si="35"/>
        <v>121.67271812244785</v>
      </c>
      <c r="AL57" s="20">
        <f t="shared" si="4"/>
        <v>1170.4709173965966</v>
      </c>
      <c r="AM57" s="59">
        <f t="shared" si="5"/>
        <v>1463.8042507299299</v>
      </c>
      <c r="AN57" s="59">
        <f ca="1">AVERAGE(OFFSET($AM$3,0,0,'Données projet'!$E$10+1,1))-AVERAGE(OFFSET($H$3,0,0,'Données projet'!$E$10+1,1))</f>
        <v>662.13838733542616</v>
      </c>
      <c r="AO57" s="59">
        <f t="shared" si="36"/>
        <v>1194.915361841041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16.972857142857134</v>
      </c>
      <c r="BD57" s="12">
        <f>IF('Données projet'!$A$88&gt;35,BD56+BC57-BL56,IF(A57&lt;'Données projet'!$A$88,$BA$205^A57,IF(A57='Données projet'!$A$88,'Données projet'!$B$88,BD56+BC57-BL56)))</f>
        <v>350.20428571428613</v>
      </c>
      <c r="BE57" s="13">
        <f>BD57*VLOOKUP('Données projet'!$B$11,Paramètres!$A$1:$I$89,3,0)*VLOOKUP('Données projet'!$B$11,Paramètres!$A$1:$I$89,5,0)</f>
        <v>163.89560571428589</v>
      </c>
      <c r="BF57" s="13">
        <f t="shared" si="37"/>
        <v>41.719946196221798</v>
      </c>
      <c r="BG57" s="20">
        <f t="shared" si="7"/>
        <v>358.11375291080088</v>
      </c>
      <c r="BH57" s="59">
        <f t="shared" si="8"/>
        <v>651.4470862441342</v>
      </c>
      <c r="BI57" s="59">
        <f ca="1">AVERAGE(OFFSET($BH$3,0,0,'Données projet'!$E$11+1,1))-AVERAGE(OFFSET($H$3,0,0,'Données projet'!$E$11+1,1))</f>
        <v>321.82962838167799</v>
      </c>
      <c r="BJ57" s="59">
        <f t="shared" si="38"/>
        <v>243.43396255104295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80.081331103881226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80.081331103881226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187.80389738728508</v>
      </c>
      <c r="CE57" s="59">
        <f t="shared" si="40"/>
        <v>439.28159165815265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76.785827796413528</v>
      </c>
      <c r="CL57" s="21">
        <f>EXP(-LN(2)/25)*CL56+(1-EXP(-LN(2)/25))/(LN(2)/25)*Calculateur!CG57*Calculateur!CI57*VLOOKUP('Données projet'!$B$12,Paramètres!$A$1:$I$89,3,0)*0.475*44/12</f>
        <v>7.3907553939039898</v>
      </c>
      <c r="CM57" s="21">
        <f>EXP(-LN(2)/2)*CM56+(1-EXP(-LN(2)/2))/(LN(2)/2)*CG57*CJ57*VLOOKUP('Données projet'!$B$12,Paramètres!$A$1:$I$89,3,0)*0.475*44/12</f>
        <v>1.0977052246717503E-5</v>
      </c>
      <c r="CN57" s="22">
        <f t="shared" si="12"/>
        <v>84.176594167369757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10.118749999999999</v>
      </c>
      <c r="CT57" s="12">
        <f>IF('Données projet'!$A$140&gt;35,CT56+CS57-DB56,IF(A57&lt;'Données projet'!$A$140,$CQ$205^A57,IF(A57='Données projet'!$A$140,'Données projet'!$B$140,CT56+CS57-DB56)))</f>
        <v>213.22499999999999</v>
      </c>
      <c r="CU57" s="17">
        <f>CT57*VLOOKUP('Données projet'!$B$13,Paramètres!$A$1:$I$89,3,0)*VLOOKUP('Données projet'!$B$13,Paramètres!$A$1:$I$89,5,0)</f>
        <v>242.82062999999999</v>
      </c>
      <c r="CV57" s="13">
        <f t="shared" si="41"/>
        <v>59.045989469043064</v>
      </c>
      <c r="CW57" s="20">
        <f t="shared" si="13"/>
        <v>525.75102890858318</v>
      </c>
      <c r="CX57" s="59">
        <f t="shared" si="14"/>
        <v>819.08436224191655</v>
      </c>
      <c r="CY57" s="59">
        <f ca="1">AVERAGE(OFFSET($CX$3,0,0,'Données projet'!$E$13+1,1))-AVERAGE(OFFSET($H$3,0,0,'Données projet'!$E$13+1,1))</f>
        <v>770.11410336045037</v>
      </c>
      <c r="CZ57" s="59">
        <f t="shared" si="42"/>
        <v>227.12611049004596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36.236901367236449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36.236901367236449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13.559999999999995</v>
      </c>
      <c r="DO57" s="12">
        <f>IF('Données projet'!$A$166&gt;35,DO56+DN57-DW56,IF(A57&lt;'Données projet'!$A$166,$DL$205^A57,IF(A57='Données projet'!$A$166,'Données projet'!$B$166,DO56+DN57-DW56)))</f>
        <v>292.34000000000003</v>
      </c>
      <c r="DP57" s="17">
        <f>DO57*VLOOKUP('Données projet'!$B$14,Paramètres!$A$1:$I$89,3,0)*VLOOKUP('Données projet'!$B$14,Paramètres!$A$1:$I$89,5,0)</f>
        <v>296.43276000000003</v>
      </c>
      <c r="DQ57" s="13">
        <f t="shared" si="43"/>
        <v>70.42811311586739</v>
      </c>
      <c r="DR57" s="20">
        <f t="shared" si="16"/>
        <v>638.94935401013572</v>
      </c>
      <c r="DS57" s="59">
        <f t="shared" si="17"/>
        <v>932.28268734346898</v>
      </c>
      <c r="DT57" s="59">
        <f ca="1">AVERAGE(OFFSET($DS$3,0,0,'Données projet'!$E$14+1,1))-AVERAGE(OFFSET($H$3,0,0,'Données projet'!$E$14+1,1))</f>
        <v>778.88878505968955</v>
      </c>
      <c r="DU57" s="59">
        <f t="shared" si="44"/>
        <v>279.20782832611059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62.223202605596079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62.223202605596079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369.00000000000011</v>
      </c>
      <c r="O58" s="13">
        <f>N58*VLOOKUP('Données projet'!$B$9,Paramètres!$A$1:$I$89,3,0)*VLOOKUP('Données projet'!$B$9,Paramètres!$A$1:$I$89,5,0)</f>
        <v>333.87120000000004</v>
      </c>
      <c r="P58" s="13">
        <f t="shared" si="33"/>
        <v>78.232360111376309</v>
      </c>
      <c r="Q58" s="20">
        <f t="shared" si="53"/>
        <v>717.74703386064709</v>
      </c>
      <c r="R58" s="59">
        <f t="shared" si="0"/>
        <v>1011.0803671939805</v>
      </c>
      <c r="S58" s="59">
        <f ca="1">AVERAGE(OFFSET($R$3,0,0,'Données projet'!$E$9+1,1))-AVERAGE(OFFSET($H$3,0,0,'Données projet'!$E$9+1,1))</f>
        <v>436.4497226650281</v>
      </c>
      <c r="T58" s="59">
        <f t="shared" si="34"/>
        <v>611.43967996341871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6.4432120874556844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6.4432120874556844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630</v>
      </c>
      <c r="AJ58" s="13">
        <f>AI58*VLOOKUP('Données projet'!$B$10,Paramètres!$A$1:$I$89,3,0)*VLOOKUP('Données projet'!$B$10,Paramètres!$A$1:$I$89,5,0)</f>
        <v>550.36800000000005</v>
      </c>
      <c r="AK58" s="13">
        <f t="shared" si="35"/>
        <v>121.67271812244785</v>
      </c>
      <c r="AL58" s="20">
        <f t="shared" si="4"/>
        <v>1170.4709173965966</v>
      </c>
      <c r="AM58" s="59">
        <f t="shared" si="5"/>
        <v>1463.8042507299299</v>
      </c>
      <c r="AN58" s="59">
        <f ca="1">AVERAGE(OFFSET($AM$3,0,0,'Données projet'!$E$10+1,1))-AVERAGE(OFFSET($H$3,0,0,'Données projet'!$E$10+1,1))</f>
        <v>662.13838733542616</v>
      </c>
      <c r="AO58" s="59">
        <f t="shared" si="36"/>
        <v>1194.915361841041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16.972857142857134</v>
      </c>
      <c r="BD58" s="12">
        <f>IF('Données projet'!$A$88&gt;35,BD57+BC58-BL57,IF(A58&lt;'Données projet'!$A$88,$BA$205^A58,IF(A58='Données projet'!$A$88,'Données projet'!$B$88,BD57+BC58-BL57)))</f>
        <v>367.17714285714328</v>
      </c>
      <c r="BE58" s="13">
        <f>BD58*VLOOKUP('Données projet'!$B$11,Paramètres!$A$1:$I$89,3,0)*VLOOKUP('Données projet'!$B$11,Paramètres!$A$1:$I$89,5,0)</f>
        <v>171.83890285714307</v>
      </c>
      <c r="BF58" s="13">
        <f t="shared" si="37"/>
        <v>43.501618407139496</v>
      </c>
      <c r="BG58" s="20">
        <f t="shared" si="7"/>
        <v>375.0514078686254</v>
      </c>
      <c r="BH58" s="59">
        <f t="shared" si="8"/>
        <v>668.38474120195872</v>
      </c>
      <c r="BI58" s="59">
        <f ca="1">AVERAGE(OFFSET($BH$3,0,0,'Données projet'!$E$11+1,1))-AVERAGE(OFFSET($H$3,0,0,'Données projet'!$E$11+1,1))</f>
        <v>321.82962838167799</v>
      </c>
      <c r="BJ58" s="59">
        <f t="shared" si="38"/>
        <v>243.43396255104295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78.510985045723061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78.510985045723061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187.80389738728508</v>
      </c>
      <c r="CE58" s="59">
        <f t="shared" si="40"/>
        <v>439.28159165815265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75.280104548056272</v>
      </c>
      <c r="CL58" s="21">
        <f>EXP(-LN(2)/25)*CL57+(1-EXP(-LN(2)/25))/(LN(2)/25)*Calculateur!CG58*Calculateur!CI58*VLOOKUP('Données projet'!$B$12,Paramètres!$A$1:$I$89,3,0)*0.475*44/12</f>
        <v>7.1886547989947509</v>
      </c>
      <c r="CM58" s="21">
        <f>EXP(-LN(2)/2)*CM57+(1-EXP(-LN(2)/2))/(LN(2)/2)*CG58*CJ58*VLOOKUP('Données projet'!$B$12,Paramètres!$A$1:$I$89,3,0)*0.475*44/12</f>
        <v>7.7619480810929733E-6</v>
      </c>
      <c r="CN58" s="22">
        <f t="shared" si="12"/>
        <v>82.468767108999103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10.118749999999999</v>
      </c>
      <c r="CT58" s="12">
        <f>IF('Données projet'!$A$140&gt;35,CT57+CS58-DB57,IF(A58&lt;'Données projet'!$A$140,$CQ$205^A58,IF(A58='Données projet'!$A$140,'Données projet'!$B$140,CT57+CS58-DB57)))</f>
        <v>223.34375</v>
      </c>
      <c r="CU58" s="17">
        <f>CT58*VLOOKUP('Données projet'!$B$13,Paramètres!$A$1:$I$89,3,0)*VLOOKUP('Données projet'!$B$13,Paramètres!$A$1:$I$89,5,0)</f>
        <v>254.34386249999997</v>
      </c>
      <c r="CV58" s="13">
        <f t="shared" si="41"/>
        <v>61.515179017267748</v>
      </c>
      <c r="CW58" s="20">
        <f t="shared" si="13"/>
        <v>550.12116397590796</v>
      </c>
      <c r="CX58" s="59">
        <f t="shared" si="14"/>
        <v>843.45449730924133</v>
      </c>
      <c r="CY58" s="59">
        <f ca="1">AVERAGE(OFFSET($CX$3,0,0,'Données projet'!$E$13+1,1))-AVERAGE(OFFSET($H$3,0,0,'Données projet'!$E$13+1,1))</f>
        <v>770.11410336045037</v>
      </c>
      <c r="CZ58" s="59">
        <f t="shared" si="42"/>
        <v>227.12611049004596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35.526317833752351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35.526317833752351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13.559999999999995</v>
      </c>
      <c r="DO58" s="12">
        <f>IF('Données projet'!$A$166&gt;35,DO57+DN58-DW57,IF(A58&lt;'Données projet'!$A$166,$DL$205^A58,IF(A58='Données projet'!$A$166,'Données projet'!$B$166,DO57+DN58-DW57)))</f>
        <v>305.90000000000003</v>
      </c>
      <c r="DP58" s="17">
        <f>DO58*VLOOKUP('Données projet'!$B$14,Paramètres!$A$1:$I$89,3,0)*VLOOKUP('Données projet'!$B$14,Paramètres!$A$1:$I$89,5,0)</f>
        <v>310.18260000000009</v>
      </c>
      <c r="DQ58" s="13">
        <f t="shared" si="43"/>
        <v>73.306963012444854</v>
      </c>
      <c r="DR58" s="20">
        <f t="shared" si="16"/>
        <v>667.91098891334161</v>
      </c>
      <c r="DS58" s="59">
        <f t="shared" si="17"/>
        <v>961.24432224667498</v>
      </c>
      <c r="DT58" s="59">
        <f ca="1">AVERAGE(OFFSET($DS$3,0,0,'Données projet'!$E$14+1,1))-AVERAGE(OFFSET($H$3,0,0,'Données projet'!$E$14+1,1))</f>
        <v>778.88878505968955</v>
      </c>
      <c r="DU58" s="59">
        <f t="shared" si="44"/>
        <v>279.20782832611059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61.003043554906441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61.003043554906441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369.00000000000011</v>
      </c>
      <c r="O59" s="13">
        <f>N59*VLOOKUP('Données projet'!$B$9,Paramètres!$A$1:$I$89,3,0)*VLOOKUP('Données projet'!$B$9,Paramètres!$A$1:$I$89,5,0)</f>
        <v>333.87120000000004</v>
      </c>
      <c r="P59" s="13">
        <f t="shared" si="33"/>
        <v>78.232360111376309</v>
      </c>
      <c r="Q59" s="20">
        <f t="shared" si="53"/>
        <v>717.74703386064709</v>
      </c>
      <c r="R59" s="59">
        <f t="shared" si="0"/>
        <v>1011.0803671939805</v>
      </c>
      <c r="S59" s="59">
        <f ca="1">AVERAGE(OFFSET($R$3,0,0,'Données projet'!$E$9+1,1))-AVERAGE(OFFSET($H$3,0,0,'Données projet'!$E$9+1,1))</f>
        <v>436.4497226650281</v>
      </c>
      <c r="T59" s="59">
        <f t="shared" si="34"/>
        <v>611.43967996341871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6.3168646283919996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6.3168646283919996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630</v>
      </c>
      <c r="AJ59" s="13">
        <f>AI59*VLOOKUP('Données projet'!$B$10,Paramètres!$A$1:$I$89,3,0)*VLOOKUP('Données projet'!$B$10,Paramètres!$A$1:$I$89,5,0)</f>
        <v>550.36800000000005</v>
      </c>
      <c r="AK59" s="13">
        <f t="shared" si="35"/>
        <v>121.67271812244785</v>
      </c>
      <c r="AL59" s="20">
        <f t="shared" si="4"/>
        <v>1170.4709173965966</v>
      </c>
      <c r="AM59" s="59">
        <f t="shared" si="5"/>
        <v>1463.8042507299299</v>
      </c>
      <c r="AN59" s="59">
        <f ca="1">AVERAGE(OFFSET($AM$3,0,0,'Données projet'!$E$10+1,1))-AVERAGE(OFFSET($H$3,0,0,'Données projet'!$E$10+1,1))</f>
        <v>662.13838733542616</v>
      </c>
      <c r="AO59" s="59">
        <f t="shared" si="36"/>
        <v>1194.915361841041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384.15</v>
      </c>
      <c r="BB59" s="12">
        <f>VLOOKUP(A59,'Données projet'!$A$87:$I$107,9,0)</f>
        <v>16.972857142857134</v>
      </c>
      <c r="BC59" s="12">
        <f t="array" ref="BC59">INDEX(BB:BB,MIN(IF(ISNUMBER(BB59:BB255),ROW(BB59:BB255),"")))</f>
        <v>16.972857142857134</v>
      </c>
      <c r="BD59" s="12">
        <f>IF('Données projet'!$A$88&gt;35,BD58+BC59-BL58,IF(A59&lt;'Données projet'!$A$88,$BA$205^A59,IF(A59='Données projet'!$A$88,'Données projet'!$B$88,BD58+BC59-BL58)))</f>
        <v>384.15000000000043</v>
      </c>
      <c r="BE59" s="13">
        <f>BD59*VLOOKUP('Données projet'!$B$11,Paramètres!$A$1:$I$89,3,0)*VLOOKUP('Données projet'!$B$11,Paramètres!$A$1:$I$89,5,0)</f>
        <v>179.78220000000022</v>
      </c>
      <c r="BF59" s="13">
        <f t="shared" si="37"/>
        <v>45.273726265350682</v>
      </c>
      <c r="BG59" s="20">
        <f t="shared" si="7"/>
        <v>391.9724049121528</v>
      </c>
      <c r="BH59" s="59">
        <f t="shared" si="8"/>
        <v>685.30573824548605</v>
      </c>
      <c r="BI59" s="59">
        <f ca="1">AVERAGE(OFFSET($BH$3,0,0,'Données projet'!$E$11+1,1))-AVERAGE(OFFSET($H$3,0,0,'Données projet'!$E$11+1,1))</f>
        <v>321.82962838167799</v>
      </c>
      <c r="BJ59" s="59">
        <f t="shared" si="38"/>
        <v>243.43396255104295</v>
      </c>
      <c r="BK59" s="15">
        <f>IF(ISNA(VLOOKUP(A59,'Données projet'!$A$87:$I$107,3,0)),0,VLOOKUP(A59,'Données projet'!$A$87:$I$107,3,0))</f>
        <v>3</v>
      </c>
      <c r="BL59" s="15">
        <f>IF(ISNA(VLOOKUP(A59,'Données projet'!$A$87:$I$107,4,0)),0,VLOOKUP(A59,'Données projet'!$A$87:$I$107,4,0))</f>
        <v>79.39</v>
      </c>
      <c r="BM59" s="16">
        <f>IF(ISNA(VLOOKUP(A59,'Données projet'!$A$87:$I$107,5,0)),0%,VLOOKUP(A59,'Données projet'!$A$87:$I$107,5,0)*VLOOKUP('Données projet'!$B$11,Paramètres!$A$1:$I$89,7,0))</f>
        <v>0.55000000000000004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104.07975859095349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104.07975859095349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187.80389738728508</v>
      </c>
      <c r="CE59" s="59">
        <f t="shared" si="40"/>
        <v>439.28159165815265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73.803907614198806</v>
      </c>
      <c r="CL59" s="21">
        <f>EXP(-LN(2)/25)*CL58+(1-EXP(-LN(2)/25))/(LN(2)/25)*Calculateur!CG59*Calculateur!CI59*VLOOKUP('Données projet'!$B$12,Paramètres!$A$1:$I$89,3,0)*0.475*44/12</f>
        <v>6.9920806554813133</v>
      </c>
      <c r="CM59" s="21">
        <f>EXP(-LN(2)/2)*CM58+(1-EXP(-LN(2)/2))/(LN(2)/2)*CG59*CJ59*VLOOKUP('Données projet'!$B$12,Paramètres!$A$1:$I$89,3,0)*0.475*44/12</f>
        <v>5.4885261233587515E-6</v>
      </c>
      <c r="CN59" s="22">
        <f t="shared" si="12"/>
        <v>80.795993758206251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10.118749999999999</v>
      </c>
      <c r="CT59" s="12">
        <f>IF('Données projet'!$A$140&gt;35,CT58+CS59-DB58,IF(A59&lt;'Données projet'!$A$140,$CQ$205^A59,IF(A59='Données projet'!$A$140,'Données projet'!$B$140,CT58+CS59-DB58)))</f>
        <v>233.46250000000001</v>
      </c>
      <c r="CU59" s="17">
        <f>CT59*VLOOKUP('Données projet'!$B$13,Paramètres!$A$1:$I$89,3,0)*VLOOKUP('Données projet'!$B$13,Paramètres!$A$1:$I$89,5,0)</f>
        <v>265.86709500000001</v>
      </c>
      <c r="CV59" s="13">
        <f t="shared" si="41"/>
        <v>63.971376663278058</v>
      </c>
      <c r="CW59" s="20">
        <f t="shared" si="13"/>
        <v>574.46867148020931</v>
      </c>
      <c r="CX59" s="59">
        <f t="shared" si="14"/>
        <v>867.80200481354268</v>
      </c>
      <c r="CY59" s="59">
        <f ca="1">AVERAGE(OFFSET($CX$3,0,0,'Données projet'!$E$13+1,1))-AVERAGE(OFFSET($H$3,0,0,'Données projet'!$E$13+1,1))</f>
        <v>770.11410336045037</v>
      </c>
      <c r="CZ59" s="59">
        <f t="shared" si="42"/>
        <v>227.12611049004596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34.82966840994672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34.82966840994672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13.559999999999995</v>
      </c>
      <c r="DO59" s="12">
        <f>IF('Données projet'!$A$166&gt;35,DO58+DN59-DW58,IF(A59&lt;'Données projet'!$A$166,$DL$205^A59,IF(A59='Données projet'!$A$166,'Données projet'!$B$166,DO58+DN59-DW58)))</f>
        <v>319.46000000000004</v>
      </c>
      <c r="DP59" s="17">
        <f>DO59*VLOOKUP('Données projet'!$B$14,Paramètres!$A$1:$I$89,3,0)*VLOOKUP('Données projet'!$B$14,Paramètres!$A$1:$I$89,5,0)</f>
        <v>323.93244000000004</v>
      </c>
      <c r="DQ59" s="13">
        <f t="shared" si="43"/>
        <v>76.170991739423613</v>
      </c>
      <c r="DR59" s="20">
        <f t="shared" si="16"/>
        <v>696.84681027949625</v>
      </c>
      <c r="DS59" s="59">
        <f t="shared" si="17"/>
        <v>990.18014361282962</v>
      </c>
      <c r="DT59" s="59">
        <f ca="1">AVERAGE(OFFSET($DS$3,0,0,'Données projet'!$E$14+1,1))-AVERAGE(OFFSET($H$3,0,0,'Données projet'!$E$14+1,1))</f>
        <v>778.88878505968955</v>
      </c>
      <c r="DU59" s="59">
        <f t="shared" si="44"/>
        <v>279.20782832611059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59.80681107897729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59.80681107897729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369.00000000000011</v>
      </c>
      <c r="O60" s="13">
        <f>N60*VLOOKUP('Données projet'!$B$9,Paramètres!$A$1:$I$89,3,0)*VLOOKUP('Données projet'!$B$9,Paramètres!$A$1:$I$89,5,0)</f>
        <v>333.87120000000004</v>
      </c>
      <c r="P60" s="13">
        <f t="shared" si="33"/>
        <v>78.232360111376309</v>
      </c>
      <c r="Q60" s="20">
        <f t="shared" si="53"/>
        <v>717.74703386064709</v>
      </c>
      <c r="R60" s="59">
        <f t="shared" si="0"/>
        <v>1011.0803671939805</v>
      </c>
      <c r="S60" s="59">
        <f ca="1">AVERAGE(OFFSET($R$3,0,0,'Données projet'!$E$9+1,1))-AVERAGE(OFFSET($H$3,0,0,'Données projet'!$E$9+1,1))</f>
        <v>436.4497226650281</v>
      </c>
      <c r="T60" s="59">
        <f t="shared" si="34"/>
        <v>611.43967996341871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6.1929947659362128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6.1929947659362128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630</v>
      </c>
      <c r="AJ60" s="13">
        <f>AI60*VLOOKUP('Données projet'!$B$10,Paramètres!$A$1:$I$89,3,0)*VLOOKUP('Données projet'!$B$10,Paramètres!$A$1:$I$89,5,0)</f>
        <v>550.36800000000005</v>
      </c>
      <c r="AK60" s="13">
        <f t="shared" si="35"/>
        <v>121.67271812244785</v>
      </c>
      <c r="AL60" s="20">
        <f t="shared" si="4"/>
        <v>1170.4709173965966</v>
      </c>
      <c r="AM60" s="59">
        <f t="shared" si="5"/>
        <v>1463.8042507299299</v>
      </c>
      <c r="AN60" s="59">
        <f ca="1">AVERAGE(OFFSET($AM$3,0,0,'Données projet'!$E$10+1,1))-AVERAGE(OFFSET($H$3,0,0,'Données projet'!$E$10+1,1))</f>
        <v>662.13838733542616</v>
      </c>
      <c r="AO60" s="59">
        <f t="shared" si="36"/>
        <v>1194.915361841041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16.66</v>
      </c>
      <c r="BD60" s="12">
        <f>IF('Données projet'!$A$88&gt;35,BD59+BC60-BL59,IF(A60&lt;'Données projet'!$A$88,$BA$205^A60,IF(A60='Données projet'!$A$88,'Données projet'!$B$88,BD59+BC60-BL59)))</f>
        <v>321.42000000000047</v>
      </c>
      <c r="BE60" s="13">
        <f>BD60*VLOOKUP('Données projet'!$B$11,Paramètres!$A$1:$I$89,3,0)*VLOOKUP('Données projet'!$B$11,Paramètres!$A$1:$I$89,5,0)</f>
        <v>150.42456000000021</v>
      </c>
      <c r="BF60" s="13">
        <f t="shared" si="37"/>
        <v>38.675052527505471</v>
      </c>
      <c r="BG60" s="20">
        <f t="shared" si="7"/>
        <v>329.34849181873909</v>
      </c>
      <c r="BH60" s="59">
        <f t="shared" si="8"/>
        <v>622.68182515207241</v>
      </c>
      <c r="BI60" s="59">
        <f ca="1">AVERAGE(OFFSET($BH$3,0,0,'Données projet'!$E$11+1,1))-AVERAGE(OFFSET($H$3,0,0,'Données projet'!$E$11+1,1))</f>
        <v>321.82962838167799</v>
      </c>
      <c r="BJ60" s="59">
        <f t="shared" si="38"/>
        <v>243.43396255104295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102.03881800736927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102.03881800736927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187.80389738728508</v>
      </c>
      <c r="CE60" s="59">
        <f t="shared" si="40"/>
        <v>439.28159165815265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72.356658001823064</v>
      </c>
      <c r="CL60" s="21">
        <f>EXP(-LN(2)/25)*CL59+(1-EXP(-LN(2)/25))/(LN(2)/25)*Calculateur!CG60*Calculateur!CI60*VLOOKUP('Données projet'!$B$12,Paramètres!$A$1:$I$89,3,0)*0.475*44/12</f>
        <v>6.8008818422596358</v>
      </c>
      <c r="CM60" s="21">
        <f>EXP(-LN(2)/2)*CM59+(1-EXP(-LN(2)/2))/(LN(2)/2)*CG60*CJ60*VLOOKUP('Données projet'!$B$12,Paramètres!$A$1:$I$89,3,0)*0.475*44/12</f>
        <v>3.8809740405464866E-6</v>
      </c>
      <c r="CN60" s="22">
        <f t="shared" si="12"/>
        <v>79.15754372505674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10.118749999999999</v>
      </c>
      <c r="CT60" s="12">
        <f>IF('Données projet'!$A$140&gt;35,CT59+CS60-DB59,IF(A60&lt;'Données projet'!$A$140,$CQ$205^A60,IF(A60='Données projet'!$A$140,'Données projet'!$B$140,CT59+CS60-DB59)))</f>
        <v>243.58125000000001</v>
      </c>
      <c r="CU60" s="17">
        <f>CT60*VLOOKUP('Données projet'!$B$13,Paramètres!$A$1:$I$89,3,0)*VLOOKUP('Données projet'!$B$13,Paramètres!$A$1:$I$89,5,0)</f>
        <v>277.39032750000001</v>
      </c>
      <c r="CV60" s="13">
        <f t="shared" si="41"/>
        <v>66.415209865418817</v>
      </c>
      <c r="CW60" s="20">
        <f t="shared" si="13"/>
        <v>598.79464424477112</v>
      </c>
      <c r="CX60" s="59">
        <f t="shared" si="14"/>
        <v>892.12797757810449</v>
      </c>
      <c r="CY60" s="59">
        <f ca="1">AVERAGE(OFFSET($CX$3,0,0,'Données projet'!$E$13+1,1))-AVERAGE(OFFSET($H$3,0,0,'Données projet'!$E$13+1,1))</f>
        <v>770.11410336045037</v>
      </c>
      <c r="CZ60" s="59">
        <f t="shared" si="42"/>
        <v>227.12611049004596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34.146679856427724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34.146679856427724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13.559999999999995</v>
      </c>
      <c r="DO60" s="12">
        <f>IF('Données projet'!$A$166&gt;35,DO59+DN60-DW59,IF(A60&lt;'Données projet'!$A$166,$DL$205^A60,IF(A60='Données projet'!$A$166,'Données projet'!$B$166,DO59+DN60-DW59)))</f>
        <v>333.02000000000004</v>
      </c>
      <c r="DP60" s="17">
        <f>DO60*VLOOKUP('Données projet'!$B$14,Paramètres!$A$1:$I$89,3,0)*VLOOKUP('Données projet'!$B$14,Paramètres!$A$1:$I$89,5,0)</f>
        <v>337.68228000000005</v>
      </c>
      <c r="DQ60" s="13">
        <f t="shared" si="43"/>
        <v>79.020900331056751</v>
      </c>
      <c r="DR60" s="20">
        <f t="shared" si="16"/>
        <v>725.75803907659065</v>
      </c>
      <c r="DS60" s="59">
        <f t="shared" si="17"/>
        <v>1019.0913724099239</v>
      </c>
      <c r="DT60" s="59">
        <f ca="1">AVERAGE(OFFSET($DS$3,0,0,'Données projet'!$E$14+1,1))-AVERAGE(OFFSET($H$3,0,0,'Données projet'!$E$14+1,1))</f>
        <v>778.88878505968955</v>
      </c>
      <c r="DU60" s="59">
        <f t="shared" si="44"/>
        <v>279.20782832611059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58.634035992271343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58.634035992271343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369.00000000000011</v>
      </c>
      <c r="O61" s="13">
        <f>N61*VLOOKUP('Données projet'!$B$9,Paramètres!$A$1:$I$89,3,0)*VLOOKUP('Données projet'!$B$9,Paramètres!$A$1:$I$89,5,0)</f>
        <v>333.87120000000004</v>
      </c>
      <c r="P61" s="13">
        <f t="shared" si="33"/>
        <v>78.232360111376309</v>
      </c>
      <c r="Q61" s="20">
        <f t="shared" si="53"/>
        <v>717.74703386064709</v>
      </c>
      <c r="R61" s="59">
        <f t="shared" si="0"/>
        <v>1011.0803671939805</v>
      </c>
      <c r="S61" s="59">
        <f ca="1">AVERAGE(OFFSET($R$3,0,0,'Données projet'!$E$9+1,1))-AVERAGE(OFFSET($H$3,0,0,'Données projet'!$E$9+1,1))</f>
        <v>436.4497226650281</v>
      </c>
      <c r="T61" s="59">
        <f t="shared" si="34"/>
        <v>611.43967996341871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6.0715539159300285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6.0715539159300285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630</v>
      </c>
      <c r="AJ61" s="13">
        <f>AI61*VLOOKUP('Données projet'!$B$10,Paramètres!$A$1:$I$89,3,0)*VLOOKUP('Données projet'!$B$10,Paramètres!$A$1:$I$89,5,0)</f>
        <v>550.36800000000005</v>
      </c>
      <c r="AK61" s="13">
        <f t="shared" si="35"/>
        <v>121.67271812244785</v>
      </c>
      <c r="AL61" s="20">
        <f t="shared" si="4"/>
        <v>1170.4709173965966</v>
      </c>
      <c r="AM61" s="59">
        <f t="shared" si="5"/>
        <v>1463.8042507299299</v>
      </c>
      <c r="AN61" s="59">
        <f ca="1">AVERAGE(OFFSET($AM$3,0,0,'Données projet'!$E$10+1,1))-AVERAGE(OFFSET($H$3,0,0,'Données projet'!$E$10+1,1))</f>
        <v>662.13838733542616</v>
      </c>
      <c r="AO61" s="59">
        <f t="shared" si="36"/>
        <v>1194.915361841041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16.66</v>
      </c>
      <c r="BD61" s="12">
        <f>IF('Données projet'!$A$88&gt;35,BD60+BC61-BL60,IF(A61&lt;'Données projet'!$A$88,$BA$205^A61,IF(A61='Données projet'!$A$88,'Données projet'!$B$88,BD60+BC61-BL60)))</f>
        <v>338.0800000000005</v>
      </c>
      <c r="BE61" s="13">
        <f>BD61*VLOOKUP('Données projet'!$B$11,Paramètres!$A$1:$I$89,3,0)*VLOOKUP('Données projet'!$B$11,Paramètres!$A$1:$I$89,5,0)</f>
        <v>158.22144000000023</v>
      </c>
      <c r="BF61" s="13">
        <f t="shared" si="37"/>
        <v>40.441095623793032</v>
      </c>
      <c r="BG61" s="20">
        <f t="shared" si="7"/>
        <v>346.0039162114399</v>
      </c>
      <c r="BH61" s="59">
        <f t="shared" si="8"/>
        <v>639.33724954477316</v>
      </c>
      <c r="BI61" s="59">
        <f ca="1">AVERAGE(OFFSET($BH$3,0,0,'Données projet'!$E$11+1,1))-AVERAGE(OFFSET($H$3,0,0,'Données projet'!$E$11+1,1))</f>
        <v>321.82962838167799</v>
      </c>
      <c r="BJ61" s="59">
        <f t="shared" si="38"/>
        <v>243.43396255104295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100.03789902377829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100.03789902377829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187.80389738728508</v>
      </c>
      <c r="CE61" s="59">
        <f t="shared" si="40"/>
        <v>439.28159165815265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70.937788071610896</v>
      </c>
      <c r="CL61" s="21">
        <f>EXP(-LN(2)/25)*CL60+(1-EXP(-LN(2)/25))/(LN(2)/25)*Calculateur!CG61*Calculateur!CI61*VLOOKUP('Données projet'!$B$12,Paramètres!$A$1:$I$89,3,0)*0.475*44/12</f>
        <v>6.6149113706402138</v>
      </c>
      <c r="CM61" s="21">
        <f>EXP(-LN(2)/2)*CM60+(1-EXP(-LN(2)/2))/(LN(2)/2)*CG61*CJ61*VLOOKUP('Données projet'!$B$12,Paramètres!$A$1:$I$89,3,0)*0.475*44/12</f>
        <v>2.7442630616793758E-6</v>
      </c>
      <c r="CN61" s="22">
        <f t="shared" si="12"/>
        <v>77.552702186514168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10.118749999999999</v>
      </c>
      <c r="CS61" s="12">
        <f t="array" ref="CS61">INDEX(CR:CR,MIN(IF(ISNUMBER(CR61:CR257),ROW(CR61:CR257),"")))</f>
        <v>10.118749999999999</v>
      </c>
      <c r="CT61" s="12">
        <f>IF('Données projet'!$A$140&gt;35,CT60+CS61-DB60,IF(A61&lt;'Données projet'!$A$140,$CQ$205^A61,IF(A61='Données projet'!$A$140,'Données projet'!$B$140,CT60+CS61-DB60)))</f>
        <v>253.70000000000002</v>
      </c>
      <c r="CU61" s="17">
        <f>CT61*VLOOKUP('Données projet'!$B$13,Paramètres!$A$1:$I$89,3,0)*VLOOKUP('Données projet'!$B$13,Paramètres!$A$1:$I$89,5,0)</f>
        <v>288.91356000000002</v>
      </c>
      <c r="CV61" s="13">
        <f t="shared" si="41"/>
        <v>68.847251001339458</v>
      </c>
      <c r="CW61" s="20">
        <f t="shared" si="13"/>
        <v>623.10007916066616</v>
      </c>
      <c r="CX61" s="59">
        <f t="shared" si="14"/>
        <v>916.43341249399941</v>
      </c>
      <c r="CY61" s="59">
        <f ca="1">AVERAGE(OFFSET($CX$3,0,0,'Données projet'!$E$13+1,1))-AVERAGE(OFFSET($H$3,0,0,'Données projet'!$E$13+1,1))</f>
        <v>770.11410336045037</v>
      </c>
      <c r="CZ61" s="59">
        <f t="shared" si="42"/>
        <v>227.12611049004596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0.43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57.799093190752757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57.799093190752757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346.58</v>
      </c>
      <c r="DM61" s="12">
        <f>VLOOKUP(A61,'Données projet'!$A$165:$I$185,9,0)</f>
        <v>13.559999999999995</v>
      </c>
      <c r="DN61" s="12">
        <f t="array" ref="DN61">INDEX(DM:DM,MIN(IF(ISNUMBER(DM61:DM257),ROW(DM61:DM257),"")))</f>
        <v>13.559999999999995</v>
      </c>
      <c r="DO61" s="12">
        <f>IF('Données projet'!$A$166&gt;35,DO60+DN61-DW60,IF(A61&lt;'Données projet'!$A$166,$DL$205^A61,IF(A61='Données projet'!$A$166,'Données projet'!$B$166,DO60+DN61-DW60)))</f>
        <v>346.58000000000004</v>
      </c>
      <c r="DP61" s="17">
        <f>DO61*VLOOKUP('Données projet'!$B$14,Paramètres!$A$1:$I$89,3,0)*VLOOKUP('Données projet'!$B$14,Paramètres!$A$1:$I$89,5,0)</f>
        <v>351.43212000000005</v>
      </c>
      <c r="DQ61" s="13">
        <f t="shared" si="43"/>
        <v>81.857329501014519</v>
      </c>
      <c r="DR61" s="20">
        <f t="shared" si="16"/>
        <v>754.64579121426698</v>
      </c>
      <c r="DS61" s="59">
        <f t="shared" si="17"/>
        <v>1047.9791245476003</v>
      </c>
      <c r="DT61" s="59">
        <f ca="1">AVERAGE(OFFSET($DS$3,0,0,'Données projet'!$E$14+1,1))-AVERAGE(OFFSET($H$3,0,0,'Données projet'!$E$14+1,1))</f>
        <v>778.88878505968955</v>
      </c>
      <c r="DU61" s="59">
        <f t="shared" si="44"/>
        <v>279.20782832611059</v>
      </c>
      <c r="DV61" s="15">
        <f>IF(ISNA(VLOOKUP(A61,'Données projet'!$A$165:$I$185,3,0)),0,VLOOKUP(A61,'Données projet'!$A$165:$I$185,3,0))</f>
        <v>4</v>
      </c>
      <c r="DW61" s="15">
        <f>IF(ISNA(VLOOKUP(A61,'Données projet'!$A$165:$I$185,4,0)),0,VLOOKUP(A61,'Données projet'!$A$165:$I$185,4,0))</f>
        <v>62.16</v>
      </c>
      <c r="DX61" s="16">
        <f>IF(ISNA(VLOOKUP(A61,'Données projet'!$A$165:$I$185,5,0)),0%,VLOOKUP(A61,'Données projet'!$A$165:$I$185,5,0)*VLOOKUP('Données projet'!$B$14,Paramètres!$A$1:$I$89,7,0))</f>
        <v>0.43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87.445825543680286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87.445825543680286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369.00000000000011</v>
      </c>
      <c r="O62" s="13">
        <f>N62*VLOOKUP('Données projet'!$B$9,Paramètres!$A$1:$I$89,3,0)*VLOOKUP('Données projet'!$B$9,Paramètres!$A$1:$I$89,5,0)</f>
        <v>333.87120000000004</v>
      </c>
      <c r="P62" s="13">
        <f t="shared" si="33"/>
        <v>78.232360111376309</v>
      </c>
      <c r="Q62" s="20">
        <f t="shared" si="53"/>
        <v>717.74703386064709</v>
      </c>
      <c r="R62" s="59">
        <f t="shared" si="0"/>
        <v>1011.0803671939805</v>
      </c>
      <c r="S62" s="59">
        <f ca="1">AVERAGE(OFFSET($R$3,0,0,'Données projet'!$E$9+1,1))-AVERAGE(OFFSET($H$3,0,0,'Données projet'!$E$9+1,1))</f>
        <v>436.4497226650281</v>
      </c>
      <c r="T62" s="59">
        <f t="shared" si="34"/>
        <v>611.43967996341871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5.9524944469208609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5.9524944469208609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630</v>
      </c>
      <c r="AJ62" s="13">
        <f>AI62*VLOOKUP('Données projet'!$B$10,Paramètres!$A$1:$I$89,3,0)*VLOOKUP('Données projet'!$B$10,Paramètres!$A$1:$I$89,5,0)</f>
        <v>550.36800000000005</v>
      </c>
      <c r="AK62" s="13">
        <f t="shared" si="35"/>
        <v>121.67271812244785</v>
      </c>
      <c r="AL62" s="20">
        <f t="shared" si="4"/>
        <v>1170.4709173965966</v>
      </c>
      <c r="AM62" s="59">
        <f t="shared" si="5"/>
        <v>1463.8042507299299</v>
      </c>
      <c r="AN62" s="59">
        <f ca="1">AVERAGE(OFFSET($AM$3,0,0,'Données projet'!$E$10+1,1))-AVERAGE(OFFSET($H$3,0,0,'Données projet'!$E$10+1,1))</f>
        <v>662.13838733542616</v>
      </c>
      <c r="AO62" s="59">
        <f t="shared" si="36"/>
        <v>1194.915361841041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16.66</v>
      </c>
      <c r="BD62" s="12">
        <f>IF('Données projet'!$A$88&gt;35,BD61+BC62-BL61,IF(A62&lt;'Données projet'!$A$88,$BA$205^A62,IF(A62='Données projet'!$A$88,'Données projet'!$B$88,BD61+BC62-BL61)))</f>
        <v>354.74000000000052</v>
      </c>
      <c r="BE62" s="13">
        <f>BD62*VLOOKUP('Données projet'!$B$11,Paramètres!$A$1:$I$89,3,0)*VLOOKUP('Données projet'!$B$11,Paramètres!$A$1:$I$89,5,0)</f>
        <v>166.01832000000024</v>
      </c>
      <c r="BF62" s="13">
        <f t="shared" si="37"/>
        <v>42.197033391225446</v>
      </c>
      <c r="BG62" s="20">
        <f t="shared" si="7"/>
        <v>362.64174048971807</v>
      </c>
      <c r="BH62" s="59">
        <f t="shared" si="8"/>
        <v>655.97507382305139</v>
      </c>
      <c r="BI62" s="59">
        <f ca="1">AVERAGE(OFFSET($BH$3,0,0,'Données projet'!$E$11+1,1))-AVERAGE(OFFSET($H$3,0,0,'Données projet'!$E$11+1,1))</f>
        <v>321.82962838167799</v>
      </c>
      <c r="BJ62" s="59">
        <f t="shared" si="38"/>
        <v>243.43396255104295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98.076216841015466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98.076216841015466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187.80389738728508</v>
      </c>
      <c r="CE62" s="59">
        <f t="shared" si="40"/>
        <v>439.28159165815265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69.546741315304999</v>
      </c>
      <c r="CL62" s="21">
        <f>EXP(-LN(2)/25)*CL61+(1-EXP(-LN(2)/25))/(LN(2)/25)*Calculateur!CG62*Calculateur!CI62*VLOOKUP('Données projet'!$B$12,Paramètres!$A$1:$I$89,3,0)*0.475*44/12</f>
        <v>6.4340262713469869</v>
      </c>
      <c r="CM62" s="21">
        <f>EXP(-LN(2)/2)*CM61+(1-EXP(-LN(2)/2))/(LN(2)/2)*CG62*CJ62*VLOOKUP('Données projet'!$B$12,Paramètres!$A$1:$I$89,3,0)*0.475*44/12</f>
        <v>1.9404870202732433E-6</v>
      </c>
      <c r="CN62" s="22">
        <f t="shared" si="12"/>
        <v>75.980769527139003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9.75</v>
      </c>
      <c r="CT62" s="12">
        <f>IF('Données projet'!$A$140&gt;35,CT61+CS62-DB61,IF(A62&lt;'Données projet'!$A$140,$CQ$205^A62,IF(A62='Données projet'!$A$140,'Données projet'!$B$140,CT61+CS62-DB61)))</f>
        <v>218.52000000000004</v>
      </c>
      <c r="CU62" s="17">
        <f>CT62*VLOOKUP('Données projet'!$B$13,Paramètres!$A$1:$I$89,3,0)*VLOOKUP('Données projet'!$B$13,Paramètres!$A$1:$I$89,5,0)</f>
        <v>248.85057600000005</v>
      </c>
      <c r="CV62" s="13">
        <f t="shared" si="41"/>
        <v>60.339743027949517</v>
      </c>
      <c r="CW62" s="20">
        <f t="shared" si="13"/>
        <v>538.50647230701213</v>
      </c>
      <c r="CX62" s="59">
        <f t="shared" si="14"/>
        <v>831.8398056403455</v>
      </c>
      <c r="CY62" s="59">
        <f ca="1">AVERAGE(OFFSET($CX$3,0,0,'Données projet'!$E$13+1,1))-AVERAGE(OFFSET($H$3,0,0,'Données projet'!$E$13+1,1))</f>
        <v>770.11410336045037</v>
      </c>
      <c r="CZ62" s="59">
        <f t="shared" si="42"/>
        <v>227.12611049004596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56.665688227247898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56.665688227247898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13.062500000000007</v>
      </c>
      <c r="DO62" s="12">
        <f>IF('Données projet'!$A$166&gt;35,DO61+DN62-DW61,IF(A62&lt;'Données projet'!$A$166,$DL$205^A62,IF(A62='Données projet'!$A$166,'Données projet'!$B$166,DO61+DN62-DW61)))</f>
        <v>297.48250000000007</v>
      </c>
      <c r="DP62" s="17">
        <f>DO62*VLOOKUP('Données projet'!$B$14,Paramètres!$A$1:$I$89,3,0)*VLOOKUP('Données projet'!$B$14,Paramètres!$A$1:$I$89,5,0)</f>
        <v>301.64725500000009</v>
      </c>
      <c r="DQ62" s="13">
        <f t="shared" si="43"/>
        <v>71.521681264721011</v>
      </c>
      <c r="DR62" s="20">
        <f t="shared" si="16"/>
        <v>649.9358973277225</v>
      </c>
      <c r="DS62" s="59">
        <f t="shared" si="17"/>
        <v>943.26923066105587</v>
      </c>
      <c r="DT62" s="59">
        <f ca="1">AVERAGE(OFFSET($DS$3,0,0,'Données projet'!$E$14+1,1))-AVERAGE(OFFSET($H$3,0,0,'Données projet'!$E$14+1,1))</f>
        <v>778.88878505968955</v>
      </c>
      <c r="DU62" s="59">
        <f t="shared" si="44"/>
        <v>279.20782832611059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85.731066241455736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85.731066241455736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369.00000000000011</v>
      </c>
      <c r="O63" s="13">
        <f>N63*VLOOKUP('Données projet'!$B$9,Paramètres!$A$1:$I$89,3,0)*VLOOKUP('Données projet'!$B$9,Paramètres!$A$1:$I$89,5,0)</f>
        <v>333.87120000000004</v>
      </c>
      <c r="P63" s="13">
        <f t="shared" si="33"/>
        <v>78.232360111376309</v>
      </c>
      <c r="Q63" s="20">
        <f t="shared" si="53"/>
        <v>717.74703386064709</v>
      </c>
      <c r="R63" s="59">
        <f t="shared" si="0"/>
        <v>1011.0803671939805</v>
      </c>
      <c r="S63" s="59">
        <f ca="1">AVERAGE(OFFSET($R$3,0,0,'Données projet'!$E$9+1,1))-AVERAGE(OFFSET($H$3,0,0,'Données projet'!$E$9+1,1))</f>
        <v>436.4497226650281</v>
      </c>
      <c r="T63" s="59">
        <f t="shared" si="34"/>
        <v>611.43967996341871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5.8357696614798575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5.8357696614798575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630</v>
      </c>
      <c r="AJ63" s="13">
        <f>AI63*VLOOKUP('Données projet'!$B$10,Paramètres!$A$1:$I$89,3,0)*VLOOKUP('Données projet'!$B$10,Paramètres!$A$1:$I$89,5,0)</f>
        <v>550.36800000000005</v>
      </c>
      <c r="AK63" s="13">
        <f t="shared" si="35"/>
        <v>121.67271812244785</v>
      </c>
      <c r="AL63" s="20">
        <f t="shared" si="4"/>
        <v>1170.4709173965966</v>
      </c>
      <c r="AM63" s="59">
        <f t="shared" si="5"/>
        <v>1463.8042507299299</v>
      </c>
      <c r="AN63" s="59">
        <f ca="1">AVERAGE(OFFSET($AM$3,0,0,'Données projet'!$E$10+1,1))-AVERAGE(OFFSET($H$3,0,0,'Données projet'!$E$10+1,1))</f>
        <v>662.13838733542616</v>
      </c>
      <c r="AO63" s="59">
        <f t="shared" si="36"/>
        <v>1194.915361841041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16.66</v>
      </c>
      <c r="BD63" s="12">
        <f>IF('Données projet'!$A$88&gt;35,BD62+BC63-BL62,IF(A63&lt;'Données projet'!$A$88,$BA$205^A63,IF(A63='Données projet'!$A$88,'Données projet'!$B$88,BD62+BC63-BL62)))</f>
        <v>371.40000000000055</v>
      </c>
      <c r="BE63" s="13">
        <f>BD63*VLOOKUP('Données projet'!$B$11,Paramètres!$A$1:$I$89,3,0)*VLOOKUP('Données projet'!$B$11,Paramètres!$A$1:$I$89,5,0)</f>
        <v>173.81520000000023</v>
      </c>
      <c r="BF63" s="13">
        <f t="shared" si="37"/>
        <v>43.943394610022267</v>
      </c>
      <c r="BG63" s="20">
        <f t="shared" si="7"/>
        <v>379.26288561245588</v>
      </c>
      <c r="BH63" s="59">
        <f t="shared" si="8"/>
        <v>672.59621894578913</v>
      </c>
      <c r="BI63" s="59">
        <f ca="1">AVERAGE(OFFSET($BH$3,0,0,'Données projet'!$E$11+1,1))-AVERAGE(OFFSET($H$3,0,0,'Données projet'!$E$11+1,1))</f>
        <v>321.82962838167799</v>
      </c>
      <c r="BJ63" s="59">
        <f t="shared" si="38"/>
        <v>243.43396255104295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96.153002049348629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96.153002049348629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187.80389738728508</v>
      </c>
      <c r="CE63" s="59">
        <f t="shared" si="40"/>
        <v>439.28159165815265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68.182972137435513</v>
      </c>
      <c r="CL63" s="21">
        <f>EXP(-LN(2)/25)*CL62+(1-EXP(-LN(2)/25))/(LN(2)/25)*Calculateur!CG63*Calculateur!CI63*VLOOKUP('Données projet'!$B$12,Paramètres!$A$1:$I$89,3,0)*0.475*44/12</f>
        <v>6.2580874846062668</v>
      </c>
      <c r="CM63" s="21">
        <f>EXP(-LN(2)/2)*CM62+(1-EXP(-LN(2)/2))/(LN(2)/2)*CG63*CJ63*VLOOKUP('Données projet'!$B$12,Paramètres!$A$1:$I$89,3,0)*0.475*44/12</f>
        <v>1.3721315308396879E-6</v>
      </c>
      <c r="CN63" s="22">
        <f t="shared" si="12"/>
        <v>74.441060994173313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</v>
      </c>
      <c r="CT63" s="12">
        <f>IF('Données projet'!$A$140&gt;35,CT62+CS63-DB62,IF(A63&lt;'Données projet'!$A$140,$CQ$205^A63,IF(A63='Données projet'!$A$140,'Données projet'!$B$140,CT62+CS63-DB62)))</f>
        <v>228.27000000000004</v>
      </c>
      <c r="CU63" s="17">
        <f>CT63*VLOOKUP('Données projet'!$B$13,Paramètres!$A$1:$I$89,3,0)*VLOOKUP('Données projet'!$B$13,Paramètres!$A$1:$I$89,5,0)</f>
        <v>259.95387600000004</v>
      </c>
      <c r="CV63" s="13">
        <f t="shared" si="41"/>
        <v>62.712546081759143</v>
      </c>
      <c r="CW63" s="20">
        <f t="shared" si="13"/>
        <v>561.97735179239714</v>
      </c>
      <c r="CX63" s="59">
        <f t="shared" si="14"/>
        <v>855.31068512573052</v>
      </c>
      <c r="CY63" s="59">
        <f ca="1">AVERAGE(OFFSET($CX$3,0,0,'Données projet'!$E$13+1,1))-AVERAGE(OFFSET($H$3,0,0,'Données projet'!$E$13+1,1))</f>
        <v>770.11410336045037</v>
      </c>
      <c r="CZ63" s="59">
        <f t="shared" si="42"/>
        <v>227.12611049004596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55.554508643768607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55.554508643768607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13.062500000000007</v>
      </c>
      <c r="DO63" s="12">
        <f>IF('Données projet'!$A$166&gt;35,DO62+DN63-DW62,IF(A63&lt;'Données projet'!$A$166,$DL$205^A63,IF(A63='Données projet'!$A$166,'Données projet'!$B$166,DO62+DN63-DW62)))</f>
        <v>310.54500000000007</v>
      </c>
      <c r="DP63" s="17">
        <f>DO63*VLOOKUP('Données projet'!$B$14,Paramètres!$A$1:$I$89,3,0)*VLOOKUP('Données projet'!$B$14,Paramètres!$A$1:$I$89,5,0)</f>
        <v>314.89263000000011</v>
      </c>
      <c r="DQ63" s="13">
        <f t="shared" si="43"/>
        <v>74.289672960509861</v>
      </c>
      <c r="DR63" s="20">
        <f t="shared" si="16"/>
        <v>677.8258443228882</v>
      </c>
      <c r="DS63" s="59">
        <f t="shared" si="17"/>
        <v>971.15917765622157</v>
      </c>
      <c r="DT63" s="59">
        <f ca="1">AVERAGE(OFFSET($DS$3,0,0,'Données projet'!$E$14+1,1))-AVERAGE(OFFSET($H$3,0,0,'Données projet'!$E$14+1,1))</f>
        <v>778.88878505968955</v>
      </c>
      <c r="DU63" s="59">
        <f t="shared" si="44"/>
        <v>279.20782832611059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84.049932323247916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84.049932323247916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369.00000000000011</v>
      </c>
      <c r="O64" s="13">
        <f>N64*VLOOKUP('Données projet'!$B$9,Paramètres!$A$1:$I$89,3,0)*VLOOKUP('Données projet'!$B$9,Paramètres!$A$1:$I$89,5,0)</f>
        <v>333.87120000000004</v>
      </c>
      <c r="P64" s="13">
        <f t="shared" si="33"/>
        <v>78.232360111376309</v>
      </c>
      <c r="Q64" s="20">
        <f t="shared" si="53"/>
        <v>717.74703386064709</v>
      </c>
      <c r="R64" s="59">
        <f t="shared" si="0"/>
        <v>1011.0803671939805</v>
      </c>
      <c r="S64" s="59">
        <f ca="1">AVERAGE(OFFSET($R$3,0,0,'Données projet'!$E$9+1,1))-AVERAGE(OFFSET($H$3,0,0,'Données projet'!$E$9+1,1))</f>
        <v>436.4497226650281</v>
      </c>
      <c r="T64" s="59">
        <f t="shared" si="34"/>
        <v>611.43967996341871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5.7213337778862625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5.7213337778862625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630</v>
      </c>
      <c r="AJ64" s="13">
        <f>AI64*VLOOKUP('Données projet'!$B$10,Paramètres!$A$1:$I$89,3,0)*VLOOKUP('Données projet'!$B$10,Paramètres!$A$1:$I$89,5,0)</f>
        <v>550.36800000000005</v>
      </c>
      <c r="AK64" s="13">
        <f t="shared" si="35"/>
        <v>121.67271812244785</v>
      </c>
      <c r="AL64" s="20">
        <f t="shared" si="4"/>
        <v>1170.4709173965966</v>
      </c>
      <c r="AM64" s="59">
        <f t="shared" si="5"/>
        <v>1463.8042507299299</v>
      </c>
      <c r="AN64" s="59">
        <f ca="1">AVERAGE(OFFSET($AM$3,0,0,'Données projet'!$E$10+1,1))-AVERAGE(OFFSET($H$3,0,0,'Données projet'!$E$10+1,1))</f>
        <v>662.13838733542616</v>
      </c>
      <c r="AO64" s="59">
        <f t="shared" si="36"/>
        <v>1194.915361841041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16.66</v>
      </c>
      <c r="BD64" s="12">
        <f>IF('Données projet'!$A$88&gt;35,BD63+BC64-BL63,IF(A64&lt;'Données projet'!$A$88,$BA$205^A64,IF(A64='Données projet'!$A$88,'Données projet'!$B$88,BD63+BC64-BL63)))</f>
        <v>388.06000000000057</v>
      </c>
      <c r="BE64" s="13">
        <f>BD64*VLOOKUP('Données projet'!$B$11,Paramètres!$A$1:$I$89,3,0)*VLOOKUP('Données projet'!$B$11,Paramètres!$A$1:$I$89,5,0)</f>
        <v>181.61208000000028</v>
      </c>
      <c r="BF64" s="13">
        <f t="shared" si="37"/>
        <v>45.68065793921636</v>
      </c>
      <c r="BG64" s="20">
        <f t="shared" si="7"/>
        <v>395.86818524413565</v>
      </c>
      <c r="BH64" s="59">
        <f t="shared" si="8"/>
        <v>689.20151857746896</v>
      </c>
      <c r="BI64" s="59">
        <f ca="1">AVERAGE(OFFSET($BH$3,0,0,'Données projet'!$E$11+1,1))-AVERAGE(OFFSET($H$3,0,0,'Données projet'!$E$11+1,1))</f>
        <v>321.82962838167799</v>
      </c>
      <c r="BJ64" s="59">
        <f t="shared" si="38"/>
        <v>243.43396255104295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94.267500326701196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94.267500326701196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187.80389738728508</v>
      </c>
      <c r="CE64" s="59">
        <f t="shared" si="40"/>
        <v>439.28159165815265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66.845945641326978</v>
      </c>
      <c r="CL64" s="21">
        <f>EXP(-LN(2)/25)*CL63+(1-EXP(-LN(2)/25))/(LN(2)/25)*Calculateur!CG64*Calculateur!CI64*VLOOKUP('Données projet'!$B$12,Paramètres!$A$1:$I$89,3,0)*0.475*44/12</f>
        <v>6.0869597532411905</v>
      </c>
      <c r="CM64" s="21">
        <f>EXP(-LN(2)/2)*CM63+(1-EXP(-LN(2)/2))/(LN(2)/2)*CG64*CJ64*VLOOKUP('Données projet'!$B$12,Paramètres!$A$1:$I$89,3,0)*0.475*44/12</f>
        <v>9.7024351013662166E-7</v>
      </c>
      <c r="CN64" s="22">
        <f t="shared" si="12"/>
        <v>72.932906364811672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</v>
      </c>
      <c r="CT64" s="12">
        <f>IF('Données projet'!$A$140&gt;35,CT63+CS64-DB63,IF(A64&lt;'Données projet'!$A$140,$CQ$205^A64,IF(A64='Données projet'!$A$140,'Données projet'!$B$140,CT63+CS64-DB63)))</f>
        <v>238.02000000000004</v>
      </c>
      <c r="CU64" s="17">
        <f>CT64*VLOOKUP('Données projet'!$B$13,Paramètres!$A$1:$I$89,3,0)*VLOOKUP('Données projet'!$B$13,Paramètres!$A$1:$I$89,5,0)</f>
        <v>271.05717600000003</v>
      </c>
      <c r="CV64" s="13">
        <f t="shared" si="41"/>
        <v>65.073577663650141</v>
      </c>
      <c r="CW64" s="20">
        <f t="shared" si="13"/>
        <v>585.42772929752402</v>
      </c>
      <c r="CX64" s="59">
        <f t="shared" si="14"/>
        <v>878.7610626308574</v>
      </c>
      <c r="CY64" s="59">
        <f ca="1">AVERAGE(OFFSET($CX$3,0,0,'Données projet'!$E$13+1,1))-AVERAGE(OFFSET($H$3,0,0,'Données projet'!$E$13+1,1))</f>
        <v>770.11410336045037</v>
      </c>
      <c r="CZ64" s="59">
        <f t="shared" si="42"/>
        <v>227.12611049004596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54.465118614168723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54.465118614168723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13.062500000000007</v>
      </c>
      <c r="DO64" s="12">
        <f>IF('Données projet'!$A$166&gt;35,DO63+DN64-DW63,IF(A64&lt;'Données projet'!$A$166,$DL$205^A64,IF(A64='Données projet'!$A$166,'Données projet'!$B$166,DO63+DN64-DW63)))</f>
        <v>323.60750000000007</v>
      </c>
      <c r="DP64" s="17">
        <f>DO64*VLOOKUP('Données projet'!$B$14,Paramètres!$A$1:$I$89,3,0)*VLOOKUP('Données projet'!$B$14,Paramètres!$A$1:$I$89,5,0)</f>
        <v>328.13800500000008</v>
      </c>
      <c r="DQ64" s="13">
        <f t="shared" si="43"/>
        <v>77.044141064866722</v>
      </c>
      <c r="DR64" s="20">
        <f t="shared" si="16"/>
        <v>705.6922377296429</v>
      </c>
      <c r="DS64" s="59">
        <f t="shared" si="17"/>
        <v>999.02557106297627</v>
      </c>
      <c r="DT64" s="59">
        <f ca="1">AVERAGE(OFFSET($DS$3,0,0,'Données projet'!$E$14+1,1))-AVERAGE(OFFSET($H$3,0,0,'Données projet'!$E$14+1,1))</f>
        <v>778.88878505968955</v>
      </c>
      <c r="DU64" s="59">
        <f t="shared" si="44"/>
        <v>279.20782832611059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82.401764415785706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82.401764415785706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369.00000000000011</v>
      </c>
      <c r="O65" s="13">
        <f>N65*VLOOKUP('Données projet'!$B$9,Paramètres!$A$1:$I$89,3,0)*VLOOKUP('Données projet'!$B$9,Paramètres!$A$1:$I$89,5,0)</f>
        <v>333.87120000000004</v>
      </c>
      <c r="P65" s="13">
        <f t="shared" si="33"/>
        <v>78.232360111376309</v>
      </c>
      <c r="Q65" s="20">
        <f t="shared" si="53"/>
        <v>717.74703386064709</v>
      </c>
      <c r="R65" s="59">
        <f t="shared" si="0"/>
        <v>1011.0803671939805</v>
      </c>
      <c r="S65" s="59">
        <f ca="1">AVERAGE(OFFSET($R$3,0,0,'Données projet'!$E$9+1,1))-AVERAGE(OFFSET($H$3,0,0,'Données projet'!$E$9+1,1))</f>
        <v>436.4497226650281</v>
      </c>
      <c r="T65" s="59">
        <f t="shared" si="34"/>
        <v>611.43967996341871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5.6091419121709416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5.6091419121709416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630</v>
      </c>
      <c r="AJ65" s="13">
        <f>AI65*VLOOKUP('Données projet'!$B$10,Paramètres!$A$1:$I$89,3,0)*VLOOKUP('Données projet'!$B$10,Paramètres!$A$1:$I$89,5,0)</f>
        <v>550.36800000000005</v>
      </c>
      <c r="AK65" s="13">
        <f t="shared" si="35"/>
        <v>121.67271812244785</v>
      </c>
      <c r="AL65" s="20">
        <f t="shared" si="4"/>
        <v>1170.4709173965966</v>
      </c>
      <c r="AM65" s="59">
        <f t="shared" si="5"/>
        <v>1463.8042507299299</v>
      </c>
      <c r="AN65" s="59">
        <f ca="1">AVERAGE(OFFSET($AM$3,0,0,'Données projet'!$E$10+1,1))-AVERAGE(OFFSET($H$3,0,0,'Données projet'!$E$10+1,1))</f>
        <v>662.13838733542616</v>
      </c>
      <c r="AO65" s="59">
        <f t="shared" si="36"/>
        <v>1194.915361841041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16.66</v>
      </c>
      <c r="BD65" s="12">
        <f>IF('Données projet'!$A$88&gt;35,BD64+BC65-BL64,IF(A65&lt;'Données projet'!$A$88,$BA$205^A65,IF(A65='Données projet'!$A$88,'Données projet'!$B$88,BD64+BC65-BL64)))</f>
        <v>404.7200000000006</v>
      </c>
      <c r="BE65" s="13">
        <f>BD65*VLOOKUP('Données projet'!$B$11,Paramètres!$A$1:$I$89,3,0)*VLOOKUP('Données projet'!$B$11,Paramètres!$A$1:$I$89,5,0)</f>
        <v>189.40896000000029</v>
      </c>
      <c r="BF65" s="13">
        <f t="shared" si="37"/>
        <v>47.409258614274492</v>
      </c>
      <c r="BG65" s="20">
        <f t="shared" si="7"/>
        <v>412.4583974198618</v>
      </c>
      <c r="BH65" s="59">
        <f t="shared" si="8"/>
        <v>705.79173075319511</v>
      </c>
      <c r="BI65" s="59">
        <f ca="1">AVERAGE(OFFSET($BH$3,0,0,'Données projet'!$E$11+1,1))-AVERAGE(OFFSET($H$3,0,0,'Données projet'!$E$11+1,1))</f>
        <v>321.82962838167799</v>
      </c>
      <c r="BJ65" s="59">
        <f t="shared" si="38"/>
        <v>243.43396255104295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92.418972142792384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92.418972142792384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187.80389738728508</v>
      </c>
      <c r="CE65" s="59">
        <f t="shared" si="40"/>
        <v>439.28159165815265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65.535137419301492</v>
      </c>
      <c r="CL65" s="21">
        <f>EXP(-LN(2)/25)*CL64+(1-EXP(-LN(2)/25))/(LN(2)/25)*Calculateur!CG65*Calculateur!CI65*VLOOKUP('Données projet'!$B$12,Paramètres!$A$1:$I$89,3,0)*0.475*44/12</f>
        <v>5.9205115186895085</v>
      </c>
      <c r="CM65" s="21">
        <f>EXP(-LN(2)/2)*CM64+(1-EXP(-LN(2)/2))/(LN(2)/2)*CG65*CJ65*VLOOKUP('Données projet'!$B$12,Paramètres!$A$1:$I$89,3,0)*0.475*44/12</f>
        <v>6.8606576541984394E-7</v>
      </c>
      <c r="CN65" s="22">
        <f t="shared" si="12"/>
        <v>71.455649624056761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</v>
      </c>
      <c r="CT65" s="12">
        <f>IF('Données projet'!$A$140&gt;35,CT64+CS65-DB64,IF(A65&lt;'Données projet'!$A$140,$CQ$205^A65,IF(A65='Données projet'!$A$140,'Données projet'!$B$140,CT64+CS65-DB64)))</f>
        <v>247.77000000000004</v>
      </c>
      <c r="CU65" s="17">
        <f>CT65*VLOOKUP('Données projet'!$B$13,Paramètres!$A$1:$I$89,3,0)*VLOOKUP('Données projet'!$B$13,Paramètres!$A$1:$I$89,5,0)</f>
        <v>282.16047600000002</v>
      </c>
      <c r="CV65" s="13">
        <f t="shared" si="41"/>
        <v>67.423375120209414</v>
      </c>
      <c r="CW65" s="20">
        <f t="shared" si="13"/>
        <v>608.8585407010313</v>
      </c>
      <c r="CX65" s="59">
        <f t="shared" si="14"/>
        <v>902.19187403436467</v>
      </c>
      <c r="CY65" s="59">
        <f ca="1">AVERAGE(OFFSET($CX$3,0,0,'Données projet'!$E$13+1,1))-AVERAGE(OFFSET($H$3,0,0,'Données projet'!$E$13+1,1))</f>
        <v>770.11410336045037</v>
      </c>
      <c r="CZ65" s="59">
        <f t="shared" si="42"/>
        <v>227.12611049004596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53.397090858586985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53.397090858586985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13.062500000000007</v>
      </c>
      <c r="DO65" s="12">
        <f>IF('Données projet'!$A$166&gt;35,DO64+DN65-DW64,IF(A65&lt;'Données projet'!$A$166,$DL$205^A65,IF(A65='Données projet'!$A$166,'Données projet'!$B$166,DO64+DN65-DW64)))</f>
        <v>336.67000000000007</v>
      </c>
      <c r="DP65" s="17">
        <f>DO65*VLOOKUP('Données projet'!$B$14,Paramètres!$A$1:$I$89,3,0)*VLOOKUP('Données projet'!$B$14,Paramètres!$A$1:$I$89,5,0)</f>
        <v>341.3833800000001</v>
      </c>
      <c r="DQ65" s="13">
        <f t="shared" si="43"/>
        <v>79.785693909104083</v>
      </c>
      <c r="DR65" s="20">
        <f t="shared" si="16"/>
        <v>733.53613705835642</v>
      </c>
      <c r="DS65" s="59">
        <f t="shared" si="17"/>
        <v>1026.8694703916897</v>
      </c>
      <c r="DT65" s="59">
        <f ca="1">AVERAGE(OFFSET($DS$3,0,0,'Données projet'!$E$14+1,1))-AVERAGE(OFFSET($H$3,0,0,'Données projet'!$E$14+1,1))</f>
        <v>778.88878505968955</v>
      </c>
      <c r="DU65" s="59">
        <f t="shared" si="44"/>
        <v>279.20782832611059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80.785916075705671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80.785916075705671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369.00000000000011</v>
      </c>
      <c r="O66" s="13">
        <f>N66*VLOOKUP('Données projet'!$B$9,Paramètres!$A$1:$I$89,3,0)*VLOOKUP('Données projet'!$B$9,Paramètres!$A$1:$I$89,5,0)</f>
        <v>333.87120000000004</v>
      </c>
      <c r="P66" s="13">
        <f t="shared" si="33"/>
        <v>78.232360111376309</v>
      </c>
      <c r="Q66" s="20">
        <f t="shared" si="53"/>
        <v>717.74703386064709</v>
      </c>
      <c r="R66" s="59">
        <f t="shared" si="0"/>
        <v>1011.0803671939805</v>
      </c>
      <c r="S66" s="59">
        <f ca="1">AVERAGE(OFFSET($R$3,0,0,'Données projet'!$E$9+1,1))-AVERAGE(OFFSET($H$3,0,0,'Données projet'!$E$9+1,1))</f>
        <v>436.4497226650281</v>
      </c>
      <c r="T66" s="59">
        <f t="shared" si="34"/>
        <v>611.43967996341871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5.4991500605120169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5.4991500605120169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630</v>
      </c>
      <c r="AJ66" s="13">
        <f>AI66*VLOOKUP('Données projet'!$B$10,Paramètres!$A$1:$I$89,3,0)*VLOOKUP('Données projet'!$B$10,Paramètres!$A$1:$I$89,5,0)</f>
        <v>550.36800000000005</v>
      </c>
      <c r="AK66" s="13">
        <f t="shared" si="35"/>
        <v>121.67271812244785</v>
      </c>
      <c r="AL66" s="20">
        <f t="shared" si="4"/>
        <v>1170.4709173965966</v>
      </c>
      <c r="AM66" s="59">
        <f t="shared" si="5"/>
        <v>1463.8042507299299</v>
      </c>
      <c r="AN66" s="59">
        <f ca="1">AVERAGE(OFFSET($AM$3,0,0,'Données projet'!$E$10+1,1))-AVERAGE(OFFSET($H$3,0,0,'Données projet'!$E$10+1,1))</f>
        <v>662.13838733542616</v>
      </c>
      <c r="AO66" s="59">
        <f t="shared" si="36"/>
        <v>1194.915361841041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421.38</v>
      </c>
      <c r="BB66" s="12">
        <f>VLOOKUP(A66,'Données projet'!$A$87:$I$107,9,0)</f>
        <v>16.66</v>
      </c>
      <c r="BC66" s="12">
        <f t="array" ref="BC66">INDEX(BB:BB,MIN(IF(ISNUMBER(BB66:BB262),ROW(BB66:BB262),"")))</f>
        <v>16.66</v>
      </c>
      <c r="BD66" s="12">
        <f>IF('Données projet'!$A$88&gt;35,BD65+BC66-BL65,IF(A66&lt;'Données projet'!$A$88,$BA$205^A66,IF(A66='Données projet'!$A$88,'Données projet'!$B$88,BD65+BC66-BL65)))</f>
        <v>421.38000000000062</v>
      </c>
      <c r="BE66" s="13">
        <f>BD66*VLOOKUP('Données projet'!$B$11,Paramètres!$A$1:$I$89,3,0)*VLOOKUP('Données projet'!$B$11,Paramètres!$A$1:$I$89,5,0)</f>
        <v>197.20584000000031</v>
      </c>
      <c r="BF66" s="13">
        <f t="shared" si="37"/>
        <v>49.12959401084256</v>
      </c>
      <c r="BG66" s="20">
        <f t="shared" si="7"/>
        <v>429.03421423555136</v>
      </c>
      <c r="BH66" s="59">
        <f t="shared" si="8"/>
        <v>722.36754756888467</v>
      </c>
      <c r="BI66" s="59">
        <f ca="1">AVERAGE(OFFSET($BH$3,0,0,'Données projet'!$E$11+1,1))-AVERAGE(OFFSET($H$3,0,0,'Données projet'!$E$11+1,1))</f>
        <v>321.82962838167799</v>
      </c>
      <c r="BJ66" s="59">
        <f t="shared" si="38"/>
        <v>243.43396255104295</v>
      </c>
      <c r="BK66" s="15">
        <f>IF(ISNA(VLOOKUP(A66,'Données projet'!$A$87:$I$107,3,0)),0,VLOOKUP(A66,'Données projet'!$A$87:$I$107,3,0))</f>
        <v>4</v>
      </c>
      <c r="BL66" s="15">
        <f>IF(ISNA(VLOOKUP(A66,'Données projet'!$A$87:$I$107,4,0)),0,VLOOKUP(A66,'Données projet'!$A$87:$I$107,4,0))</f>
        <v>79.099999999999994</v>
      </c>
      <c r="BM66" s="16">
        <f>IF(ISNA(VLOOKUP(A66,'Données projet'!$A$87:$I$107,5,0)),0%,VLOOKUP(A66,'Données projet'!$A$87:$I$107,5,0)*VLOOKUP('Données projet'!$B$11,Paramètres!$A$1:$I$89,7,0))</f>
        <v>0.55000000000000004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117.61599581374306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117.61599581374306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187.80389738728508</v>
      </c>
      <c r="CE66" s="59">
        <f t="shared" si="40"/>
        <v>439.28159165815265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64.250033346995863</v>
      </c>
      <c r="CL66" s="21">
        <f>EXP(-LN(2)/25)*CL65+(1-EXP(-LN(2)/25))/(LN(2)/25)*Calculateur!CG66*Calculateur!CI66*VLOOKUP('Données projet'!$B$12,Paramètres!$A$1:$I$89,3,0)*0.475*44/12</f>
        <v>5.7586148198647749</v>
      </c>
      <c r="CM66" s="21">
        <f>EXP(-LN(2)/2)*CM65+(1-EXP(-LN(2)/2))/(LN(2)/2)*CG66*CJ66*VLOOKUP('Données projet'!$B$12,Paramètres!$A$1:$I$89,3,0)*0.475*44/12</f>
        <v>4.8512175506831083E-7</v>
      </c>
      <c r="CN66" s="22">
        <f t="shared" si="12"/>
        <v>70.008648651982398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</v>
      </c>
      <c r="CT66" s="12">
        <f>IF('Données projet'!$A$140&gt;35,CT65+CS66-DB65,IF(A66&lt;'Données projet'!$A$140,$CQ$205^A66,IF(A66='Données projet'!$A$140,'Données projet'!$B$140,CT65+CS66-DB65)))</f>
        <v>257.52000000000004</v>
      </c>
      <c r="CU66" s="17">
        <f>CT66*VLOOKUP('Données projet'!$B$13,Paramètres!$A$1:$I$89,3,0)*VLOOKUP('Données projet'!$B$13,Paramètres!$A$1:$I$89,5,0)</f>
        <v>293.26377600000006</v>
      </c>
      <c r="CV66" s="13">
        <f t="shared" si="41"/>
        <v>69.762431113510701</v>
      </c>
      <c r="CW66" s="20">
        <f t="shared" si="13"/>
        <v>632.27064405603119</v>
      </c>
      <c r="CX66" s="59">
        <f t="shared" si="14"/>
        <v>925.60397738936445</v>
      </c>
      <c r="CY66" s="59">
        <f ca="1">AVERAGE(OFFSET($CX$3,0,0,'Données projet'!$E$13+1,1))-AVERAGE(OFFSET($H$3,0,0,'Données projet'!$E$13+1,1))</f>
        <v>770.11410336045037</v>
      </c>
      <c r="CZ66" s="59">
        <f t="shared" si="42"/>
        <v>227.12611049004596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52.350006475859594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52.350006475859594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13.062500000000007</v>
      </c>
      <c r="DO66" s="12">
        <f>IF('Données projet'!$A$166&gt;35,DO65+DN66-DW65,IF(A66&lt;'Données projet'!$A$166,$DL$205^A66,IF(A66='Données projet'!$A$166,'Données projet'!$B$166,DO65+DN66-DW65)))</f>
        <v>349.73250000000007</v>
      </c>
      <c r="DP66" s="17">
        <f>DO66*VLOOKUP('Données projet'!$B$14,Paramètres!$A$1:$I$89,3,0)*VLOOKUP('Données projet'!$B$14,Paramètres!$A$1:$I$89,5,0)</f>
        <v>354.62875500000007</v>
      </c>
      <c r="DQ66" s="13">
        <f t="shared" si="43"/>
        <v>82.514889946092978</v>
      </c>
      <c r="DR66" s="20">
        <f t="shared" si="16"/>
        <v>761.35851494777864</v>
      </c>
      <c r="DS66" s="59">
        <f t="shared" si="17"/>
        <v>1054.691848281112</v>
      </c>
      <c r="DT66" s="59">
        <f ca="1">AVERAGE(OFFSET($DS$3,0,0,'Données projet'!$E$14+1,1))-AVERAGE(OFFSET($H$3,0,0,'Données projet'!$E$14+1,1))</f>
        <v>778.88878505968955</v>
      </c>
      <c r="DU66" s="59">
        <f t="shared" si="44"/>
        <v>279.20782832611059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79.201753536004432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79.201753536004432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369.00000000000011</v>
      </c>
      <c r="O67" s="13">
        <f>N67*VLOOKUP('Données projet'!$B$9,Paramètres!$A$1:$I$89,3,0)*VLOOKUP('Données projet'!$B$9,Paramètres!$A$1:$I$89,5,0)</f>
        <v>333.87120000000004</v>
      </c>
      <c r="P67" s="13">
        <f t="shared" si="33"/>
        <v>78.232360111376309</v>
      </c>
      <c r="Q67" s="20">
        <f t="shared" ref="Q67:Q98" si="54">(O67+P67)*0.475*44/12</f>
        <v>717.74703386064709</v>
      </c>
      <c r="R67" s="59">
        <f t="shared" ref="R67:R130" si="55">Q67+(I67+J67)*44/12</f>
        <v>1011.0803671939805</v>
      </c>
      <c r="S67" s="59">
        <f ca="1">AVERAGE(OFFSET($R$3,0,0,'Données projet'!$E$9+1,1))-AVERAGE(OFFSET($H$3,0,0,'Données projet'!$E$9+1,1))</f>
        <v>436.4497226650281</v>
      </c>
      <c r="T67" s="59">
        <f t="shared" si="34"/>
        <v>611.43967996341871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5.3913150819757183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5.3913150819757183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630</v>
      </c>
      <c r="AJ67" s="13">
        <f>AI67*VLOOKUP('Données projet'!$B$10,Paramètres!$A$1:$I$89,3,0)*VLOOKUP('Données projet'!$B$10,Paramètres!$A$1:$I$89,5,0)</f>
        <v>550.36800000000005</v>
      </c>
      <c r="AK67" s="13">
        <f t="shared" si="35"/>
        <v>121.67271812244785</v>
      </c>
      <c r="AL67" s="20">
        <f t="shared" si="4"/>
        <v>1170.4709173965966</v>
      </c>
      <c r="AM67" s="59">
        <f t="shared" si="5"/>
        <v>1463.8042507299299</v>
      </c>
      <c r="AN67" s="59">
        <f ca="1">AVERAGE(OFFSET($AM$3,0,0,'Données projet'!$E$10+1,1))-AVERAGE(OFFSET($H$3,0,0,'Données projet'!$E$10+1,1))</f>
        <v>662.13838733542616</v>
      </c>
      <c r="AO67" s="59">
        <f t="shared" si="36"/>
        <v>1194.915361841041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16.133750000000006</v>
      </c>
      <c r="BD67" s="12">
        <f>IF('Données projet'!$A$88&gt;35,BD66+BC67-BL66,IF(A67&lt;'Données projet'!$A$88,$BA$205^A67,IF(A67='Données projet'!$A$88,'Données projet'!$B$88,BD66+BC67-BL66)))</f>
        <v>358.41375000000062</v>
      </c>
      <c r="BE67" s="13">
        <f>BD67*VLOOKUP('Données projet'!$B$11,Paramètres!$A$1:$I$89,3,0)*VLOOKUP('Données projet'!$B$11,Paramètres!$A$1:$I$89,5,0)</f>
        <v>167.73763500000027</v>
      </c>
      <c r="BF67" s="13">
        <f t="shared" si="37"/>
        <v>42.582934678270782</v>
      </c>
      <c r="BG67" s="20">
        <f t="shared" si="7"/>
        <v>366.30832552298875</v>
      </c>
      <c r="BH67" s="59">
        <f t="shared" si="8"/>
        <v>659.64165885632201</v>
      </c>
      <c r="BI67" s="59">
        <f ca="1">AVERAGE(OFFSET($BH$3,0,0,'Données projet'!$E$11+1,1))-AVERAGE(OFFSET($H$3,0,0,'Données projet'!$E$11+1,1))</f>
        <v>321.82962838167799</v>
      </c>
      <c r="BJ67" s="59">
        <f t="shared" si="38"/>
        <v>243.43396255104295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115.3096178745094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115.3096178745094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187.80389738728508</v>
      </c>
      <c r="CE67" s="59">
        <f t="shared" si="40"/>
        <v>439.28159165815265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62.990129381712059</v>
      </c>
      <c r="CL67" s="21">
        <f>EXP(-LN(2)/25)*CL66+(1-EXP(-LN(2)/25))/(LN(2)/25)*Calculateur!CG67*Calculateur!CI67*VLOOKUP('Données projet'!$B$12,Paramètres!$A$1:$I$89,3,0)*0.475*44/12</f>
        <v>5.6011451947831805</v>
      </c>
      <c r="CM67" s="21">
        <f>EXP(-LN(2)/2)*CM66+(1-EXP(-LN(2)/2))/(LN(2)/2)*CG67*CJ67*VLOOKUP('Données projet'!$B$12,Paramètres!$A$1:$I$89,3,0)*0.475*44/12</f>
        <v>3.4303288270992197E-7</v>
      </c>
      <c r="CN67" s="22">
        <f t="shared" si="12"/>
        <v>68.591274919528118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</v>
      </c>
      <c r="CT67" s="12">
        <f>IF('Données projet'!$A$140&gt;35,CT66+CS67-DB66,IF(A67&lt;'Données projet'!$A$140,$CQ$205^A67,IF(A67='Données projet'!$A$140,'Données projet'!$B$140,CT66+CS67-DB66)))</f>
        <v>267.27000000000004</v>
      </c>
      <c r="CU67" s="17">
        <f>CT67*VLOOKUP('Données projet'!$B$13,Paramètres!$A$1:$I$89,3,0)*VLOOKUP('Données projet'!$B$13,Paramètres!$A$1:$I$89,5,0)</f>
        <v>304.36707600000005</v>
      </c>
      <c r="CV67" s="13">
        <f t="shared" si="41"/>
        <v>72.091198887040989</v>
      </c>
      <c r="CW67" s="20">
        <f t="shared" si="13"/>
        <v>655.66482876159637</v>
      </c>
      <c r="CX67" s="59">
        <f t="shared" si="14"/>
        <v>948.99816209492974</v>
      </c>
      <c r="CY67" s="59">
        <f ca="1">AVERAGE(OFFSET($CX$3,0,0,'Données projet'!$E$13+1,1))-AVERAGE(OFFSET($H$3,0,0,'Données projet'!$E$13+1,1))</f>
        <v>770.11410336045037</v>
      </c>
      <c r="CZ67" s="59">
        <f t="shared" si="42"/>
        <v>227.12611049004596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51.323454779219077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51.323454779219077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13.062500000000007</v>
      </c>
      <c r="DO67" s="12">
        <f>IF('Données projet'!$A$166&gt;35,DO66+DN67-DW66,IF(A67&lt;'Données projet'!$A$166,$DL$205^A67,IF(A67='Données projet'!$A$166,'Données projet'!$B$166,DO66+DN67-DW66)))</f>
        <v>362.79500000000007</v>
      </c>
      <c r="DP67" s="17">
        <f>DO67*VLOOKUP('Données projet'!$B$14,Paramètres!$A$1:$I$89,3,0)*VLOOKUP('Données projet'!$B$14,Paramètres!$A$1:$I$89,5,0)</f>
        <v>367.87413000000009</v>
      </c>
      <c r="DQ67" s="13">
        <f t="shared" si="43"/>
        <v>85.232243548932175</v>
      </c>
      <c r="DR67" s="20">
        <f t="shared" si="16"/>
        <v>789.16026726439031</v>
      </c>
      <c r="DS67" s="59">
        <f t="shared" si="17"/>
        <v>1082.4936005977236</v>
      </c>
      <c r="DT67" s="59">
        <f ca="1">AVERAGE(OFFSET($DS$3,0,0,'Données projet'!$E$14+1,1))-AVERAGE(OFFSET($H$3,0,0,'Données projet'!$E$14+1,1))</f>
        <v>778.88878505968955</v>
      </c>
      <c r="DU67" s="59">
        <f t="shared" si="44"/>
        <v>279.20782832611059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77.648655457462993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77.648655457462993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369.00000000000011</v>
      </c>
      <c r="O68" s="13">
        <f>N68*VLOOKUP('Données projet'!$B$9,Paramètres!$A$1:$I$89,3,0)*VLOOKUP('Données projet'!$B$9,Paramètres!$A$1:$I$89,5,0)</f>
        <v>333.87120000000004</v>
      </c>
      <c r="P68" s="13">
        <f t="shared" si="33"/>
        <v>78.232360111376309</v>
      </c>
      <c r="Q68" s="20">
        <f t="shared" si="54"/>
        <v>717.74703386064709</v>
      </c>
      <c r="R68" s="59">
        <f t="shared" si="55"/>
        <v>1011.0803671939805</v>
      </c>
      <c r="S68" s="59">
        <f ca="1">AVERAGE(OFFSET($R$3,0,0,'Données projet'!$E$9+1,1))-AVERAGE(OFFSET($H$3,0,0,'Données projet'!$E$9+1,1))</f>
        <v>436.4497226650281</v>
      </c>
      <c r="T68" s="59">
        <f t="shared" si="34"/>
        <v>611.43967996341871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5.2855946815956738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5.2855946815956738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630</v>
      </c>
      <c r="AJ68" s="13">
        <f>AI68*VLOOKUP('Données projet'!$B$10,Paramètres!$A$1:$I$89,3,0)*VLOOKUP('Données projet'!$B$10,Paramètres!$A$1:$I$89,5,0)</f>
        <v>550.36800000000005</v>
      </c>
      <c r="AK68" s="13">
        <f t="shared" si="35"/>
        <v>121.67271812244785</v>
      </c>
      <c r="AL68" s="20">
        <f t="shared" ref="AL68:AL131" si="58">(AJ68+AK68)*0.475*44/12</f>
        <v>1170.4709173965966</v>
      </c>
      <c r="AM68" s="59">
        <f t="shared" ref="AM68:AM131" si="59">AL68+(AD68+AE68)*44/12</f>
        <v>1463.8042507299299</v>
      </c>
      <c r="AN68" s="59">
        <f ca="1">AVERAGE(OFFSET($AM$3,0,0,'Données projet'!$E$10+1,1))-AVERAGE(OFFSET($H$3,0,0,'Données projet'!$E$10+1,1))</f>
        <v>662.13838733542616</v>
      </c>
      <c r="AO68" s="59">
        <f t="shared" si="36"/>
        <v>1194.915361841041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16.133750000000006</v>
      </c>
      <c r="BD68" s="12">
        <f>IF('Données projet'!$A$88&gt;35,BD67+BC68-BL67,IF(A68&lt;'Données projet'!$A$88,$BA$205^A68,IF(A68='Données projet'!$A$88,'Données projet'!$B$88,BD67+BC68-BL67)))</f>
        <v>374.54750000000064</v>
      </c>
      <c r="BE68" s="13">
        <f>BD68*VLOOKUP('Données projet'!$B$11,Paramètres!$A$1:$I$89,3,0)*VLOOKUP('Données projet'!$B$11,Paramètres!$A$1:$I$89,5,0)</f>
        <v>175.28823000000028</v>
      </c>
      <c r="BF68" s="13">
        <f t="shared" si="37"/>
        <v>44.272291346226936</v>
      </c>
      <c r="BG68" s="20">
        <f t="shared" ref="BG68:BG131" si="61">(BE68+BF68)*0.475*44/12</f>
        <v>382.40124134467914</v>
      </c>
      <c r="BH68" s="59">
        <f t="shared" ref="BH68:BH131" si="62">BG68+(AY68+AZ68)*44/12</f>
        <v>675.73457467801245</v>
      </c>
      <c r="BI68" s="59">
        <f ca="1">AVERAGE(OFFSET($BH$3,0,0,'Données projet'!$E$11+1,1))-AVERAGE(OFFSET($H$3,0,0,'Données projet'!$E$11+1,1))</f>
        <v>321.82962838167799</v>
      </c>
      <c r="BJ68" s="59">
        <f t="shared" si="38"/>
        <v>243.43396255104295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113.04846659991247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113.04846659991247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187.80389738728508</v>
      </c>
      <c r="CE68" s="59">
        <f t="shared" si="40"/>
        <v>439.28159165815265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61.754931364721934</v>
      </c>
      <c r="CL68" s="21">
        <f>EXP(-LN(2)/25)*CL67+(1-EXP(-LN(2)/25))/(LN(2)/25)*Calculateur!CG68*Calculateur!CI68*VLOOKUP('Données projet'!$B$12,Paramètres!$A$1:$I$89,3,0)*0.475*44/12</f>
        <v>5.4479815848804103</v>
      </c>
      <c r="CM68" s="21">
        <f>EXP(-LN(2)/2)*CM67+(1-EXP(-LN(2)/2))/(LN(2)/2)*CG68*CJ68*VLOOKUP('Données projet'!$B$12,Paramètres!$A$1:$I$89,3,0)*0.475*44/12</f>
        <v>2.4256087753415542E-7</v>
      </c>
      <c r="CN68" s="22">
        <f t="shared" ref="CN68:CN131" si="66">SUM(CK68:CM68)</f>
        <v>67.202913192163223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</v>
      </c>
      <c r="CT68" s="12">
        <f>IF('Données projet'!$A$140&gt;35,CT67+CS68-DB67,IF(A68&lt;'Données projet'!$A$140,$CQ$205^A68,IF(A68='Données projet'!$A$140,'Données projet'!$B$140,CT67+CS68-DB67)))</f>
        <v>277.02000000000004</v>
      </c>
      <c r="CU68" s="17">
        <f>CT68*VLOOKUP('Données projet'!$B$13,Paramètres!$A$1:$I$89,3,0)*VLOOKUP('Données projet'!$B$13,Paramètres!$A$1:$I$89,5,0)</f>
        <v>315.47037600000004</v>
      </c>
      <c r="CV68" s="13">
        <f t="shared" si="41"/>
        <v>74.410096741626916</v>
      </c>
      <c r="CW68" s="20">
        <f t="shared" ref="CW68:CW131" si="67">(CU68+CV68)*0.475*44/12</f>
        <v>679.04182335833355</v>
      </c>
      <c r="CX68" s="59">
        <f t="shared" ref="CX68:CX131" si="68">CW68+(CO68+CP68)*44/12</f>
        <v>972.37515669166692</v>
      </c>
      <c r="CY68" s="59">
        <f ca="1">AVERAGE(OFFSET($CX$3,0,0,'Données projet'!$E$13+1,1))-AVERAGE(OFFSET($H$3,0,0,'Données projet'!$E$13+1,1))</f>
        <v>770.11410336045037</v>
      </c>
      <c r="CZ68" s="59">
        <f t="shared" si="42"/>
        <v>227.12611049004596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50.31703313521497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50.31703313521497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13.062500000000007</v>
      </c>
      <c r="DO68" s="12">
        <f>IF('Données projet'!$A$166&gt;35,DO67+DN68-DW67,IF(A68&lt;'Données projet'!$A$166,$DL$205^A68,IF(A68='Données projet'!$A$166,'Données projet'!$B$166,DO67+DN68-DW67)))</f>
        <v>375.85750000000007</v>
      </c>
      <c r="DP68" s="17">
        <f>DO68*VLOOKUP('Données projet'!$B$14,Paramètres!$A$1:$I$89,3,0)*VLOOKUP('Données projet'!$B$14,Paramètres!$A$1:$I$89,5,0)</f>
        <v>381.11950500000012</v>
      </c>
      <c r="DQ68" s="13">
        <f t="shared" si="43"/>
        <v>87.938229951020219</v>
      </c>
      <c r="DR68" s="20">
        <f t="shared" ref="DR68:DR131" si="70">(DP68+DQ68)*0.475*44/12</f>
        <v>816.94222170636033</v>
      </c>
      <c r="DS68" s="59">
        <f t="shared" ref="DS68:DS131" si="71">DR68+(DJ68+DK68)*44/12</f>
        <v>1110.2755550396937</v>
      </c>
      <c r="DT68" s="59">
        <f ca="1">AVERAGE(OFFSET($DS$3,0,0,'Données projet'!$E$14+1,1))-AVERAGE(OFFSET($H$3,0,0,'Données projet'!$E$14+1,1))</f>
        <v>778.88878505968955</v>
      </c>
      <c r="DU68" s="59">
        <f t="shared" si="44"/>
        <v>279.20782832611059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76.126012684945465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76.126012684945465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369.00000000000011</v>
      </c>
      <c r="O69" s="13">
        <f>N69*VLOOKUP('Données projet'!$B$9,Paramètres!$A$1:$I$89,3,0)*VLOOKUP('Données projet'!$B$9,Paramètres!$A$1:$I$89,5,0)</f>
        <v>333.87120000000004</v>
      </c>
      <c r="P69" s="13">
        <f t="shared" ref="P69:P132" si="87">EXP(-1.0587+0.8836*LN(O69)+0.284)</f>
        <v>78.232360111376309</v>
      </c>
      <c r="Q69" s="20">
        <f t="shared" si="54"/>
        <v>717.74703386064709</v>
      </c>
      <c r="R69" s="59">
        <f t="shared" si="55"/>
        <v>1011.0803671939805</v>
      </c>
      <c r="S69" s="59">
        <f ca="1">AVERAGE(OFFSET($R$3,0,0,'Données projet'!$E$9+1,1))-AVERAGE(OFFSET($H$3,0,0,'Données projet'!$E$9+1,1))</f>
        <v>436.4497226650281</v>
      </c>
      <c r="T69" s="59">
        <f t="shared" ref="T69:T132" si="88">$T$3</f>
        <v>611.43967996341871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5.1819473937840055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5.1819473937840055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630</v>
      </c>
      <c r="AJ69" s="13">
        <f>AI69*VLOOKUP('Données projet'!$B$10,Paramètres!$A$1:$I$89,3,0)*VLOOKUP('Données projet'!$B$10,Paramètres!$A$1:$I$89,5,0)</f>
        <v>550.36800000000005</v>
      </c>
      <c r="AK69" s="13">
        <f t="shared" ref="AK69:AK132" si="89">EXP(-1.0587+0.8836*LN(AJ69)+0.284)</f>
        <v>121.67271812244785</v>
      </c>
      <c r="AL69" s="20">
        <f t="shared" si="58"/>
        <v>1170.4709173965966</v>
      </c>
      <c r="AM69" s="59">
        <f t="shared" si="59"/>
        <v>1463.8042507299299</v>
      </c>
      <c r="AN69" s="59">
        <f ca="1">AVERAGE(OFFSET($AM$3,0,0,'Données projet'!$E$10+1,1))-AVERAGE(OFFSET($H$3,0,0,'Données projet'!$E$10+1,1))</f>
        <v>662.13838733542616</v>
      </c>
      <c r="AO69" s="59">
        <f t="shared" ref="AO69:AO132" si="90">$AO$3</f>
        <v>1194.915361841041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16.133750000000006</v>
      </c>
      <c r="BD69" s="12">
        <f>IF('Données projet'!$A$88&gt;35,BD68+BC69-BL68,IF(A69&lt;'Données projet'!$A$88,$BA$205^A69,IF(A69='Données projet'!$A$88,'Données projet'!$B$88,BD68+BC69-BL68)))</f>
        <v>390.68125000000066</v>
      </c>
      <c r="BE69" s="13">
        <f>BD69*VLOOKUP('Données projet'!$B$11,Paramètres!$A$1:$I$89,3,0)*VLOOKUP('Données projet'!$B$11,Paramètres!$A$1:$I$89,5,0)</f>
        <v>182.8388250000003</v>
      </c>
      <c r="BF69" s="13">
        <f t="shared" ref="BF69:BF132" si="91">EXP(-1.0587+0.8836*LN(BE69)+0.284)</f>
        <v>45.953196076450112</v>
      </c>
      <c r="BG69" s="20">
        <f t="shared" si="61"/>
        <v>398.47943670815107</v>
      </c>
      <c r="BH69" s="59">
        <f t="shared" si="62"/>
        <v>691.81277004148433</v>
      </c>
      <c r="BI69" s="59">
        <f ca="1">AVERAGE(OFFSET($BH$3,0,0,'Données projet'!$E$11+1,1))-AVERAGE(OFFSET($H$3,0,0,'Données projet'!$E$11+1,1))</f>
        <v>321.82962838167799</v>
      </c>
      <c r="BJ69" s="59">
        <f t="shared" ref="BJ69:BJ132" si="92">$BJ$3</f>
        <v>243.43396255104295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110.83165512264429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110.83165512264429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187.80389738728508</v>
      </c>
      <c r="CE69" s="59">
        <f t="shared" ref="CE69:CE132" si="94">$CE$3</f>
        <v>439.28159165815265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60.54395482744858</v>
      </c>
      <c r="CL69" s="21">
        <f>EXP(-LN(2)/25)*CL68+(1-EXP(-LN(2)/25))/(LN(2)/25)*Calculateur!CG69*Calculateur!CI69*VLOOKUP('Données projet'!$B$12,Paramètres!$A$1:$I$89,3,0)*0.475*44/12</f>
        <v>5.2990062419449551</v>
      </c>
      <c r="CM69" s="21">
        <f>EXP(-LN(2)/2)*CM68+(1-EXP(-LN(2)/2))/(LN(2)/2)*CG69*CJ69*VLOOKUP('Données projet'!$B$12,Paramètres!$A$1:$I$89,3,0)*0.475*44/12</f>
        <v>1.7151644135496099E-7</v>
      </c>
      <c r="CN69" s="22">
        <f t="shared" si="66"/>
        <v>65.842961240909986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9.75</v>
      </c>
      <c r="CS69" s="12">
        <f t="array" ref="CS69">INDEX(CR:CR,MIN(IF(ISNUMBER(CR69:CR265),ROW(CR69:CR265),"")))</f>
        <v>9.75</v>
      </c>
      <c r="CT69" s="12">
        <f>IF('Données projet'!$A$140&gt;35,CT68+CS69-DB68,IF(A69&lt;'Données projet'!$A$140,$CQ$205^A69,IF(A69='Données projet'!$A$140,'Données projet'!$B$140,CT68+CS69-DB68)))</f>
        <v>286.77000000000004</v>
      </c>
      <c r="CU69" s="17">
        <f>CT69*VLOOKUP('Données projet'!$B$13,Paramètres!$A$1:$I$89,3,0)*VLOOKUP('Données projet'!$B$13,Paramètres!$A$1:$I$89,5,0)</f>
        <v>326.57367600000003</v>
      </c>
      <c r="CV69" s="13">
        <f t="shared" ref="CV69:CV132" si="95">EXP(-1.0587+0.8836*LN(CU69)+0.284)</f>
        <v>76.719511863515876</v>
      </c>
      <c r="CW69" s="20">
        <f t="shared" si="67"/>
        <v>702.40230219562352</v>
      </c>
      <c r="CX69" s="59">
        <f t="shared" si="68"/>
        <v>995.73563552895689</v>
      </c>
      <c r="CY69" s="59">
        <f ca="1">AVERAGE(OFFSET($CX$3,0,0,'Données projet'!$E$13+1,1))-AVERAGE(OFFSET($H$3,0,0,'Données projet'!$E$13+1,1))</f>
        <v>770.11410336045037</v>
      </c>
      <c r="CZ69" s="59">
        <f t="shared" ref="CZ69:CZ132" si="96">$CZ$3</f>
        <v>227.12611049004596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0.43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76.348184868194039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76.348184868194039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388.92</v>
      </c>
      <c r="DM69" s="12">
        <f>VLOOKUP(A69,'Données projet'!$A$165:$I$185,9,0)</f>
        <v>13.062500000000007</v>
      </c>
      <c r="DN69" s="12">
        <f t="array" ref="DN69">INDEX(DM:DM,MIN(IF(ISNUMBER(DM69:DM265),ROW(DM69:DM265),"")))</f>
        <v>13.062500000000007</v>
      </c>
      <c r="DO69" s="12">
        <f>IF('Données projet'!$A$166&gt;35,DO68+DN69-DW68,IF(A69&lt;'Données projet'!$A$166,$DL$205^A69,IF(A69='Données projet'!$A$166,'Données projet'!$B$166,DO68+DN69-DW68)))</f>
        <v>388.92000000000007</v>
      </c>
      <c r="DP69" s="17">
        <f>DO69*VLOOKUP('Données projet'!$B$14,Paramètres!$A$1:$I$89,3,0)*VLOOKUP('Données projet'!$B$14,Paramètres!$A$1:$I$89,5,0)</f>
        <v>394.36488000000008</v>
      </c>
      <c r="DQ69" s="13">
        <f t="shared" ref="DQ69:DQ132" si="97">EXP(-1.0587+0.8836*LN(DP69)+0.284)</f>
        <v>90.633289480086219</v>
      </c>
      <c r="DR69" s="20">
        <f t="shared" si="70"/>
        <v>844.70514517781703</v>
      </c>
      <c r="DS69" s="59">
        <f t="shared" si="71"/>
        <v>1138.0384785111503</v>
      </c>
      <c r="DT69" s="59">
        <f ca="1">AVERAGE(OFFSET($DS$3,0,0,'Données projet'!$E$14+1,1))-AVERAGE(OFFSET($H$3,0,0,'Données projet'!$E$14+1,1))</f>
        <v>778.88878505968955</v>
      </c>
      <c r="DU69" s="59">
        <f t="shared" ref="DU69:DU132" si="98">$DU$3</f>
        <v>279.20782832611059</v>
      </c>
      <c r="DV69" s="15">
        <f>IF(ISNA(VLOOKUP(A69,'Données projet'!$A$165:$I$185,3,0)),0,VLOOKUP(A69,'Données projet'!$A$165:$I$185,3,0))</f>
        <v>5</v>
      </c>
      <c r="DW69" s="15">
        <f>IF(ISNA(VLOOKUP(A69,'Données projet'!$A$165:$I$185,4,0)),0,VLOOKUP(A69,'Données projet'!$A$165:$I$185,4,0))</f>
        <v>71.34</v>
      </c>
      <c r="DX69" s="16">
        <f>IF(ISNA(VLOOKUP(A69,'Données projet'!$A$165:$I$185,5,0)),0%,VLOOKUP(A69,'Données projet'!$A$165:$I$185,5,0)*VLOOKUP('Données projet'!$B$14,Paramètres!$A$1:$I$89,7,0))</f>
        <v>0.43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109.01962129149811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109.01962129149811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369.00000000000011</v>
      </c>
      <c r="O70" s="13">
        <f>N70*VLOOKUP('Données projet'!$B$9,Paramètres!$A$1:$I$89,3,0)*VLOOKUP('Données projet'!$B$9,Paramètres!$A$1:$I$89,5,0)</f>
        <v>333.87120000000004</v>
      </c>
      <c r="P70" s="13">
        <f t="shared" si="87"/>
        <v>78.232360111376309</v>
      </c>
      <c r="Q70" s="20">
        <f t="shared" si="54"/>
        <v>717.74703386064709</v>
      </c>
      <c r="R70" s="59">
        <f t="shared" si="55"/>
        <v>1011.0803671939805</v>
      </c>
      <c r="S70" s="59">
        <f ca="1">AVERAGE(OFFSET($R$3,0,0,'Données projet'!$E$9+1,1))-AVERAGE(OFFSET($H$3,0,0,'Données projet'!$E$9+1,1))</f>
        <v>436.4497226650281</v>
      </c>
      <c r="T70" s="59">
        <f t="shared" si="88"/>
        <v>611.43967996341871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5.0803325660677201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5.0803325660677201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630</v>
      </c>
      <c r="AJ70" s="13">
        <f>AI70*VLOOKUP('Données projet'!$B$10,Paramètres!$A$1:$I$89,3,0)*VLOOKUP('Données projet'!$B$10,Paramètres!$A$1:$I$89,5,0)</f>
        <v>550.36800000000005</v>
      </c>
      <c r="AK70" s="13">
        <f t="shared" si="89"/>
        <v>121.67271812244785</v>
      </c>
      <c r="AL70" s="20">
        <f t="shared" si="58"/>
        <v>1170.4709173965966</v>
      </c>
      <c r="AM70" s="59">
        <f t="shared" si="59"/>
        <v>1463.8042507299299</v>
      </c>
      <c r="AN70" s="59">
        <f ca="1">AVERAGE(OFFSET($AM$3,0,0,'Données projet'!$E$10+1,1))-AVERAGE(OFFSET($H$3,0,0,'Données projet'!$E$10+1,1))</f>
        <v>662.13838733542616</v>
      </c>
      <c r="AO70" s="59">
        <f t="shared" si="90"/>
        <v>1194.915361841041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16.133750000000006</v>
      </c>
      <c r="BD70" s="12">
        <f>IF('Données projet'!$A$88&gt;35,BD69+BC70-BL69,IF(A70&lt;'Données projet'!$A$88,$BA$205^A70,IF(A70='Données projet'!$A$88,'Données projet'!$B$88,BD69+BC70-BL69)))</f>
        <v>406.81500000000068</v>
      </c>
      <c r="BE70" s="13">
        <f>BD70*VLOOKUP('Données projet'!$B$11,Paramètres!$A$1:$I$89,3,0)*VLOOKUP('Données projet'!$B$11,Paramètres!$A$1:$I$89,5,0)</f>
        <v>190.38942000000031</v>
      </c>
      <c r="BF70" s="13">
        <f t="shared" si="91"/>
        <v>47.62603782207168</v>
      </c>
      <c r="BG70" s="20">
        <f t="shared" si="61"/>
        <v>414.54358904010877</v>
      </c>
      <c r="BH70" s="59">
        <f t="shared" si="62"/>
        <v>707.87692237344208</v>
      </c>
      <c r="BI70" s="59">
        <f ca="1">AVERAGE(OFFSET($BH$3,0,0,'Données projet'!$E$11+1,1))-AVERAGE(OFFSET($H$3,0,0,'Données projet'!$E$11+1,1))</f>
        <v>321.82962838167799</v>
      </c>
      <c r="BJ70" s="59">
        <f t="shared" si="92"/>
        <v>243.43396255104295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108.65831396632386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108.65831396632386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187.80389738728508</v>
      </c>
      <c r="CE70" s="59">
        <f t="shared" si="94"/>
        <v>439.28159165815265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59.356724801448408</v>
      </c>
      <c r="CL70" s="21">
        <f>EXP(-LN(2)/25)*CL69+(1-EXP(-LN(2)/25))/(LN(2)/25)*Calculateur!CG70*Calculateur!CI70*VLOOKUP('Données projet'!$B$12,Paramètres!$A$1:$I$89,3,0)*0.475*44/12</f>
        <v>5.1541046375963431</v>
      </c>
      <c r="CM70" s="21">
        <f>EXP(-LN(2)/2)*CM69+(1-EXP(-LN(2)/2))/(LN(2)/2)*CG70*CJ70*VLOOKUP('Données projet'!$B$12,Paramètres!$A$1:$I$89,3,0)*0.475*44/12</f>
        <v>1.2128043876707771E-7</v>
      </c>
      <c r="CN70" s="22">
        <f t="shared" si="66"/>
        <v>64.510829560325192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9.2624999999999993</v>
      </c>
      <c r="CT70" s="12">
        <f>IF('Données projet'!$A$140&gt;35,CT69+CS70-DB69,IF(A70&lt;'Données projet'!$A$140,$CQ$205^A70,IF(A70='Données projet'!$A$140,'Données projet'!$B$140,CT69+CS70-DB69)))</f>
        <v>246.12250000000003</v>
      </c>
      <c r="CU70" s="17">
        <f>CT70*VLOOKUP('Données projet'!$B$13,Paramètres!$A$1:$I$89,3,0)*VLOOKUP('Données projet'!$B$13,Paramètres!$A$1:$I$89,5,0)</f>
        <v>280.28430300000002</v>
      </c>
      <c r="CV70" s="13">
        <f t="shared" si="95"/>
        <v>67.027086728618173</v>
      </c>
      <c r="CW70" s="20">
        <f t="shared" si="67"/>
        <v>604.90067044401007</v>
      </c>
      <c r="CX70" s="59">
        <f t="shared" si="68"/>
        <v>898.23400377734333</v>
      </c>
      <c r="CY70" s="59">
        <f ca="1">AVERAGE(OFFSET($CX$3,0,0,'Données projet'!$E$13+1,1))-AVERAGE(OFFSET($H$3,0,0,'Données projet'!$E$13+1,1))</f>
        <v>770.11410336045037</v>
      </c>
      <c r="CZ70" s="59">
        <f t="shared" si="96"/>
        <v>227.12611049004596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74.851043530723331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74.851043530723331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12.152499999999996</v>
      </c>
      <c r="DO70" s="12">
        <f>IF('Données projet'!$A$166&gt;35,DO69+DN70-DW69,IF(A70&lt;'Données projet'!$A$166,$DL$205^A70,IF(A70='Données projet'!$A$166,'Données projet'!$B$166,DO69+DN70-DW69)))</f>
        <v>329.73250000000007</v>
      </c>
      <c r="DP70" s="17">
        <f>DO70*VLOOKUP('Données projet'!$B$14,Paramètres!$A$1:$I$89,3,0)*VLOOKUP('Données projet'!$B$14,Paramètres!$A$1:$I$89,5,0)</f>
        <v>334.3487550000001</v>
      </c>
      <c r="DQ70" s="13">
        <f t="shared" si="97"/>
        <v>78.331226903244087</v>
      </c>
      <c r="DR70" s="20">
        <f t="shared" si="70"/>
        <v>718.7509684814836</v>
      </c>
      <c r="DS70" s="59">
        <f t="shared" si="71"/>
        <v>1012.0843018148169</v>
      </c>
      <c r="DT70" s="59">
        <f ca="1">AVERAGE(OFFSET($DS$3,0,0,'Données projet'!$E$14+1,1))-AVERAGE(OFFSET($H$3,0,0,'Données projet'!$E$14+1,1))</f>
        <v>778.88878505968955</v>
      </c>
      <c r="DU70" s="59">
        <f t="shared" si="98"/>
        <v>279.20782832611059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106.88181301337495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106.88181301337495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369.00000000000011</v>
      </c>
      <c r="O71" s="13">
        <f>N71*VLOOKUP('Données projet'!$B$9,Paramètres!$A$1:$I$89,3,0)*VLOOKUP('Données projet'!$B$9,Paramètres!$A$1:$I$89,5,0)</f>
        <v>333.87120000000004</v>
      </c>
      <c r="P71" s="13">
        <f t="shared" si="87"/>
        <v>78.232360111376309</v>
      </c>
      <c r="Q71" s="20">
        <f t="shared" si="54"/>
        <v>717.74703386064709</v>
      </c>
      <c r="R71" s="59">
        <f t="shared" si="55"/>
        <v>1011.0803671939805</v>
      </c>
      <c r="S71" s="59">
        <f ca="1">AVERAGE(OFFSET($R$3,0,0,'Données projet'!$E$9+1,1))-AVERAGE(OFFSET($H$3,0,0,'Données projet'!$E$9+1,1))</f>
        <v>436.4497226650281</v>
      </c>
      <c r="T71" s="59">
        <f t="shared" si="88"/>
        <v>611.43967996341871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4.9807103431440263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4.9807103431440263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630</v>
      </c>
      <c r="AJ71" s="13">
        <f>AI71*VLOOKUP('Données projet'!$B$10,Paramètres!$A$1:$I$89,3,0)*VLOOKUP('Données projet'!$B$10,Paramètres!$A$1:$I$89,5,0)</f>
        <v>550.36800000000005</v>
      </c>
      <c r="AK71" s="13">
        <f t="shared" si="89"/>
        <v>121.67271812244785</v>
      </c>
      <c r="AL71" s="20">
        <f t="shared" si="58"/>
        <v>1170.4709173965966</v>
      </c>
      <c r="AM71" s="59">
        <f t="shared" si="59"/>
        <v>1463.8042507299299</v>
      </c>
      <c r="AN71" s="59">
        <f ca="1">AVERAGE(OFFSET($AM$3,0,0,'Données projet'!$E$10+1,1))-AVERAGE(OFFSET($H$3,0,0,'Données projet'!$E$10+1,1))</f>
        <v>662.13838733542616</v>
      </c>
      <c r="AO71" s="59">
        <f t="shared" si="90"/>
        <v>1194.915361841041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16.133750000000006</v>
      </c>
      <c r="BD71" s="12">
        <f>IF('Données projet'!$A$88&gt;35,BD70+BC71-BL70,IF(A71&lt;'Données projet'!$A$88,$BA$205^A71,IF(A71='Données projet'!$A$88,'Données projet'!$B$88,BD70+BC71-BL70)))</f>
        <v>422.9487500000007</v>
      </c>
      <c r="BE71" s="13">
        <f>BD71*VLOOKUP('Données projet'!$B$11,Paramètres!$A$1:$I$89,3,0)*VLOOKUP('Données projet'!$B$11,Paramètres!$A$1:$I$89,5,0)</f>
        <v>197.94001500000033</v>
      </c>
      <c r="BF71" s="13">
        <f t="shared" si="91"/>
        <v>49.291172939044351</v>
      </c>
      <c r="BG71" s="20">
        <f t="shared" si="61"/>
        <v>430.59431899383617</v>
      </c>
      <c r="BH71" s="59">
        <f t="shared" si="62"/>
        <v>723.92765232716943</v>
      </c>
      <c r="BI71" s="59">
        <f ca="1">AVERAGE(OFFSET($BH$3,0,0,'Données projet'!$E$11+1,1))-AVERAGE(OFFSET($H$3,0,0,'Données projet'!$E$11+1,1))</f>
        <v>321.82962838167799</v>
      </c>
      <c r="BJ71" s="59">
        <f t="shared" si="92"/>
        <v>243.43396255104295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106.52759070447165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106.52759070447165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187.80389738728508</v>
      </c>
      <c r="CE71" s="59">
        <f t="shared" si="94"/>
        <v>439.28159165815265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58.192775632119286</v>
      </c>
      <c r="CL71" s="21">
        <f>EXP(-LN(2)/25)*CL70+(1-EXP(-LN(2)/25))/(LN(2)/25)*Calculateur!CG71*Calculateur!CI71*VLOOKUP('Données projet'!$B$12,Paramètres!$A$1:$I$89,3,0)*0.475*44/12</f>
        <v>5.013165375238688</v>
      </c>
      <c r="CM71" s="21">
        <f>EXP(-LN(2)/2)*CM70+(1-EXP(-LN(2)/2))/(LN(2)/2)*CG71*CJ71*VLOOKUP('Données projet'!$B$12,Paramètres!$A$1:$I$89,3,0)*0.475*44/12</f>
        <v>8.5758220677480493E-8</v>
      </c>
      <c r="CN71" s="22">
        <f t="shared" si="66"/>
        <v>63.205941093116195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9.2624999999999993</v>
      </c>
      <c r="CT71" s="12">
        <f>IF('Données projet'!$A$140&gt;35,CT70+CS71-DB70,IF(A71&lt;'Données projet'!$A$140,$CQ$205^A71,IF(A71='Données projet'!$A$140,'Données projet'!$B$140,CT70+CS71-DB70)))</f>
        <v>255.38500000000002</v>
      </c>
      <c r="CU71" s="17">
        <f>CT71*VLOOKUP('Données projet'!$B$13,Paramètres!$A$1:$I$89,3,0)*VLOOKUP('Données projet'!$B$13,Paramètres!$A$1:$I$89,5,0)</f>
        <v>290.83243800000002</v>
      </c>
      <c r="CV71" s="13">
        <f t="shared" si="95"/>
        <v>69.251132775268985</v>
      </c>
      <c r="CW71" s="20">
        <f t="shared" si="67"/>
        <v>627.14555243359348</v>
      </c>
      <c r="CX71" s="59">
        <f t="shared" si="68"/>
        <v>920.47888576692685</v>
      </c>
      <c r="CY71" s="59">
        <f ca="1">AVERAGE(OFFSET($CX$3,0,0,'Données projet'!$E$13+1,1))-AVERAGE(OFFSET($H$3,0,0,'Données projet'!$E$13+1,1))</f>
        <v>770.11410336045037</v>
      </c>
      <c r="CZ71" s="59">
        <f t="shared" si="96"/>
        <v>227.12611049004596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73.38326022171438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73.38326022171438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12.152499999999996</v>
      </c>
      <c r="DO71" s="12">
        <f>IF('Données projet'!$A$166&gt;35,DO70+DN71-DW70,IF(A71&lt;'Données projet'!$A$166,$DL$205^A71,IF(A71='Données projet'!$A$166,'Données projet'!$B$166,DO70+DN71-DW70)))</f>
        <v>341.88500000000005</v>
      </c>
      <c r="DP71" s="17">
        <f>DO71*VLOOKUP('Données projet'!$B$14,Paramètres!$A$1:$I$89,3,0)*VLOOKUP('Données projet'!$B$14,Paramètres!$A$1:$I$89,5,0)</f>
        <v>346.67139000000009</v>
      </c>
      <c r="DQ71" s="13">
        <f t="shared" si="97"/>
        <v>80.876735153778483</v>
      </c>
      <c r="DR71" s="20">
        <f t="shared" si="70"/>
        <v>744.64631797616437</v>
      </c>
      <c r="DS71" s="59">
        <f t="shared" si="71"/>
        <v>1037.9796513094977</v>
      </c>
      <c r="DT71" s="59">
        <f ca="1">AVERAGE(OFFSET($DS$3,0,0,'Données projet'!$E$14+1,1))-AVERAGE(OFFSET($H$3,0,0,'Données projet'!$E$14+1,1))</f>
        <v>778.88878505968955</v>
      </c>
      <c r="DU71" s="59">
        <f t="shared" si="98"/>
        <v>279.20782832611059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104.78592585165148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104.78592585165148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369.00000000000011</v>
      </c>
      <c r="O72" s="13">
        <f>N72*VLOOKUP('Données projet'!$B$9,Paramètres!$A$1:$I$89,3,0)*VLOOKUP('Données projet'!$B$9,Paramètres!$A$1:$I$89,5,0)</f>
        <v>333.87120000000004</v>
      </c>
      <c r="P72" s="13">
        <f t="shared" si="87"/>
        <v>78.232360111376309</v>
      </c>
      <c r="Q72" s="20">
        <f t="shared" si="54"/>
        <v>717.74703386064709</v>
      </c>
      <c r="R72" s="59">
        <f t="shared" si="55"/>
        <v>1011.0803671939805</v>
      </c>
      <c r="S72" s="59">
        <f ca="1">AVERAGE(OFFSET($R$3,0,0,'Données projet'!$E$9+1,1))-AVERAGE(OFFSET($H$3,0,0,'Données projet'!$E$9+1,1))</f>
        <v>436.4497226650281</v>
      </c>
      <c r="T72" s="59">
        <f t="shared" si="88"/>
        <v>611.43967996341871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4.8830416512483099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4.8830416512483099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630</v>
      </c>
      <c r="AJ72" s="13">
        <f>AI72*VLOOKUP('Données projet'!$B$10,Paramètres!$A$1:$I$89,3,0)*VLOOKUP('Données projet'!$B$10,Paramètres!$A$1:$I$89,5,0)</f>
        <v>550.36800000000005</v>
      </c>
      <c r="AK72" s="13">
        <f t="shared" si="89"/>
        <v>121.67271812244785</v>
      </c>
      <c r="AL72" s="20">
        <f t="shared" si="58"/>
        <v>1170.4709173965966</v>
      </c>
      <c r="AM72" s="59">
        <f t="shared" si="59"/>
        <v>1463.8042507299299</v>
      </c>
      <c r="AN72" s="59">
        <f ca="1">AVERAGE(OFFSET($AM$3,0,0,'Données projet'!$E$10+1,1))-AVERAGE(OFFSET($H$3,0,0,'Données projet'!$E$10+1,1))</f>
        <v>662.13838733542616</v>
      </c>
      <c r="AO72" s="59">
        <f t="shared" si="90"/>
        <v>1194.915361841041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16.133750000000006</v>
      </c>
      <c r="BD72" s="12">
        <f>IF('Données projet'!$A$88&gt;35,BD71+BC72-BL71,IF(A72&lt;'Données projet'!$A$88,$BA$205^A72,IF(A72='Données projet'!$A$88,'Données projet'!$B$88,BD71+BC72-BL71)))</f>
        <v>439.08250000000072</v>
      </c>
      <c r="BE72" s="13">
        <f>BD72*VLOOKUP('Données projet'!$B$11,Paramètres!$A$1:$I$89,3,0)*VLOOKUP('Données projet'!$B$11,Paramètres!$A$1:$I$89,5,0)</f>
        <v>205.49061000000034</v>
      </c>
      <c r="BF72" s="13">
        <f t="shared" si="91"/>
        <v>50.948929056500454</v>
      </c>
      <c r="BG72" s="20">
        <f t="shared" si="61"/>
        <v>446.63219719007219</v>
      </c>
      <c r="BH72" s="59">
        <f t="shared" si="62"/>
        <v>739.9655305234055</v>
      </c>
      <c r="BI72" s="59">
        <f ca="1">AVERAGE(OFFSET($BH$3,0,0,'Données projet'!$E$11+1,1))-AVERAGE(OFFSET($H$3,0,0,'Données projet'!$E$11+1,1))</f>
        <v>321.82962838167799</v>
      </c>
      <c r="BJ72" s="59">
        <f t="shared" si="92"/>
        <v>243.43396255104295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104.4386496261715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104.4386496261715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187.80389738728508</v>
      </c>
      <c r="CE72" s="59">
        <f t="shared" si="94"/>
        <v>439.28159165815265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57.051650796061814</v>
      </c>
      <c r="CL72" s="21">
        <f>EXP(-LN(2)/25)*CL71+(1-EXP(-LN(2)/25))/(LN(2)/25)*Calculateur!CG72*Calculateur!CI72*VLOOKUP('Données projet'!$B$12,Paramètres!$A$1:$I$89,3,0)*0.475*44/12</f>
        <v>4.8760801044218764</v>
      </c>
      <c r="CM72" s="21">
        <f>EXP(-LN(2)/2)*CM71+(1-EXP(-LN(2)/2))/(LN(2)/2)*CG72*CJ72*VLOOKUP('Données projet'!$B$12,Paramètres!$A$1:$I$89,3,0)*0.475*44/12</f>
        <v>6.0640219383538854E-8</v>
      </c>
      <c r="CN72" s="22">
        <f t="shared" si="66"/>
        <v>61.927730961123906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9.2624999999999993</v>
      </c>
      <c r="CT72" s="12">
        <f>IF('Données projet'!$A$140&gt;35,CT71+CS72-DB71,IF(A72&lt;'Données projet'!$A$140,$CQ$205^A72,IF(A72='Données projet'!$A$140,'Données projet'!$B$140,CT71+CS72-DB71)))</f>
        <v>264.64750000000004</v>
      </c>
      <c r="CU72" s="17">
        <f>CT72*VLOOKUP('Données projet'!$B$13,Paramètres!$A$1:$I$89,3,0)*VLOOKUP('Données projet'!$B$13,Paramètres!$A$1:$I$89,5,0)</f>
        <v>301.38057300000003</v>
      </c>
      <c r="CV72" s="13">
        <f t="shared" si="95"/>
        <v>71.465807221310627</v>
      </c>
      <c r="CW72" s="20">
        <f t="shared" si="67"/>
        <v>649.37411221878267</v>
      </c>
      <c r="CX72" s="59">
        <f t="shared" si="68"/>
        <v>942.70744555211604</v>
      </c>
      <c r="CY72" s="59">
        <f ca="1">AVERAGE(OFFSET($CX$3,0,0,'Données projet'!$E$13+1,1))-AVERAGE(OFFSET($H$3,0,0,'Données projet'!$E$13+1,1))</f>
        <v>770.11410336045037</v>
      </c>
      <c r="CZ72" s="59">
        <f t="shared" si="96"/>
        <v>227.12611049004596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71.94425924813568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71.94425924813568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12.152499999999996</v>
      </c>
      <c r="DO72" s="12">
        <f>IF('Données projet'!$A$166&gt;35,DO71+DN72-DW71,IF(A72&lt;'Données projet'!$A$166,$DL$205^A72,IF(A72='Données projet'!$A$166,'Données projet'!$B$166,DO71+DN72-DW71)))</f>
        <v>354.03750000000002</v>
      </c>
      <c r="DP72" s="17">
        <f>DO72*VLOOKUP('Données projet'!$B$14,Paramètres!$A$1:$I$89,3,0)*VLOOKUP('Données projet'!$B$14,Paramètres!$A$1:$I$89,5,0)</f>
        <v>358.99402500000002</v>
      </c>
      <c r="DQ72" s="13">
        <f t="shared" si="97"/>
        <v>83.411730770147727</v>
      </c>
      <c r="DR72" s="20">
        <f t="shared" si="70"/>
        <v>770.52335796634054</v>
      </c>
      <c r="DS72" s="59">
        <f t="shared" si="71"/>
        <v>1063.8566912996739</v>
      </c>
      <c r="DT72" s="59">
        <f ca="1">AVERAGE(OFFSET($DS$3,0,0,'Données projet'!$E$14+1,1))-AVERAGE(OFFSET($H$3,0,0,'Données projet'!$E$14+1,1))</f>
        <v>778.88878505968955</v>
      </c>
      <c r="DU72" s="59">
        <f t="shared" si="98"/>
        <v>279.20782832611059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102.73113775880448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102.73113775880448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369.00000000000011</v>
      </c>
      <c r="O73" s="13">
        <f>N73*VLOOKUP('Données projet'!$B$9,Paramètres!$A$1:$I$89,3,0)*VLOOKUP('Données projet'!$B$9,Paramètres!$A$1:$I$89,5,0)</f>
        <v>333.87120000000004</v>
      </c>
      <c r="P73" s="13">
        <f t="shared" si="87"/>
        <v>78.232360111376309</v>
      </c>
      <c r="Q73" s="20">
        <f t="shared" si="54"/>
        <v>717.74703386064709</v>
      </c>
      <c r="R73" s="59">
        <f t="shared" si="55"/>
        <v>1011.0803671939805</v>
      </c>
      <c r="S73" s="59">
        <f ca="1">AVERAGE(OFFSET($R$3,0,0,'Données projet'!$E$9+1,1))-AVERAGE(OFFSET($H$3,0,0,'Données projet'!$E$9+1,1))</f>
        <v>436.4497226650281</v>
      </c>
      <c r="T73" s="59">
        <f t="shared" si="88"/>
        <v>611.43967996341871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4.7872881828286493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4.7872881828286493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630</v>
      </c>
      <c r="AJ73" s="13">
        <f>AI73*VLOOKUP('Données projet'!$B$10,Paramètres!$A$1:$I$89,3,0)*VLOOKUP('Données projet'!$B$10,Paramètres!$A$1:$I$89,5,0)</f>
        <v>550.36800000000005</v>
      </c>
      <c r="AK73" s="13">
        <f t="shared" si="89"/>
        <v>121.67271812244785</v>
      </c>
      <c r="AL73" s="20">
        <f t="shared" si="58"/>
        <v>1170.4709173965966</v>
      </c>
      <c r="AM73" s="59">
        <f t="shared" si="59"/>
        <v>1463.8042507299299</v>
      </c>
      <c r="AN73" s="59">
        <f ca="1">AVERAGE(OFFSET($AM$3,0,0,'Données projet'!$E$10+1,1))-AVERAGE(OFFSET($H$3,0,0,'Données projet'!$E$10+1,1))</f>
        <v>662.13838733542616</v>
      </c>
      <c r="AO73" s="59">
        <f t="shared" si="90"/>
        <v>1194.915361841041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16.133750000000006</v>
      </c>
      <c r="BD73" s="12">
        <f>IF('Données projet'!$A$88&gt;35,BD72+BC73-BL72,IF(A73&lt;'Données projet'!$A$88,$BA$205^A73,IF(A73='Données projet'!$A$88,'Données projet'!$B$88,BD72+BC73-BL72)))</f>
        <v>455.21625000000074</v>
      </c>
      <c r="BE73" s="13">
        <f>BD73*VLOOKUP('Données projet'!$B$11,Paramètres!$A$1:$I$89,3,0)*VLOOKUP('Données projet'!$B$11,Paramètres!$A$1:$I$89,5,0)</f>
        <v>213.04120500000033</v>
      </c>
      <c r="BF73" s="13">
        <f t="shared" si="91"/>
        <v>52.599608362267411</v>
      </c>
      <c r="BG73" s="20">
        <f t="shared" si="61"/>
        <v>462.65774993928295</v>
      </c>
      <c r="BH73" s="59">
        <f t="shared" si="62"/>
        <v>755.99108327261627</v>
      </c>
      <c r="BI73" s="59">
        <f ca="1">AVERAGE(OFFSET($BH$3,0,0,'Données projet'!$E$11+1,1))-AVERAGE(OFFSET($H$3,0,0,'Données projet'!$E$11+1,1))</f>
        <v>321.82962838167799</v>
      </c>
      <c r="BJ73" s="59">
        <f t="shared" si="92"/>
        <v>243.43396255104295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102.39067140828857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102.39067140828857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187.80389738728508</v>
      </c>
      <c r="CE73" s="59">
        <f t="shared" si="94"/>
        <v>439.28159165815265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55.932902722022007</v>
      </c>
      <c r="CL73" s="21">
        <f>EXP(-LN(2)/25)*CL72+(1-EXP(-LN(2)/25))/(LN(2)/25)*Calculateur!CG73*Calculateur!CI73*VLOOKUP('Données projet'!$B$12,Paramètres!$A$1:$I$89,3,0)*0.475*44/12</f>
        <v>4.7427434375445516</v>
      </c>
      <c r="CM73" s="21">
        <f>EXP(-LN(2)/2)*CM72+(1-EXP(-LN(2)/2))/(LN(2)/2)*CG73*CJ73*VLOOKUP('Données projet'!$B$12,Paramètres!$A$1:$I$89,3,0)*0.475*44/12</f>
        <v>4.2879110338740246E-8</v>
      </c>
      <c r="CN73" s="22">
        <f t="shared" si="66"/>
        <v>60.67564620244567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9.2624999999999993</v>
      </c>
      <c r="CT73" s="12">
        <f>IF('Données projet'!$A$140&gt;35,CT72+CS73-DB72,IF(A73&lt;'Données projet'!$A$140,$CQ$205^A73,IF(A73='Données projet'!$A$140,'Données projet'!$B$140,CT72+CS73-DB72)))</f>
        <v>273.91000000000003</v>
      </c>
      <c r="CU73" s="17">
        <f>CT73*VLOOKUP('Données projet'!$B$13,Paramètres!$A$1:$I$89,3,0)*VLOOKUP('Données projet'!$B$13,Paramètres!$A$1:$I$89,5,0)</f>
        <v>311.92870800000003</v>
      </c>
      <c r="CV73" s="13">
        <f t="shared" si="95"/>
        <v>73.671475653083462</v>
      </c>
      <c r="CW73" s="20">
        <f t="shared" si="67"/>
        <v>671.5869865291204</v>
      </c>
      <c r="CX73" s="59">
        <f t="shared" si="68"/>
        <v>964.92031986245365</v>
      </c>
      <c r="CY73" s="59">
        <f ca="1">AVERAGE(OFFSET($CX$3,0,0,'Données projet'!$E$13+1,1))-AVERAGE(OFFSET($H$3,0,0,'Données projet'!$E$13+1,1))</f>
        <v>770.11410336045037</v>
      </c>
      <c r="CZ73" s="59">
        <f t="shared" si="96"/>
        <v>227.12611049004596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70.533476205944922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70.533476205944922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12.152499999999996</v>
      </c>
      <c r="DO73" s="12">
        <f>IF('Données projet'!$A$166&gt;35,DO72+DN73-DW72,IF(A73&lt;'Données projet'!$A$166,$DL$205^A73,IF(A73='Données projet'!$A$166,'Données projet'!$B$166,DO72+DN73-DW72)))</f>
        <v>366.19</v>
      </c>
      <c r="DP73" s="17">
        <f>DO73*VLOOKUP('Données projet'!$B$14,Paramètres!$A$1:$I$89,3,0)*VLOOKUP('Données projet'!$B$14,Paramètres!$A$1:$I$89,5,0)</f>
        <v>371.31666000000001</v>
      </c>
      <c r="DQ73" s="13">
        <f t="shared" si="97"/>
        <v>85.936615963188771</v>
      </c>
      <c r="DR73" s="20">
        <f t="shared" si="70"/>
        <v>796.38278896922054</v>
      </c>
      <c r="DS73" s="59">
        <f t="shared" si="71"/>
        <v>1089.7161223025539</v>
      </c>
      <c r="DT73" s="59">
        <f ca="1">AVERAGE(OFFSET($DS$3,0,0,'Données projet'!$E$14+1,1))-AVERAGE(OFFSET($H$3,0,0,'Données projet'!$E$14+1,1))</f>
        <v>778.88878505968955</v>
      </c>
      <c r="DU73" s="59">
        <f t="shared" si="98"/>
        <v>279.20782832611059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100.71664280716121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100.71664280716121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369.00000000000011</v>
      </c>
      <c r="O74" s="13">
        <f>N74*VLOOKUP('Données projet'!$B$9,Paramètres!$A$1:$I$89,3,0)*VLOOKUP('Données projet'!$B$9,Paramètres!$A$1:$I$89,5,0)</f>
        <v>333.87120000000004</v>
      </c>
      <c r="P74" s="13">
        <f t="shared" si="87"/>
        <v>78.232360111376309</v>
      </c>
      <c r="Q74" s="20">
        <f t="shared" si="54"/>
        <v>717.74703386064709</v>
      </c>
      <c r="R74" s="59">
        <f t="shared" si="55"/>
        <v>1011.0803671939805</v>
      </c>
      <c r="S74" s="59">
        <f ca="1">AVERAGE(OFFSET($R$3,0,0,'Données projet'!$E$9+1,1))-AVERAGE(OFFSET($H$3,0,0,'Données projet'!$E$9+1,1))</f>
        <v>436.4497226650281</v>
      </c>
      <c r="T74" s="59">
        <f t="shared" si="88"/>
        <v>611.43967996341871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4.6934123815208491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4.6934123815208491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630</v>
      </c>
      <c r="AJ74" s="13">
        <f>AI74*VLOOKUP('Données projet'!$B$10,Paramètres!$A$1:$I$89,3,0)*VLOOKUP('Données projet'!$B$10,Paramètres!$A$1:$I$89,5,0)</f>
        <v>550.36800000000005</v>
      </c>
      <c r="AK74" s="13">
        <f t="shared" si="89"/>
        <v>121.67271812244785</v>
      </c>
      <c r="AL74" s="20">
        <f t="shared" si="58"/>
        <v>1170.4709173965966</v>
      </c>
      <c r="AM74" s="59">
        <f t="shared" si="59"/>
        <v>1463.8042507299299</v>
      </c>
      <c r="AN74" s="59">
        <f ca="1">AVERAGE(OFFSET($AM$3,0,0,'Données projet'!$E$10+1,1))-AVERAGE(OFFSET($H$3,0,0,'Données projet'!$E$10+1,1))</f>
        <v>662.13838733542616</v>
      </c>
      <c r="AO74" s="59">
        <f t="shared" si="90"/>
        <v>1194.915361841041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471.35</v>
      </c>
      <c r="BB74" s="12">
        <f>VLOOKUP(A74,'Données projet'!$A$87:$I$107,9,0)</f>
        <v>16.133750000000006</v>
      </c>
      <c r="BC74" s="12">
        <f t="array" ref="BC74">INDEX(BB:BB,MIN(IF(ISNUMBER(BB74:BB270),ROW(BB74:BB270),"")))</f>
        <v>16.133750000000006</v>
      </c>
      <c r="BD74" s="12">
        <f>IF('Données projet'!$A$88&gt;35,BD73+BC74-BL73,IF(A74&lt;'Données projet'!$A$88,$BA$205^A74,IF(A74='Données projet'!$A$88,'Données projet'!$B$88,BD73+BC74-BL73)))</f>
        <v>471.35000000000076</v>
      </c>
      <c r="BE74" s="13">
        <f>BD74*VLOOKUP('Données projet'!$B$11,Paramètres!$A$1:$I$89,3,0)*VLOOKUP('Données projet'!$B$11,Paramètres!$A$1:$I$89,5,0)</f>
        <v>220.59180000000035</v>
      </c>
      <c r="BF74" s="13">
        <f t="shared" si="91"/>
        <v>54.243490409514294</v>
      </c>
      <c r="BG74" s="20">
        <f t="shared" si="61"/>
        <v>478.67146412990468</v>
      </c>
      <c r="BH74" s="59">
        <f t="shared" si="62"/>
        <v>772.00479746323799</v>
      </c>
      <c r="BI74" s="59">
        <f ca="1">AVERAGE(OFFSET($BH$3,0,0,'Données projet'!$E$11+1,1))-AVERAGE(OFFSET($H$3,0,0,'Données projet'!$E$11+1,1))</f>
        <v>321.82962838167799</v>
      </c>
      <c r="BJ74" s="59">
        <f t="shared" si="92"/>
        <v>243.43396255104295</v>
      </c>
      <c r="BK74" s="15">
        <f>IF(ISNA(VLOOKUP(A74,'Données projet'!$A$87:$I$107,3,0)),0,VLOOKUP(A74,'Données projet'!$A$87:$I$107,3,0))</f>
        <v>5</v>
      </c>
      <c r="BL74" s="15">
        <f>IF(ISNA(VLOOKUP(A74,'Données projet'!$A$87:$I$107,4,0)),0,VLOOKUP(A74,'Données projet'!$A$87:$I$107,4,0))</f>
        <v>90.8</v>
      </c>
      <c r="BM74" s="16">
        <f>IF(ISNA(VLOOKUP(A74,'Données projet'!$A$87:$I$107,5,0)),0%,VLOOKUP(A74,'Données projet'!$A$87:$I$107,5,0)*VLOOKUP('Données projet'!$B$11,Paramètres!$A$1:$I$89,7,0))</f>
        <v>0.55000000000000004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131.38721112149145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131.38721112149145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187.80389738728508</v>
      </c>
      <c r="CE74" s="59">
        <f t="shared" si="94"/>
        <v>439.28159165815265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54.836092615345173</v>
      </c>
      <c r="CL74" s="21">
        <f>EXP(-LN(2)/25)*CL73+(1-EXP(-LN(2)/25))/(LN(2)/25)*Calculateur!CG74*Calculateur!CI74*VLOOKUP('Données projet'!$B$12,Paramètres!$A$1:$I$89,3,0)*0.475*44/12</f>
        <v>4.613052868834858</v>
      </c>
      <c r="CM74" s="21">
        <f>EXP(-LN(2)/2)*CM73+(1-EXP(-LN(2)/2))/(LN(2)/2)*CG74*CJ74*VLOOKUP('Données projet'!$B$12,Paramètres!$A$1:$I$89,3,0)*0.475*44/12</f>
        <v>3.0320109691769427E-8</v>
      </c>
      <c r="CN74" s="22">
        <f t="shared" si="66"/>
        <v>59.449145514500138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9.2624999999999993</v>
      </c>
      <c r="CT74" s="12">
        <f>IF('Données projet'!$A$140&gt;35,CT73+CS74-DB73,IF(A74&lt;'Données projet'!$A$140,$CQ$205^A74,IF(A74='Données projet'!$A$140,'Données projet'!$B$140,CT73+CS74-DB73)))</f>
        <v>283.17250000000001</v>
      </c>
      <c r="CU74" s="17">
        <f>CT74*VLOOKUP('Données projet'!$B$13,Paramètres!$A$1:$I$89,3,0)*VLOOKUP('Données projet'!$B$13,Paramètres!$A$1:$I$89,5,0)</f>
        <v>322.47684300000003</v>
      </c>
      <c r="CV74" s="13">
        <f t="shared" si="95"/>
        <v>75.868477528968967</v>
      </c>
      <c r="CW74" s="20">
        <f t="shared" si="67"/>
        <v>693.78476658795432</v>
      </c>
      <c r="CX74" s="59">
        <f t="shared" si="68"/>
        <v>987.11809992128769</v>
      </c>
      <c r="CY74" s="59">
        <f ca="1">AVERAGE(OFFSET($CX$3,0,0,'Données projet'!$E$13+1,1))-AVERAGE(OFFSET($H$3,0,0,'Données projet'!$E$13+1,1))</f>
        <v>770.11410336045037</v>
      </c>
      <c r="CZ74" s="59">
        <f t="shared" si="96"/>
        <v>227.12611049004596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69.15035775871884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69.15035775871884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12.152499999999996</v>
      </c>
      <c r="DO74" s="12">
        <f>IF('Données projet'!$A$166&gt;35,DO73+DN74-DW73,IF(A74&lt;'Données projet'!$A$166,$DL$205^A74,IF(A74='Données projet'!$A$166,'Données projet'!$B$166,DO73+DN74-DW73)))</f>
        <v>378.34249999999997</v>
      </c>
      <c r="DP74" s="17">
        <f>DO74*VLOOKUP('Données projet'!$B$14,Paramètres!$A$1:$I$89,3,0)*VLOOKUP('Données projet'!$B$14,Paramètres!$A$1:$I$89,5,0)</f>
        <v>383.639295</v>
      </c>
      <c r="DQ74" s="13">
        <f t="shared" si="97"/>
        <v>88.45176473299297</v>
      </c>
      <c r="DR74" s="20">
        <f t="shared" si="70"/>
        <v>822.22526236829606</v>
      </c>
      <c r="DS74" s="59">
        <f t="shared" si="71"/>
        <v>1115.5585957016294</v>
      </c>
      <c r="DT74" s="59">
        <f ca="1">AVERAGE(OFFSET($DS$3,0,0,'Données projet'!$E$14+1,1))-AVERAGE(OFFSET($H$3,0,0,'Données projet'!$E$14+1,1))</f>
        <v>778.88878505968955</v>
      </c>
      <c r="DU74" s="59">
        <f t="shared" si="98"/>
        <v>279.20782832611059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98.74165087279907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98.74165087279907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369.00000000000011</v>
      </c>
      <c r="O75" s="13">
        <f>N75*VLOOKUP('Données projet'!$B$9,Paramètres!$A$1:$I$89,3,0)*VLOOKUP('Données projet'!$B$9,Paramètres!$A$1:$I$89,5,0)</f>
        <v>333.87120000000004</v>
      </c>
      <c r="P75" s="13">
        <f t="shared" si="87"/>
        <v>78.232360111376309</v>
      </c>
      <c r="Q75" s="20">
        <f t="shared" si="54"/>
        <v>717.74703386064709</v>
      </c>
      <c r="R75" s="59">
        <f t="shared" si="55"/>
        <v>1011.0803671939805</v>
      </c>
      <c r="S75" s="59">
        <f ca="1">AVERAGE(OFFSET($R$3,0,0,'Données projet'!$E$9+1,1))-AVERAGE(OFFSET($H$3,0,0,'Données projet'!$E$9+1,1))</f>
        <v>436.4497226650281</v>
      </c>
      <c r="T75" s="59">
        <f t="shared" si="88"/>
        <v>611.43967996341871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4.6013774274181101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4.6013774274181101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630</v>
      </c>
      <c r="AJ75" s="13">
        <f>AI75*VLOOKUP('Données projet'!$B$10,Paramètres!$A$1:$I$89,3,0)*VLOOKUP('Données projet'!$B$10,Paramètres!$A$1:$I$89,5,0)</f>
        <v>550.36800000000005</v>
      </c>
      <c r="AK75" s="13">
        <f t="shared" si="89"/>
        <v>121.67271812244785</v>
      </c>
      <c r="AL75" s="20">
        <f t="shared" si="58"/>
        <v>1170.4709173965966</v>
      </c>
      <c r="AM75" s="59">
        <f t="shared" si="59"/>
        <v>1463.8042507299299</v>
      </c>
      <c r="AN75" s="59">
        <f ca="1">AVERAGE(OFFSET($AM$3,0,0,'Données projet'!$E$10+1,1))-AVERAGE(OFFSET($H$3,0,0,'Données projet'!$E$10+1,1))</f>
        <v>662.13838733542616</v>
      </c>
      <c r="AO75" s="59">
        <f t="shared" si="90"/>
        <v>1194.915361841041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15.183749999999996</v>
      </c>
      <c r="BD75" s="12">
        <f>IF('Données projet'!$A$88&gt;35,BD74+BC75-BL74,IF(A75&lt;'Données projet'!$A$88,$BA$205^A75,IF(A75='Données projet'!$A$88,'Données projet'!$B$88,BD74+BC75-BL74)))</f>
        <v>395.73375000000073</v>
      </c>
      <c r="BE75" s="13">
        <f>BD75*VLOOKUP('Données projet'!$B$11,Paramètres!$A$1:$I$89,3,0)*VLOOKUP('Données projet'!$B$11,Paramètres!$A$1:$I$89,5,0)</f>
        <v>185.20339500000031</v>
      </c>
      <c r="BF75" s="13">
        <f t="shared" si="91"/>
        <v>46.477918642337173</v>
      </c>
      <c r="BG75" s="20">
        <f t="shared" si="61"/>
        <v>403.51162126040441</v>
      </c>
      <c r="BH75" s="59">
        <f t="shared" si="62"/>
        <v>696.84495459373773</v>
      </c>
      <c r="BI75" s="59">
        <f ca="1">AVERAGE(OFFSET($BH$3,0,0,'Données projet'!$E$11+1,1))-AVERAGE(OFFSET($H$3,0,0,'Données projet'!$E$11+1,1))</f>
        <v>321.82962838167799</v>
      </c>
      <c r="BJ75" s="59">
        <f t="shared" si="92"/>
        <v>243.43396255104295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128.81078804968479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128.81078804968479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187.80389738728508</v>
      </c>
      <c r="CE75" s="59">
        <f t="shared" si="94"/>
        <v>439.28159165815265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53.760790285872162</v>
      </c>
      <c r="CL75" s="21">
        <f>EXP(-LN(2)/25)*CL74+(1-EXP(-LN(2)/25))/(LN(2)/25)*Calculateur!CG75*Calculateur!CI75*VLOOKUP('Données projet'!$B$12,Paramètres!$A$1:$I$89,3,0)*0.475*44/12</f>
        <v>4.4869086955466617</v>
      </c>
      <c r="CM75" s="21">
        <f>EXP(-LN(2)/2)*CM74+(1-EXP(-LN(2)/2))/(LN(2)/2)*CG75*CJ75*VLOOKUP('Données projet'!$B$12,Paramètres!$A$1:$I$89,3,0)*0.475*44/12</f>
        <v>2.1439555169370123E-8</v>
      </c>
      <c r="CN75" s="22">
        <f t="shared" si="66"/>
        <v>58.247699002858376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9.2624999999999993</v>
      </c>
      <c r="CT75" s="12">
        <f>IF('Données projet'!$A$140&gt;35,CT74+CS75-DB74,IF(A75&lt;'Données projet'!$A$140,$CQ$205^A75,IF(A75='Données projet'!$A$140,'Données projet'!$B$140,CT74+CS75-DB74)))</f>
        <v>292.435</v>
      </c>
      <c r="CU75" s="17">
        <f>CT75*VLOOKUP('Données projet'!$B$13,Paramètres!$A$1:$I$89,3,0)*VLOOKUP('Données projet'!$B$13,Paramètres!$A$1:$I$89,5,0)</f>
        <v>333.02497800000003</v>
      </c>
      <c r="CV75" s="13">
        <f t="shared" si="95"/>
        <v>78.057128839659256</v>
      </c>
      <c r="CW75" s="20">
        <f t="shared" si="67"/>
        <v>715.96800274573991</v>
      </c>
      <c r="CX75" s="59">
        <f t="shared" si="68"/>
        <v>1009.3013360790733</v>
      </c>
      <c r="CY75" s="59">
        <f ca="1">AVERAGE(OFFSET($CX$3,0,0,'Données projet'!$E$13+1,1))-AVERAGE(OFFSET($H$3,0,0,'Données projet'!$E$13+1,1))</f>
        <v>770.11410336045037</v>
      </c>
      <c r="CZ75" s="59">
        <f t="shared" si="96"/>
        <v>227.12611049004596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67.794361420623915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67.794361420623915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12.152499999999996</v>
      </c>
      <c r="DO75" s="12">
        <f>IF('Données projet'!$A$166&gt;35,DO74+DN75-DW74,IF(A75&lt;'Données projet'!$A$166,$DL$205^A75,IF(A75='Données projet'!$A$166,'Données projet'!$B$166,DO74+DN75-DW74)))</f>
        <v>390.49499999999995</v>
      </c>
      <c r="DP75" s="17">
        <f>DO75*VLOOKUP('Données projet'!$B$14,Paramètres!$A$1:$I$89,3,0)*VLOOKUP('Données projet'!$B$14,Paramètres!$A$1:$I$89,5,0)</f>
        <v>395.96193</v>
      </c>
      <c r="DQ75" s="13">
        <f t="shared" si="97"/>
        <v>90.957525689506141</v>
      </c>
      <c r="DR75" s="20">
        <f t="shared" si="70"/>
        <v>848.05138532588978</v>
      </c>
      <c r="DS75" s="59">
        <f t="shared" si="71"/>
        <v>1141.3847186592232</v>
      </c>
      <c r="DT75" s="59">
        <f ca="1">AVERAGE(OFFSET($DS$3,0,0,'Données projet'!$E$14+1,1))-AVERAGE(OFFSET($H$3,0,0,'Données projet'!$E$14+1,1))</f>
        <v>778.88878505968955</v>
      </c>
      <c r="DU75" s="59">
        <f t="shared" si="98"/>
        <v>279.20782832611059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96.80538732564365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96.80538732564365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369.00000000000011</v>
      </c>
      <c r="O76" s="13">
        <f>N76*VLOOKUP('Données projet'!$B$9,Paramètres!$A$1:$I$89,3,0)*VLOOKUP('Données projet'!$B$9,Paramètres!$A$1:$I$89,5,0)</f>
        <v>333.87120000000004</v>
      </c>
      <c r="P76" s="13">
        <f t="shared" si="87"/>
        <v>78.232360111376309</v>
      </c>
      <c r="Q76" s="20">
        <f t="shared" si="54"/>
        <v>717.74703386064709</v>
      </c>
      <c r="R76" s="59">
        <f t="shared" si="55"/>
        <v>1011.0803671939805</v>
      </c>
      <c r="S76" s="59">
        <f ca="1">AVERAGE(OFFSET($R$3,0,0,'Données projet'!$E$9+1,1))-AVERAGE(OFFSET($H$3,0,0,'Données projet'!$E$9+1,1))</f>
        <v>436.4497226650281</v>
      </c>
      <c r="T76" s="59">
        <f t="shared" si="88"/>
        <v>611.43967996341871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4.5111472226295461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4.5111472226295461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630</v>
      </c>
      <c r="AJ76" s="13">
        <f>AI76*VLOOKUP('Données projet'!$B$10,Paramètres!$A$1:$I$89,3,0)*VLOOKUP('Données projet'!$B$10,Paramètres!$A$1:$I$89,5,0)</f>
        <v>550.36800000000005</v>
      </c>
      <c r="AK76" s="13">
        <f t="shared" si="89"/>
        <v>121.67271812244785</v>
      </c>
      <c r="AL76" s="20">
        <f t="shared" si="58"/>
        <v>1170.4709173965966</v>
      </c>
      <c r="AM76" s="59">
        <f t="shared" si="59"/>
        <v>1463.8042507299299</v>
      </c>
      <c r="AN76" s="59">
        <f ca="1">AVERAGE(OFFSET($AM$3,0,0,'Données projet'!$E$10+1,1))-AVERAGE(OFFSET($H$3,0,0,'Données projet'!$E$10+1,1))</f>
        <v>662.13838733542616</v>
      </c>
      <c r="AO76" s="59">
        <f t="shared" si="90"/>
        <v>1194.915361841041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15.183749999999996</v>
      </c>
      <c r="BD76" s="12">
        <f>IF('Données projet'!$A$88&gt;35,BD75+BC76-BL75,IF(A76&lt;'Données projet'!$A$88,$BA$205^A76,IF(A76='Données projet'!$A$88,'Données projet'!$B$88,BD75+BC76-BL75)))</f>
        <v>410.9175000000007</v>
      </c>
      <c r="BE76" s="13">
        <f>BD76*VLOOKUP('Données projet'!$B$11,Paramètres!$A$1:$I$89,3,0)*VLOOKUP('Données projet'!$B$11,Paramètres!$A$1:$I$89,5,0)</f>
        <v>192.30939000000032</v>
      </c>
      <c r="BF76" s="13">
        <f t="shared" si="91"/>
        <v>48.050166633348844</v>
      </c>
      <c r="BG76" s="20">
        <f t="shared" si="61"/>
        <v>418.62622780308311</v>
      </c>
      <c r="BH76" s="59">
        <f t="shared" si="62"/>
        <v>711.95956113641637</v>
      </c>
      <c r="BI76" s="59">
        <f ca="1">AVERAGE(OFFSET($BH$3,0,0,'Données projet'!$E$11+1,1))-AVERAGE(OFFSET($H$3,0,0,'Données projet'!$E$11+1,1))</f>
        <v>321.82962838167799</v>
      </c>
      <c r="BJ76" s="59">
        <f t="shared" si="92"/>
        <v>243.43396255104295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126.28488706285336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126.28488706285336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187.80389738728508</v>
      </c>
      <c r="CE76" s="59">
        <f t="shared" si="94"/>
        <v>439.28159165815265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52.706573979210454</v>
      </c>
      <c r="CL76" s="21">
        <f>EXP(-LN(2)/25)*CL75+(1-EXP(-LN(2)/25))/(LN(2)/25)*Calculateur!CG76*Calculateur!CI76*VLOOKUP('Données projet'!$B$12,Paramètres!$A$1:$I$89,3,0)*0.475*44/12</f>
        <v>4.3642139413106653</v>
      </c>
      <c r="CM76" s="21">
        <f>EXP(-LN(2)/2)*CM75+(1-EXP(-LN(2)/2))/(LN(2)/2)*CG76*CJ76*VLOOKUP('Données projet'!$B$12,Paramètres!$A$1:$I$89,3,0)*0.475*44/12</f>
        <v>1.5160054845884713E-8</v>
      </c>
      <c r="CN76" s="22">
        <f t="shared" si="66"/>
        <v>57.070787935681174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9.2624999999999993</v>
      </c>
      <c r="CT76" s="12">
        <f>IF('Données projet'!$A$140&gt;35,CT75+CS76-DB75,IF(A76&lt;'Données projet'!$A$140,$CQ$205^A76,IF(A76='Données projet'!$A$140,'Données projet'!$B$140,CT75+CS76-DB75)))</f>
        <v>301.69749999999999</v>
      </c>
      <c r="CU76" s="17">
        <f>CT76*VLOOKUP('Données projet'!$B$13,Paramètres!$A$1:$I$89,3,0)*VLOOKUP('Données projet'!$B$13,Paramètres!$A$1:$I$89,5,0)</f>
        <v>343.57311299999998</v>
      </c>
      <c r="CV76" s="13">
        <f t="shared" si="95"/>
        <v>80.237724421916568</v>
      </c>
      <c r="CW76" s="20">
        <f t="shared" si="67"/>
        <v>738.13720850983793</v>
      </c>
      <c r="CX76" s="59">
        <f t="shared" si="68"/>
        <v>1031.4705418431713</v>
      </c>
      <c r="CY76" s="59">
        <f ca="1">AVERAGE(OFFSET($CX$3,0,0,'Données projet'!$E$13+1,1))-AVERAGE(OFFSET($H$3,0,0,'Données projet'!$E$13+1,1))</f>
        <v>770.11410336045037</v>
      </c>
      <c r="CZ76" s="59">
        <f t="shared" si="96"/>
        <v>227.12611049004596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66.464955343642927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66.464955343642927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12.152499999999996</v>
      </c>
      <c r="DO76" s="12">
        <f>IF('Données projet'!$A$166&gt;35,DO75+DN76-DW75,IF(A76&lt;'Données projet'!$A$166,$DL$205^A76,IF(A76='Données projet'!$A$166,'Données projet'!$B$166,DO75+DN76-DW75)))</f>
        <v>402.64749999999992</v>
      </c>
      <c r="DP76" s="17">
        <f>DO76*VLOOKUP('Données projet'!$B$14,Paramètres!$A$1:$I$89,3,0)*VLOOKUP('Données projet'!$B$14,Paramètres!$A$1:$I$89,5,0)</f>
        <v>408.28456499999999</v>
      </c>
      <c r="DQ76" s="13">
        <f t="shared" si="97"/>
        <v>93.454224512146936</v>
      </c>
      <c r="DR76" s="20">
        <f t="shared" si="70"/>
        <v>873.86172506698915</v>
      </c>
      <c r="DS76" s="59">
        <f t="shared" si="71"/>
        <v>1167.1950584003225</v>
      </c>
      <c r="DT76" s="59">
        <f ca="1">AVERAGE(OFFSET($DS$3,0,0,'Données projet'!$E$14+1,1))-AVERAGE(OFFSET($H$3,0,0,'Données projet'!$E$14+1,1))</f>
        <v>778.88878505968955</v>
      </c>
      <c r="DU76" s="59">
        <f t="shared" si="98"/>
        <v>279.20782832611059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94.907092725643793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94.907092725643793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369.00000000000011</v>
      </c>
      <c r="O77" s="13">
        <f>N77*VLOOKUP('Données projet'!$B$9,Paramètres!$A$1:$I$89,3,0)*VLOOKUP('Données projet'!$B$9,Paramètres!$A$1:$I$89,5,0)</f>
        <v>333.87120000000004</v>
      </c>
      <c r="P77" s="13">
        <f t="shared" si="87"/>
        <v>78.232360111376309</v>
      </c>
      <c r="Q77" s="20">
        <f t="shared" si="54"/>
        <v>717.74703386064709</v>
      </c>
      <c r="R77" s="59">
        <f t="shared" si="55"/>
        <v>1011.0803671939805</v>
      </c>
      <c r="S77" s="59">
        <f ca="1">AVERAGE(OFFSET($R$3,0,0,'Données projet'!$E$9+1,1))-AVERAGE(OFFSET($H$3,0,0,'Données projet'!$E$9+1,1))</f>
        <v>436.4497226650281</v>
      </c>
      <c r="T77" s="59">
        <f t="shared" si="88"/>
        <v>611.43967996341871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4.4226863771218961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4.4226863771218961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630</v>
      </c>
      <c r="AJ77" s="13">
        <f>AI77*VLOOKUP('Données projet'!$B$10,Paramètres!$A$1:$I$89,3,0)*VLOOKUP('Données projet'!$B$10,Paramètres!$A$1:$I$89,5,0)</f>
        <v>550.36800000000005</v>
      </c>
      <c r="AK77" s="13">
        <f t="shared" si="89"/>
        <v>121.67271812244785</v>
      </c>
      <c r="AL77" s="20">
        <f t="shared" si="58"/>
        <v>1170.4709173965966</v>
      </c>
      <c r="AM77" s="59">
        <f t="shared" si="59"/>
        <v>1463.8042507299299</v>
      </c>
      <c r="AN77" s="59">
        <f ca="1">AVERAGE(OFFSET($AM$3,0,0,'Données projet'!$E$10+1,1))-AVERAGE(OFFSET($H$3,0,0,'Données projet'!$E$10+1,1))</f>
        <v>662.13838733542616</v>
      </c>
      <c r="AO77" s="59">
        <f t="shared" si="90"/>
        <v>1194.915361841041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15.183749999999996</v>
      </c>
      <c r="BD77" s="12">
        <f>IF('Données projet'!$A$88&gt;35,BD76+BC77-BL76,IF(A77&lt;'Données projet'!$A$88,$BA$205^A77,IF(A77='Données projet'!$A$88,'Données projet'!$B$88,BD76+BC77-BL76)))</f>
        <v>426.10125000000068</v>
      </c>
      <c r="BE77" s="13">
        <f>BD77*VLOOKUP('Données projet'!$B$11,Paramètres!$A$1:$I$89,3,0)*VLOOKUP('Données projet'!$B$11,Paramètres!$A$1:$I$89,5,0)</f>
        <v>199.41538500000033</v>
      </c>
      <c r="BF77" s="13">
        <f t="shared" si="91"/>
        <v>49.61566516159165</v>
      </c>
      <c r="BG77" s="20">
        <f t="shared" si="61"/>
        <v>433.72907903143931</v>
      </c>
      <c r="BH77" s="59">
        <f t="shared" si="62"/>
        <v>727.06241236477263</v>
      </c>
      <c r="BI77" s="59">
        <f ca="1">AVERAGE(OFFSET($BH$3,0,0,'Données projet'!$E$11+1,1))-AVERAGE(OFFSET($H$3,0,0,'Données projet'!$E$11+1,1))</f>
        <v>321.82962838167799</v>
      </c>
      <c r="BJ77" s="59">
        <f t="shared" si="92"/>
        <v>243.43396255104295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123.80851745372621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123.80851745372621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187.80389738728508</v>
      </c>
      <c r="CE77" s="59">
        <f t="shared" si="94"/>
        <v>439.28159165815265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51.673030211313929</v>
      </c>
      <c r="CL77" s="21">
        <f>EXP(-LN(2)/25)*CL76+(1-EXP(-LN(2)/25))/(LN(2)/25)*Calculateur!CG77*Calculateur!CI77*VLOOKUP('Données projet'!$B$12,Paramètres!$A$1:$I$89,3,0)*0.475*44/12</f>
        <v>4.2448742815814882</v>
      </c>
      <c r="CM77" s="21">
        <f>EXP(-LN(2)/2)*CM76+(1-EXP(-LN(2)/2))/(LN(2)/2)*CG77*CJ77*VLOOKUP('Données projet'!$B$12,Paramètres!$A$1:$I$89,3,0)*0.475*44/12</f>
        <v>1.0719777584685062E-8</v>
      </c>
      <c r="CN77" s="22">
        <f t="shared" si="66"/>
        <v>55.917904503615198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9.2624999999999993</v>
      </c>
      <c r="CS77" s="12">
        <f t="array" ref="CS77">INDEX(CR:CR,MIN(IF(ISNUMBER(CR77:CR273),ROW(CR77:CR273),"")))</f>
        <v>9.2624999999999993</v>
      </c>
      <c r="CT77" s="12">
        <f>IF('Données projet'!$A$140&gt;35,CT76+CS77-DB76,IF(A77&lt;'Données projet'!$A$140,$CQ$205^A77,IF(A77='Données projet'!$A$140,'Données projet'!$B$140,CT76+CS77-DB76)))</f>
        <v>310.95999999999998</v>
      </c>
      <c r="CU77" s="17">
        <f>CT77*VLOOKUP('Données projet'!$B$13,Paramètres!$A$1:$I$89,3,0)*VLOOKUP('Données projet'!$B$13,Paramètres!$A$1:$I$89,5,0)</f>
        <v>354.12124799999998</v>
      </c>
      <c r="CV77" s="13">
        <f t="shared" si="95"/>
        <v>82.410539980208313</v>
      </c>
      <c r="CW77" s="20">
        <f t="shared" si="67"/>
        <v>760.29286406552922</v>
      </c>
      <c r="CX77" s="59">
        <f t="shared" si="68"/>
        <v>1053.6261973988626</v>
      </c>
      <c r="CY77" s="59">
        <f ca="1">AVERAGE(OFFSET($CX$3,0,0,'Données projet'!$E$13+1,1))-AVERAGE(OFFSET($H$3,0,0,'Données projet'!$E$13+1,1))</f>
        <v>770.11410336045037</v>
      </c>
      <c r="CZ77" s="59">
        <f t="shared" si="96"/>
        <v>227.12611049004596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0.43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90.820714966473389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90.820714966473389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414.8</v>
      </c>
      <c r="DM77" s="12">
        <f>VLOOKUP(A77,'Données projet'!$A$165:$I$185,9,0)</f>
        <v>12.152499999999996</v>
      </c>
      <c r="DN77" s="12">
        <f t="array" ref="DN77">INDEX(DM:DM,MIN(IF(ISNUMBER(DM77:DM273),ROW(DM77:DM273),"")))</f>
        <v>12.152499999999996</v>
      </c>
      <c r="DO77" s="12">
        <f>IF('Données projet'!$A$166&gt;35,DO76+DN77-DW76,IF(A77&lt;'Données projet'!$A$166,$DL$205^A77,IF(A77='Données projet'!$A$166,'Données projet'!$B$166,DO76+DN77-DW76)))</f>
        <v>414.7999999999999</v>
      </c>
      <c r="DP77" s="17">
        <f>DO77*VLOOKUP('Données projet'!$B$14,Paramètres!$A$1:$I$89,3,0)*VLOOKUP('Données projet'!$B$14,Paramètres!$A$1:$I$89,5,0)</f>
        <v>420.60719999999992</v>
      </c>
      <c r="DQ77" s="13">
        <f t="shared" si="97"/>
        <v>95.942166104142956</v>
      </c>
      <c r="DR77" s="20">
        <f t="shared" si="70"/>
        <v>899.65681263138219</v>
      </c>
      <c r="DS77" s="59">
        <f t="shared" si="71"/>
        <v>1192.9901459647156</v>
      </c>
      <c r="DT77" s="59">
        <f ca="1">AVERAGE(OFFSET($DS$3,0,0,'Données projet'!$E$14+1,1))-AVERAGE(OFFSET($H$3,0,0,'Données projet'!$E$14+1,1))</f>
        <v>778.88878505968955</v>
      </c>
      <c r="DU77" s="59">
        <f t="shared" si="98"/>
        <v>279.20782832611059</v>
      </c>
      <c r="DV77" s="15">
        <f>IF(ISNA(VLOOKUP(A77,'Données projet'!$A$165:$I$185,3,0)),0,VLOOKUP(A77,'Données projet'!$A$165:$I$185,3,0))</f>
        <v>6</v>
      </c>
      <c r="DW77" s="15">
        <f>IF(ISNA(VLOOKUP(A77,'Données projet'!$A$165:$I$185,4,0)),0,VLOOKUP(A77,'Données projet'!$A$165:$I$185,4,0))</f>
        <v>70.209999999999994</v>
      </c>
      <c r="DX77" s="16">
        <f>IF(ISNA(VLOOKUP(A77,'Données projet'!$A$165:$I$185,5,0)),0%,VLOOKUP(A77,'Données projet'!$A$165:$I$185,5,0)*VLOOKUP('Données projet'!$B$14,Paramètres!$A$1:$I$89,7,0))</f>
        <v>0.43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126.88774767770717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126.88774767770717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369.00000000000011</v>
      </c>
      <c r="O78" s="13">
        <f>N78*VLOOKUP('Données projet'!$B$9,Paramètres!$A$1:$I$89,3,0)*VLOOKUP('Données projet'!$B$9,Paramètres!$A$1:$I$89,5,0)</f>
        <v>333.87120000000004</v>
      </c>
      <c r="P78" s="13">
        <f t="shared" si="87"/>
        <v>78.232360111376309</v>
      </c>
      <c r="Q78" s="20">
        <f t="shared" si="54"/>
        <v>717.74703386064709</v>
      </c>
      <c r="R78" s="59">
        <f t="shared" si="55"/>
        <v>1011.0803671939805</v>
      </c>
      <c r="S78" s="59">
        <f ca="1">AVERAGE(OFFSET($R$3,0,0,'Données projet'!$E$9+1,1))-AVERAGE(OFFSET($H$3,0,0,'Données projet'!$E$9+1,1))</f>
        <v>436.4497226650281</v>
      </c>
      <c r="T78" s="59">
        <f t="shared" si="88"/>
        <v>611.43967996341871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4.3359601948388624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4.3359601948388624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630</v>
      </c>
      <c r="AJ78" s="13">
        <f>AI78*VLOOKUP('Données projet'!$B$10,Paramètres!$A$1:$I$89,3,0)*VLOOKUP('Données projet'!$B$10,Paramètres!$A$1:$I$89,5,0)</f>
        <v>550.36800000000005</v>
      </c>
      <c r="AK78" s="13">
        <f t="shared" si="89"/>
        <v>121.67271812244785</v>
      </c>
      <c r="AL78" s="20">
        <f t="shared" si="58"/>
        <v>1170.4709173965966</v>
      </c>
      <c r="AM78" s="59">
        <f t="shared" si="59"/>
        <v>1463.8042507299299</v>
      </c>
      <c r="AN78" s="59">
        <f ca="1">AVERAGE(OFFSET($AM$3,0,0,'Données projet'!$E$10+1,1))-AVERAGE(OFFSET($H$3,0,0,'Données projet'!$E$10+1,1))</f>
        <v>662.13838733542616</v>
      </c>
      <c r="AO78" s="59">
        <f t="shared" si="90"/>
        <v>1194.915361841041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15.183749999999996</v>
      </c>
      <c r="BD78" s="12">
        <f>IF('Données projet'!$A$88&gt;35,BD77+BC78-BL77,IF(A78&lt;'Données projet'!$A$88,$BA$205^A78,IF(A78='Données projet'!$A$88,'Données projet'!$B$88,BD77+BC78-BL77)))</f>
        <v>441.28500000000065</v>
      </c>
      <c r="BE78" s="13">
        <f>BD78*VLOOKUP('Données projet'!$B$11,Paramètres!$A$1:$I$89,3,0)*VLOOKUP('Données projet'!$B$11,Paramètres!$A$1:$I$89,5,0)</f>
        <v>206.52138000000033</v>
      </c>
      <c r="BF78" s="13">
        <f t="shared" si="91"/>
        <v>51.174682293125571</v>
      </c>
      <c r="BG78" s="20">
        <f t="shared" si="61"/>
        <v>448.82064182719432</v>
      </c>
      <c r="BH78" s="59">
        <f t="shared" si="62"/>
        <v>742.15397516052758</v>
      </c>
      <c r="BI78" s="59">
        <f ca="1">AVERAGE(OFFSET($BH$3,0,0,'Données projet'!$E$11+1,1))-AVERAGE(OFFSET($H$3,0,0,'Données projet'!$E$11+1,1))</f>
        <v>321.82962838167799</v>
      </c>
      <c r="BJ78" s="59">
        <f t="shared" si="92"/>
        <v>243.43396255104295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121.38070794219773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121.38070794219773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187.80389738728508</v>
      </c>
      <c r="CE78" s="59">
        <f t="shared" si="94"/>
        <v>439.28159165815265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50.659753606306403</v>
      </c>
      <c r="CL78" s="21">
        <f>EXP(-LN(2)/25)*CL77+(1-EXP(-LN(2)/25))/(LN(2)/25)*Calculateur!CG78*Calculateur!CI78*VLOOKUP('Données projet'!$B$12,Paramètres!$A$1:$I$89,3,0)*0.475*44/12</f>
        <v>4.1287979711234053</v>
      </c>
      <c r="CM78" s="21">
        <f>EXP(-LN(2)/2)*CM77+(1-EXP(-LN(2)/2))/(LN(2)/2)*CG78*CJ78*VLOOKUP('Données projet'!$B$12,Paramètres!$A$1:$I$89,3,0)*0.475*44/12</f>
        <v>7.5800274229423567E-9</v>
      </c>
      <c r="CN78" s="22">
        <f t="shared" si="66"/>
        <v>54.788551585009834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9.1529999999999969</v>
      </c>
      <c r="CT78" s="12">
        <f>IF('Données projet'!$A$140&gt;35,CT77+CS78-DB77,IF(A78&lt;'Données projet'!$A$140,$CQ$205^A78,IF(A78='Données projet'!$A$140,'Données projet'!$B$140,CT77+CS78-DB77)))</f>
        <v>272.71300000000002</v>
      </c>
      <c r="CU78" s="17">
        <f>CT78*VLOOKUP('Données projet'!$B$13,Paramètres!$A$1:$I$89,3,0)*VLOOKUP('Données projet'!$B$13,Paramètres!$A$1:$I$89,5,0)</f>
        <v>310.56556440000003</v>
      </c>
      <c r="CV78" s="13">
        <f t="shared" si="95"/>
        <v>73.386929995901696</v>
      </c>
      <c r="CW78" s="20">
        <f t="shared" si="67"/>
        <v>668.71726107286213</v>
      </c>
      <c r="CX78" s="59">
        <f t="shared" si="68"/>
        <v>962.05059440619539</v>
      </c>
      <c r="CY78" s="59">
        <f ca="1">AVERAGE(OFFSET($CX$3,0,0,'Données projet'!$E$13+1,1))-AVERAGE(OFFSET($H$3,0,0,'Données projet'!$E$13+1,1))</f>
        <v>770.11410336045037</v>
      </c>
      <c r="CZ78" s="59">
        <f t="shared" si="96"/>
        <v>227.12611049004596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89.039776141147158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89.039776141147158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11.447499999999998</v>
      </c>
      <c r="DO78" s="12">
        <f>IF('Données projet'!$A$166&gt;35,DO77+DN78-DW77,IF(A78&lt;'Données projet'!$A$166,$DL$205^A78,IF(A78='Données projet'!$A$166,'Données projet'!$B$166,DO77+DN78-DW77)))</f>
        <v>356.03749999999991</v>
      </c>
      <c r="DP78" s="17">
        <f>DO78*VLOOKUP('Données projet'!$B$14,Paramètres!$A$1:$I$89,3,0)*VLOOKUP('Données projet'!$B$14,Paramètres!$A$1:$I$89,5,0)</f>
        <v>361.02202499999993</v>
      </c>
      <c r="DQ78" s="13">
        <f t="shared" si="97"/>
        <v>83.827948963127469</v>
      </c>
      <c r="DR78" s="20">
        <f t="shared" si="70"/>
        <v>774.78037131911344</v>
      </c>
      <c r="DS78" s="59">
        <f t="shared" si="71"/>
        <v>1068.1137046524468</v>
      </c>
      <c r="DT78" s="59">
        <f ca="1">AVERAGE(OFFSET($DS$3,0,0,'Données projet'!$E$14+1,1))-AVERAGE(OFFSET($H$3,0,0,'Données projet'!$E$14+1,1))</f>
        <v>778.88878505968955</v>
      </c>
      <c r="DU78" s="59">
        <f t="shared" si="98"/>
        <v>279.20782832611059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124.3995563396314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124.3995563396314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369.00000000000011</v>
      </c>
      <c r="O79" s="13">
        <f>N79*VLOOKUP('Données projet'!$B$9,Paramètres!$A$1:$I$89,3,0)*VLOOKUP('Données projet'!$B$9,Paramètres!$A$1:$I$89,5,0)</f>
        <v>333.87120000000004</v>
      </c>
      <c r="P79" s="13">
        <f t="shared" si="87"/>
        <v>78.232360111376309</v>
      </c>
      <c r="Q79" s="20">
        <f t="shared" si="54"/>
        <v>717.74703386064709</v>
      </c>
      <c r="R79" s="59">
        <f t="shared" si="55"/>
        <v>1011.0803671939805</v>
      </c>
      <c r="S79" s="59">
        <f ca="1">AVERAGE(OFFSET($R$3,0,0,'Données projet'!$E$9+1,1))-AVERAGE(OFFSET($H$3,0,0,'Données projet'!$E$9+1,1))</f>
        <v>436.4497226650281</v>
      </c>
      <c r="T79" s="59">
        <f t="shared" si="88"/>
        <v>611.43967996341871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4.2509346600926516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4.2509346600926516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630</v>
      </c>
      <c r="AJ79" s="13">
        <f>AI79*VLOOKUP('Données projet'!$B$10,Paramètres!$A$1:$I$89,3,0)*VLOOKUP('Données projet'!$B$10,Paramètres!$A$1:$I$89,5,0)</f>
        <v>550.36800000000005</v>
      </c>
      <c r="AK79" s="13">
        <f t="shared" si="89"/>
        <v>121.67271812244785</v>
      </c>
      <c r="AL79" s="20">
        <f t="shared" si="58"/>
        <v>1170.4709173965966</v>
      </c>
      <c r="AM79" s="59">
        <f t="shared" si="59"/>
        <v>1463.8042507299299</v>
      </c>
      <c r="AN79" s="59">
        <f ca="1">AVERAGE(OFFSET($AM$3,0,0,'Données projet'!$E$10+1,1))-AVERAGE(OFFSET($H$3,0,0,'Données projet'!$E$10+1,1))</f>
        <v>662.13838733542616</v>
      </c>
      <c r="AO79" s="59">
        <f t="shared" si="90"/>
        <v>1194.915361841041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15.183749999999996</v>
      </c>
      <c r="BD79" s="12">
        <f>IF('Données projet'!$A$88&gt;35,BD78+BC79-BL78,IF(A79&lt;'Données projet'!$A$88,$BA$205^A79,IF(A79='Données projet'!$A$88,'Données projet'!$B$88,BD78+BC79-BL78)))</f>
        <v>456.46875000000063</v>
      </c>
      <c r="BE79" s="13">
        <f>BD79*VLOOKUP('Données projet'!$B$11,Paramètres!$A$1:$I$89,3,0)*VLOOKUP('Données projet'!$B$11,Paramètres!$A$1:$I$89,5,0)</f>
        <v>213.62737500000028</v>
      </c>
      <c r="BF79" s="13">
        <f t="shared" si="91"/>
        <v>52.727466600457106</v>
      </c>
      <c r="BG79" s="20">
        <f t="shared" si="61"/>
        <v>463.90134912079657</v>
      </c>
      <c r="BH79" s="59">
        <f t="shared" si="62"/>
        <v>757.23468245412982</v>
      </c>
      <c r="BI79" s="59">
        <f ca="1">AVERAGE(OFFSET($BH$3,0,0,'Données projet'!$E$11+1,1))-AVERAGE(OFFSET($H$3,0,0,'Données projet'!$E$11+1,1))</f>
        <v>321.82962838167799</v>
      </c>
      <c r="BJ79" s="59">
        <f t="shared" si="92"/>
        <v>243.43396255104295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119.00050629437274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119.00050629437274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187.80389738728508</v>
      </c>
      <c r="CE79" s="59">
        <f t="shared" si="94"/>
        <v>439.28159165815265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49.66634673748537</v>
      </c>
      <c r="CL79" s="21">
        <f>EXP(-LN(2)/25)*CL78+(1-EXP(-LN(2)/25))/(LN(2)/25)*Calculateur!CG79*Calculateur!CI79*VLOOKUP('Données projet'!$B$12,Paramètres!$A$1:$I$89,3,0)*0.475*44/12</f>
        <v>4.0158957734789871</v>
      </c>
      <c r="CM79" s="21">
        <f>EXP(-LN(2)/2)*CM78+(1-EXP(-LN(2)/2))/(LN(2)/2)*CG79*CJ79*VLOOKUP('Données projet'!$B$12,Paramètres!$A$1:$I$89,3,0)*0.475*44/12</f>
        <v>5.3598887923425308E-9</v>
      </c>
      <c r="CN79" s="22">
        <f t="shared" si="66"/>
        <v>53.682242516324244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9.1529999999999969</v>
      </c>
      <c r="CT79" s="12">
        <f>IF('Données projet'!$A$140&gt;35,CT78+CS79-DB78,IF(A79&lt;'Données projet'!$A$140,$CQ$205^A79,IF(A79='Données projet'!$A$140,'Données projet'!$B$140,CT78+CS79-DB78)))</f>
        <v>281.86600000000004</v>
      </c>
      <c r="CU79" s="17">
        <f>CT79*VLOOKUP('Données projet'!$B$13,Paramètres!$A$1:$I$89,3,0)*VLOOKUP('Données projet'!$B$13,Paramètres!$A$1:$I$89,5,0)</f>
        <v>320.98900080000004</v>
      </c>
      <c r="CV79" s="13">
        <f t="shared" si="95"/>
        <v>75.55909754093075</v>
      </c>
      <c r="CW79" s="20">
        <f t="shared" si="67"/>
        <v>690.65460461045438</v>
      </c>
      <c r="CX79" s="59">
        <f t="shared" si="68"/>
        <v>983.98793794378776</v>
      </c>
      <c r="CY79" s="59">
        <f ca="1">AVERAGE(OFFSET($CX$3,0,0,'Données projet'!$E$13+1,1))-AVERAGE(OFFSET($H$3,0,0,'Données projet'!$E$13+1,1))</f>
        <v>770.11410336045037</v>
      </c>
      <c r="CZ79" s="59">
        <f t="shared" si="96"/>
        <v>227.12611049004596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87.293760439920149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87.293760439920149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11.447499999999998</v>
      </c>
      <c r="DO79" s="12">
        <f>IF('Données projet'!$A$166&gt;35,DO78+DN79-DW78,IF(A79&lt;'Données projet'!$A$166,$DL$205^A79,IF(A79='Données projet'!$A$166,'Données projet'!$B$166,DO78+DN79-DW78)))</f>
        <v>367.4849999999999</v>
      </c>
      <c r="DP79" s="17">
        <f>DO79*VLOOKUP('Données projet'!$B$14,Paramètres!$A$1:$I$89,3,0)*VLOOKUP('Données projet'!$B$14,Paramètres!$A$1:$I$89,5,0)</f>
        <v>372.62978999999996</v>
      </c>
      <c r="DQ79" s="13">
        <f t="shared" si="97"/>
        <v>86.205093506530716</v>
      </c>
      <c r="DR79" s="20">
        <f t="shared" si="70"/>
        <v>799.1374221072075</v>
      </c>
      <c r="DS79" s="59">
        <f t="shared" si="71"/>
        <v>1092.4707554405409</v>
      </c>
      <c r="DT79" s="59">
        <f ca="1">AVERAGE(OFFSET($DS$3,0,0,'Données projet'!$E$14+1,1))-AVERAGE(OFFSET($H$3,0,0,'Données projet'!$E$14+1,1))</f>
        <v>778.88878505968955</v>
      </c>
      <c r="DU79" s="59">
        <f t="shared" si="98"/>
        <v>279.20782832611059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121.96015691604845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121.96015691604845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369.00000000000011</v>
      </c>
      <c r="O80" s="13">
        <f>N80*VLOOKUP('Données projet'!$B$9,Paramètres!$A$1:$I$89,3,0)*VLOOKUP('Données projet'!$B$9,Paramètres!$A$1:$I$89,5,0)</f>
        <v>333.87120000000004</v>
      </c>
      <c r="P80" s="13">
        <f t="shared" si="87"/>
        <v>78.232360111376309</v>
      </c>
      <c r="Q80" s="20">
        <f t="shared" si="54"/>
        <v>717.74703386064709</v>
      </c>
      <c r="R80" s="59">
        <f t="shared" si="55"/>
        <v>1011.0803671939805</v>
      </c>
      <c r="S80" s="59">
        <f ca="1">AVERAGE(OFFSET($R$3,0,0,'Données projet'!$E$9+1,1))-AVERAGE(OFFSET($H$3,0,0,'Données projet'!$E$9+1,1))</f>
        <v>436.4497226650281</v>
      </c>
      <c r="T80" s="59">
        <f t="shared" si="88"/>
        <v>611.43967996341871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4.1675764242223581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4.1675764242223581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630</v>
      </c>
      <c r="AJ80" s="13">
        <f>AI80*VLOOKUP('Données projet'!$B$10,Paramètres!$A$1:$I$89,3,0)*VLOOKUP('Données projet'!$B$10,Paramètres!$A$1:$I$89,5,0)</f>
        <v>550.36800000000005</v>
      </c>
      <c r="AK80" s="13">
        <f t="shared" si="89"/>
        <v>121.67271812244785</v>
      </c>
      <c r="AL80" s="20">
        <f t="shared" si="58"/>
        <v>1170.4709173965966</v>
      </c>
      <c r="AM80" s="59">
        <f t="shared" si="59"/>
        <v>1463.8042507299299</v>
      </c>
      <c r="AN80" s="59">
        <f ca="1">AVERAGE(OFFSET($AM$3,0,0,'Données projet'!$E$10+1,1))-AVERAGE(OFFSET($H$3,0,0,'Données projet'!$E$10+1,1))</f>
        <v>662.13838733542616</v>
      </c>
      <c r="AO80" s="59">
        <f t="shared" si="90"/>
        <v>1194.915361841041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15.183749999999996</v>
      </c>
      <c r="BD80" s="12">
        <f>IF('Données projet'!$A$88&gt;35,BD79+BC80-BL79,IF(A80&lt;'Données projet'!$A$88,$BA$205^A80,IF(A80='Données projet'!$A$88,'Données projet'!$B$88,BD79+BC80-BL79)))</f>
        <v>471.6525000000006</v>
      </c>
      <c r="BE80" s="13">
        <f>BD80*VLOOKUP('Données projet'!$B$11,Paramètres!$A$1:$I$89,3,0)*VLOOKUP('Données projet'!$B$11,Paramètres!$A$1:$I$89,5,0)</f>
        <v>220.73337000000029</v>
      </c>
      <c r="BF80" s="13">
        <f t="shared" si="91"/>
        <v>54.274249180901982</v>
      </c>
      <c r="BG80" s="20">
        <f t="shared" si="61"/>
        <v>478.9716034067381</v>
      </c>
      <c r="BH80" s="59">
        <f t="shared" si="62"/>
        <v>772.30493674007141</v>
      </c>
      <c r="BI80" s="59">
        <f ca="1">AVERAGE(OFFSET($BH$3,0,0,'Données projet'!$E$11+1,1))-AVERAGE(OFFSET($H$3,0,0,'Données projet'!$E$11+1,1))</f>
        <v>321.82962838167799</v>
      </c>
      <c r="BJ80" s="59">
        <f t="shared" si="92"/>
        <v>243.43396255104295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116.66697894908194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116.66697894908194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187.80389738728508</v>
      </c>
      <c r="CE80" s="59">
        <f t="shared" si="94"/>
        <v>439.28159165815265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48.692419971443556</v>
      </c>
      <c r="CL80" s="21">
        <f>EXP(-LN(2)/25)*CL79+(1-EXP(-LN(2)/25))/(LN(2)/25)*Calculateur!CG80*Calculateur!CI80*VLOOKUP('Données projet'!$B$12,Paramètres!$A$1:$I$89,3,0)*0.475*44/12</f>
        <v>3.9060808923664241</v>
      </c>
      <c r="CM80" s="21">
        <f>EXP(-LN(2)/2)*CM79+(1-EXP(-LN(2)/2))/(LN(2)/2)*CG80*CJ80*VLOOKUP('Données projet'!$B$12,Paramètres!$A$1:$I$89,3,0)*0.475*44/12</f>
        <v>3.7900137114711784E-9</v>
      </c>
      <c r="CN80" s="22">
        <f t="shared" si="66"/>
        <v>52.598500867599995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9.1529999999999969</v>
      </c>
      <c r="CT80" s="12">
        <f>IF('Données projet'!$A$140&gt;35,CT79+CS80-DB79,IF(A80&lt;'Données projet'!$A$140,$CQ$205^A80,IF(A80='Données projet'!$A$140,'Données projet'!$B$140,CT79+CS80-DB79)))</f>
        <v>291.01900000000006</v>
      </c>
      <c r="CU80" s="17">
        <f>CT80*VLOOKUP('Données projet'!$B$13,Paramètres!$A$1:$I$89,3,0)*VLOOKUP('Données projet'!$B$13,Paramètres!$A$1:$I$89,5,0)</f>
        <v>331.41243720000006</v>
      </c>
      <c r="CV80" s="13">
        <f t="shared" si="95"/>
        <v>77.723068609593511</v>
      </c>
      <c r="CW80" s="20">
        <f t="shared" si="67"/>
        <v>712.57767261837535</v>
      </c>
      <c r="CX80" s="59">
        <f t="shared" si="68"/>
        <v>1005.9110059517086</v>
      </c>
      <c r="CY80" s="59">
        <f ca="1">AVERAGE(OFFSET($CX$3,0,0,'Données projet'!$E$13+1,1))-AVERAGE(OFFSET($H$3,0,0,'Données projet'!$E$13+1,1))</f>
        <v>770.11410336045037</v>
      </c>
      <c r="CZ80" s="59">
        <f t="shared" si="96"/>
        <v>227.12611049004596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85.581983041629783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85.581983041629783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11.447499999999998</v>
      </c>
      <c r="DO80" s="12">
        <f>IF('Données projet'!$A$166&gt;35,DO79+DN80-DW79,IF(A80&lt;'Données projet'!$A$166,$DL$205^A80,IF(A80='Données projet'!$A$166,'Données projet'!$B$166,DO79+DN80-DW79)))</f>
        <v>378.93249999999989</v>
      </c>
      <c r="DP80" s="17">
        <f>DO80*VLOOKUP('Données projet'!$B$14,Paramètres!$A$1:$I$89,3,0)*VLOOKUP('Données projet'!$B$14,Paramètres!$A$1:$I$89,5,0)</f>
        <v>384.23755499999987</v>
      </c>
      <c r="DQ80" s="13">
        <f t="shared" si="97"/>
        <v>88.573632736564363</v>
      </c>
      <c r="DR80" s="20">
        <f t="shared" si="70"/>
        <v>823.47948530784936</v>
      </c>
      <c r="DS80" s="59">
        <f t="shared" si="71"/>
        <v>1116.8128186411827</v>
      </c>
      <c r="DT80" s="59">
        <f ca="1">AVERAGE(OFFSET($DS$3,0,0,'Données projet'!$E$14+1,1))-AVERAGE(OFFSET($H$3,0,0,'Données projet'!$E$14+1,1))</f>
        <v>778.88878505968955</v>
      </c>
      <c r="DU80" s="59">
        <f t="shared" si="98"/>
        <v>279.20782832611059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119.56859262727522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119.56859262727522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369.00000000000011</v>
      </c>
      <c r="O81" s="13">
        <f>N81*VLOOKUP('Données projet'!$B$9,Paramètres!$A$1:$I$89,3,0)*VLOOKUP('Données projet'!$B$9,Paramètres!$A$1:$I$89,5,0)</f>
        <v>333.87120000000004</v>
      </c>
      <c r="P81" s="13">
        <f t="shared" si="87"/>
        <v>78.232360111376309</v>
      </c>
      <c r="Q81" s="20">
        <f t="shared" si="54"/>
        <v>717.74703386064709</v>
      </c>
      <c r="R81" s="59">
        <f t="shared" si="55"/>
        <v>1011.0803671939805</v>
      </c>
      <c r="S81" s="59">
        <f ca="1">AVERAGE(OFFSET($R$3,0,0,'Données projet'!$E$9+1,1))-AVERAGE(OFFSET($H$3,0,0,'Données projet'!$E$9+1,1))</f>
        <v>436.4497226650281</v>
      </c>
      <c r="T81" s="59">
        <f t="shared" si="88"/>
        <v>611.43967996341871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4.085852792513978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4.085852792513978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630</v>
      </c>
      <c r="AJ81" s="13">
        <f>AI81*VLOOKUP('Données projet'!$B$10,Paramètres!$A$1:$I$89,3,0)*VLOOKUP('Données projet'!$B$10,Paramètres!$A$1:$I$89,5,0)</f>
        <v>550.36800000000005</v>
      </c>
      <c r="AK81" s="13">
        <f t="shared" si="89"/>
        <v>121.67271812244785</v>
      </c>
      <c r="AL81" s="20">
        <f t="shared" si="58"/>
        <v>1170.4709173965966</v>
      </c>
      <c r="AM81" s="59">
        <f t="shared" si="59"/>
        <v>1463.8042507299299</v>
      </c>
      <c r="AN81" s="59">
        <f ca="1">AVERAGE(OFFSET($AM$3,0,0,'Données projet'!$E$10+1,1))-AVERAGE(OFFSET($H$3,0,0,'Données projet'!$E$10+1,1))</f>
        <v>662.13838733542616</v>
      </c>
      <c r="AO81" s="59">
        <f t="shared" si="90"/>
        <v>1194.915361841041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15.183749999999996</v>
      </c>
      <c r="BD81" s="12">
        <f>IF('Données projet'!$A$88&gt;35,BD80+BC81-BL80,IF(A81&lt;'Données projet'!$A$88,$BA$205^A81,IF(A81='Données projet'!$A$88,'Données projet'!$B$88,BD80+BC81-BL80)))</f>
        <v>486.83625000000058</v>
      </c>
      <c r="BE81" s="13">
        <f>BD81*VLOOKUP('Données projet'!$B$11,Paramètres!$A$1:$I$89,3,0)*VLOOKUP('Données projet'!$B$11,Paramètres!$A$1:$I$89,5,0)</f>
        <v>227.83936500000027</v>
      </c>
      <c r="BF81" s="13">
        <f t="shared" si="91"/>
        <v>55.815245407740925</v>
      </c>
      <c r="BG81" s="20">
        <f t="shared" si="61"/>
        <v>494.0317797934826</v>
      </c>
      <c r="BH81" s="59">
        <f t="shared" si="62"/>
        <v>787.36511312681591</v>
      </c>
      <c r="BI81" s="59">
        <f ca="1">AVERAGE(OFFSET($BH$3,0,0,'Données projet'!$E$11+1,1))-AVERAGE(OFFSET($H$3,0,0,'Données projet'!$E$11+1,1))</f>
        <v>321.82962838167799</v>
      </c>
      <c r="BJ81" s="59">
        <f t="shared" si="92"/>
        <v>243.43396255104295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114.37921065172115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114.37921065172115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187.80389738728508</v>
      </c>
      <c r="CE81" s="59">
        <f t="shared" si="94"/>
        <v>439.28159165815265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47.737591315247151</v>
      </c>
      <c r="CL81" s="21">
        <f>EXP(-LN(2)/25)*CL80+(1-EXP(-LN(2)/25))/(LN(2)/25)*Calculateur!CG81*Calculateur!CI81*VLOOKUP('Données projet'!$B$12,Paramètres!$A$1:$I$89,3,0)*0.475*44/12</f>
        <v>3.7992689049527977</v>
      </c>
      <c r="CM81" s="21">
        <f>EXP(-LN(2)/2)*CM80+(1-EXP(-LN(2)/2))/(LN(2)/2)*CG81*CJ81*VLOOKUP('Données projet'!$B$12,Paramètres!$A$1:$I$89,3,0)*0.475*44/12</f>
        <v>2.6799443961712654E-9</v>
      </c>
      <c r="CN81" s="22">
        <f t="shared" si="66"/>
        <v>51.536860222879895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9.1529999999999969</v>
      </c>
      <c r="CT81" s="12">
        <f>IF('Données projet'!$A$140&gt;35,CT80+CS81-DB80,IF(A81&lt;'Données projet'!$A$140,$CQ$205^A81,IF(A81='Données projet'!$A$140,'Données projet'!$B$140,CT80+CS81-DB80)))</f>
        <v>300.17200000000008</v>
      </c>
      <c r="CU81" s="17">
        <f>CT81*VLOOKUP('Données projet'!$B$13,Paramètres!$A$1:$I$89,3,0)*VLOOKUP('Données projet'!$B$13,Paramètres!$A$1:$I$89,5,0)</f>
        <v>341.83587360000013</v>
      </c>
      <c r="CV81" s="13">
        <f t="shared" si="95"/>
        <v>79.8791305707703</v>
      </c>
      <c r="CW81" s="20">
        <f t="shared" si="67"/>
        <v>734.48696559742518</v>
      </c>
      <c r="CX81" s="59">
        <f t="shared" si="68"/>
        <v>1027.8202989307586</v>
      </c>
      <c r="CY81" s="59">
        <f ca="1">AVERAGE(OFFSET($CX$3,0,0,'Données projet'!$E$13+1,1))-AVERAGE(OFFSET($H$3,0,0,'Données projet'!$E$13+1,1))</f>
        <v>770.11410336045037</v>
      </c>
      <c r="CZ81" s="59">
        <f t="shared" si="96"/>
        <v>227.12611049004596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83.903772554038767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83.903772554038767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11.447499999999998</v>
      </c>
      <c r="DO81" s="12">
        <f>IF('Données projet'!$A$166&gt;35,DO80+DN81-DW80,IF(A81&lt;'Données projet'!$A$166,$DL$205^A81,IF(A81='Données projet'!$A$166,'Données projet'!$B$166,DO80+DN81-DW80)))</f>
        <v>390.37999999999988</v>
      </c>
      <c r="DP81" s="17">
        <f>DO81*VLOOKUP('Données projet'!$B$14,Paramètres!$A$1:$I$89,3,0)*VLOOKUP('Données projet'!$B$14,Paramètres!$A$1:$I$89,5,0)</f>
        <v>395.8453199999999</v>
      </c>
      <c r="DQ81" s="13">
        <f t="shared" si="97"/>
        <v>90.933856458278498</v>
      </c>
      <c r="DR81" s="20">
        <f t="shared" si="70"/>
        <v>847.80706566483479</v>
      </c>
      <c r="DS81" s="59">
        <f t="shared" si="71"/>
        <v>1141.1403989981682</v>
      </c>
      <c r="DT81" s="59">
        <f ca="1">AVERAGE(OFFSET($DS$3,0,0,'Données projet'!$E$14+1,1))-AVERAGE(OFFSET($H$3,0,0,'Données projet'!$E$14+1,1))</f>
        <v>778.88878505968955</v>
      </c>
      <c r="DU81" s="59">
        <f t="shared" si="98"/>
        <v>279.20782832611059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117.22392545549465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117.22392545549465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369.00000000000011</v>
      </c>
      <c r="O82" s="13">
        <f>N82*VLOOKUP('Données projet'!$B$9,Paramètres!$A$1:$I$89,3,0)*VLOOKUP('Données projet'!$B$9,Paramètres!$A$1:$I$89,5,0)</f>
        <v>333.87120000000004</v>
      </c>
      <c r="P82" s="13">
        <f t="shared" si="87"/>
        <v>78.232360111376309</v>
      </c>
      <c r="Q82" s="20">
        <f t="shared" si="54"/>
        <v>717.74703386064709</v>
      </c>
      <c r="R82" s="59">
        <f t="shared" si="55"/>
        <v>1011.0803671939805</v>
      </c>
      <c r="S82" s="59">
        <f ca="1">AVERAGE(OFFSET($R$3,0,0,'Données projet'!$E$9+1,1))-AVERAGE(OFFSET($H$3,0,0,'Données projet'!$E$9+1,1))</f>
        <v>436.4497226650281</v>
      </c>
      <c r="T82" s="59">
        <f t="shared" si="88"/>
        <v>611.43967996341871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4.0057317113769058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4.0057317113769058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630</v>
      </c>
      <c r="AJ82" s="13">
        <f>AI82*VLOOKUP('Données projet'!$B$10,Paramètres!$A$1:$I$89,3,0)*VLOOKUP('Données projet'!$B$10,Paramètres!$A$1:$I$89,5,0)</f>
        <v>550.36800000000005</v>
      </c>
      <c r="AK82" s="13">
        <f t="shared" si="89"/>
        <v>121.67271812244785</v>
      </c>
      <c r="AL82" s="20">
        <f t="shared" si="58"/>
        <v>1170.4709173965966</v>
      </c>
      <c r="AM82" s="59">
        <f t="shared" si="59"/>
        <v>1463.8042507299299</v>
      </c>
      <c r="AN82" s="59">
        <f ca="1">AVERAGE(OFFSET($AM$3,0,0,'Données projet'!$E$10+1,1))-AVERAGE(OFFSET($H$3,0,0,'Données projet'!$E$10+1,1))</f>
        <v>662.13838733542616</v>
      </c>
      <c r="AO82" s="59">
        <f t="shared" si="90"/>
        <v>1194.915361841041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>
        <f>VLOOKUP(A82,'Données projet'!$A$87:$I$107,2,0)</f>
        <v>502.02</v>
      </c>
      <c r="BB82" s="12">
        <f>VLOOKUP(A82,'Données projet'!$A$87:$I$107,9,0)</f>
        <v>15.183749999999996</v>
      </c>
      <c r="BC82" s="12">
        <f t="array" ref="BC82">INDEX(BB:BB,MIN(IF(ISNUMBER(BB82:BB278),ROW(BB82:BB278),"")))</f>
        <v>15.183749999999996</v>
      </c>
      <c r="BD82" s="12">
        <f>IF('Données projet'!$A$88&gt;35,BD81+BC82-BL81,IF(A82&lt;'Données projet'!$A$88,$BA$205^A82,IF(A82='Données projet'!$A$88,'Données projet'!$B$88,BD81+BC82-BL81)))</f>
        <v>502.02000000000055</v>
      </c>
      <c r="BE82" s="13">
        <f>BD82*VLOOKUP('Données projet'!$B$11,Paramètres!$A$1:$I$89,3,0)*VLOOKUP('Données projet'!$B$11,Paramètres!$A$1:$I$89,5,0)</f>
        <v>234.94536000000025</v>
      </c>
      <c r="BF82" s="13">
        <f t="shared" si="91"/>
        <v>57.350656456773365</v>
      </c>
      <c r="BG82" s="20">
        <f t="shared" si="61"/>
        <v>509.08222866221405</v>
      </c>
      <c r="BH82" s="59">
        <f t="shared" si="62"/>
        <v>802.41556199554736</v>
      </c>
      <c r="BI82" s="59">
        <f ca="1">AVERAGE(OFFSET($BH$3,0,0,'Données projet'!$E$11+1,1))-AVERAGE(OFFSET($H$3,0,0,'Données projet'!$E$11+1,1))</f>
        <v>321.82962838167799</v>
      </c>
      <c r="BJ82" s="59">
        <f t="shared" si="92"/>
        <v>243.43396255104295</v>
      </c>
      <c r="BK82" s="15">
        <f>IF(ISNA(VLOOKUP(A82,'Données projet'!$A$87:$I$107,3,0)),0,VLOOKUP(A82,'Données projet'!$A$87:$I$107,3,0))</f>
        <v>6</v>
      </c>
      <c r="BL82" s="15">
        <f>IF(ISNA(VLOOKUP(A82,'Données projet'!$A$87:$I$107,4,0)),0,VLOOKUP(A82,'Données projet'!$A$87:$I$107,4,0))</f>
        <v>87.99</v>
      </c>
      <c r="BM82" s="16">
        <f>IF(ISNA(VLOOKUP(A82,'Données projet'!$A$87:$I$107,5,0)),0%,VLOOKUP(A82,'Données projet'!$A$87:$I$107,5,0)*VLOOKUP('Données projet'!$B$11,Paramètres!$A$1:$I$89,7,0))</f>
        <v>0.55000000000000004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142.18116631141453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142.18116631141453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187.80389738728508</v>
      </c>
      <c r="CE82" s="59">
        <f t="shared" si="94"/>
        <v>439.28159165815265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46.801486266610787</v>
      </c>
      <c r="CL82" s="21">
        <f>EXP(-LN(2)/25)*CL81+(1-EXP(-LN(2)/25))/(LN(2)/25)*Calculateur!CG82*Calculateur!CI82*VLOOKUP('Données projet'!$B$12,Paramètres!$A$1:$I$89,3,0)*0.475*44/12</f>
        <v>3.6953776969519949</v>
      </c>
      <c r="CM82" s="21">
        <f>EXP(-LN(2)/2)*CM81+(1-EXP(-LN(2)/2))/(LN(2)/2)*CG82*CJ82*VLOOKUP('Données projet'!$B$12,Paramètres!$A$1:$I$89,3,0)*0.475*44/12</f>
        <v>1.8950068557355892E-9</v>
      </c>
      <c r="CN82" s="22">
        <f t="shared" si="66"/>
        <v>50.496863965457791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9.1529999999999969</v>
      </c>
      <c r="CT82" s="12">
        <f>IF('Données projet'!$A$140&gt;35,CT81+CS82-DB81,IF(A82&lt;'Données projet'!$A$140,$CQ$205^A82,IF(A82='Données projet'!$A$140,'Données projet'!$B$140,CT81+CS82-DB81)))</f>
        <v>309.3250000000001</v>
      </c>
      <c r="CU82" s="17">
        <f>CT82*VLOOKUP('Données projet'!$B$13,Paramètres!$A$1:$I$89,3,0)*VLOOKUP('Données projet'!$B$13,Paramètres!$A$1:$I$89,5,0)</f>
        <v>352.25931000000014</v>
      </c>
      <c r="CV82" s="13">
        <f t="shared" si="95"/>
        <v>82.027552272344195</v>
      </c>
      <c r="CW82" s="20">
        <f t="shared" si="67"/>
        <v>756.38295179099975</v>
      </c>
      <c r="CX82" s="59">
        <f t="shared" si="68"/>
        <v>1049.7162851243331</v>
      </c>
      <c r="CY82" s="59">
        <f ca="1">AVERAGE(OFFSET($CX$3,0,0,'Données projet'!$E$13+1,1))-AVERAGE(OFFSET($H$3,0,0,'Données projet'!$E$13+1,1))</f>
        <v>770.11410336045037</v>
      </c>
      <c r="CZ82" s="59">
        <f t="shared" si="96"/>
        <v>227.12611049004596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82.258470750502084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82.258470750502084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11.447499999999998</v>
      </c>
      <c r="DO82" s="12">
        <f>IF('Données projet'!$A$166&gt;35,DO81+DN82-DW81,IF(A82&lt;'Données projet'!$A$166,$DL$205^A82,IF(A82='Données projet'!$A$166,'Données projet'!$B$166,DO81+DN82-DW81)))</f>
        <v>401.82749999999987</v>
      </c>
      <c r="DP82" s="17">
        <f>DO82*VLOOKUP('Données projet'!$B$14,Paramètres!$A$1:$I$89,3,0)*VLOOKUP('Données projet'!$B$14,Paramètres!$A$1:$I$89,5,0)</f>
        <v>407.45308499999987</v>
      </c>
      <c r="DQ82" s="13">
        <f t="shared" si="97"/>
        <v>93.286036513911085</v>
      </c>
      <c r="DR82" s="20">
        <f t="shared" si="70"/>
        <v>872.12063663672825</v>
      </c>
      <c r="DS82" s="59">
        <f t="shared" si="71"/>
        <v>1165.4539699700615</v>
      </c>
      <c r="DT82" s="59">
        <f ca="1">AVERAGE(OFFSET($DS$3,0,0,'Données projet'!$E$14+1,1))-AVERAGE(OFFSET($H$3,0,0,'Données projet'!$E$14+1,1))</f>
        <v>778.88878505968955</v>
      </c>
      <c r="DU82" s="59">
        <f t="shared" si="98"/>
        <v>279.20782832611059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114.92523577684693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114.92523577684693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369.00000000000011</v>
      </c>
      <c r="O83" s="13">
        <f>N83*VLOOKUP('Données projet'!$B$9,Paramètres!$A$1:$I$89,3,0)*VLOOKUP('Données projet'!$B$9,Paramètres!$A$1:$I$89,5,0)</f>
        <v>333.87120000000004</v>
      </c>
      <c r="P83" s="13">
        <f t="shared" si="87"/>
        <v>78.232360111376309</v>
      </c>
      <c r="Q83" s="20">
        <f t="shared" si="54"/>
        <v>717.74703386064709</v>
      </c>
      <c r="R83" s="59">
        <f t="shared" si="55"/>
        <v>1011.0803671939805</v>
      </c>
      <c r="S83" s="59">
        <f ca="1">AVERAGE(OFFSET($R$3,0,0,'Données projet'!$E$9+1,1))-AVERAGE(OFFSET($H$3,0,0,'Données projet'!$E$9+1,1))</f>
        <v>436.4497226650281</v>
      </c>
      <c r="T83" s="59">
        <f t="shared" si="88"/>
        <v>611.43967996341871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3.9271817557718971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3.9271817557718971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630</v>
      </c>
      <c r="AJ83" s="13">
        <f>AI83*VLOOKUP('Données projet'!$B$10,Paramètres!$A$1:$I$89,3,0)*VLOOKUP('Données projet'!$B$10,Paramètres!$A$1:$I$89,5,0)</f>
        <v>550.36800000000005</v>
      </c>
      <c r="AK83" s="13">
        <f t="shared" si="89"/>
        <v>121.67271812244785</v>
      </c>
      <c r="AL83" s="20">
        <f t="shared" si="58"/>
        <v>1170.4709173965966</v>
      </c>
      <c r="AM83" s="59">
        <f t="shared" si="59"/>
        <v>1463.8042507299299</v>
      </c>
      <c r="AN83" s="59">
        <f ca="1">AVERAGE(OFFSET($AM$3,0,0,'Données projet'!$E$10+1,1))-AVERAGE(OFFSET($H$3,0,0,'Données projet'!$E$10+1,1))</f>
        <v>662.13838733542616</v>
      </c>
      <c r="AO83" s="59">
        <f t="shared" si="90"/>
        <v>1194.915361841041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14.266249999999999</v>
      </c>
      <c r="BD83" s="12">
        <f>IF('Données projet'!$A$88&gt;35,BD82+BC83-BL82,IF(A83&lt;'Données projet'!$A$88,$BA$205^A83,IF(A83='Données projet'!$A$88,'Données projet'!$B$88,BD82+BC83-BL82)))</f>
        <v>428.29625000000055</v>
      </c>
      <c r="BE83" s="13">
        <f>BD83*VLOOKUP('Données projet'!$B$11,Paramètres!$A$1:$I$89,3,0)*VLOOKUP('Données projet'!$B$11,Paramètres!$A$1:$I$89,5,0)</f>
        <v>200.44264500000025</v>
      </c>
      <c r="BF83" s="13">
        <f t="shared" si="91"/>
        <v>49.841435178556367</v>
      </c>
      <c r="BG83" s="20">
        <f t="shared" si="61"/>
        <v>435.91143964431944</v>
      </c>
      <c r="BH83" s="59">
        <f t="shared" si="62"/>
        <v>729.2447729776527</v>
      </c>
      <c r="BI83" s="59">
        <f ca="1">AVERAGE(OFFSET($BH$3,0,0,'Données projet'!$E$11+1,1))-AVERAGE(OFFSET($H$3,0,0,'Données projet'!$E$11+1,1))</f>
        <v>321.82962838167799</v>
      </c>
      <c r="BJ83" s="59">
        <f t="shared" si="92"/>
        <v>243.43396255104295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139.39308036199606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139.39308036199606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187.80389738728508</v>
      </c>
      <c r="CE83" s="59">
        <f t="shared" si="94"/>
        <v>439.28159165815265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45.883737667010479</v>
      </c>
      <c r="CL83" s="21">
        <f>EXP(-LN(2)/25)*CL82+(1-EXP(-LN(2)/25))/(LN(2)/25)*Calculateur!CG83*Calculateur!CI83*VLOOKUP('Données projet'!$B$12,Paramètres!$A$1:$I$89,3,0)*0.475*44/12</f>
        <v>3.5943273994973755</v>
      </c>
      <c r="CM83" s="21">
        <f>EXP(-LN(2)/2)*CM82+(1-EXP(-LN(2)/2))/(LN(2)/2)*CG83*CJ83*VLOOKUP('Données projet'!$B$12,Paramètres!$A$1:$I$89,3,0)*0.475*44/12</f>
        <v>1.3399721980856327E-9</v>
      </c>
      <c r="CN83" s="22">
        <f t="shared" si="66"/>
        <v>49.478065067847822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9.1529999999999969</v>
      </c>
      <c r="CT83" s="12">
        <f>IF('Données projet'!$A$140&gt;35,CT82+CS83-DB82,IF(A83&lt;'Données projet'!$A$140,$CQ$205^A83,IF(A83='Données projet'!$A$140,'Données projet'!$B$140,CT82+CS83-DB82)))</f>
        <v>318.47800000000012</v>
      </c>
      <c r="CU83" s="17">
        <f>CT83*VLOOKUP('Données projet'!$B$13,Paramètres!$A$1:$I$89,3,0)*VLOOKUP('Données projet'!$B$13,Paramètres!$A$1:$I$89,5,0)</f>
        <v>362.6827464000001</v>
      </c>
      <c r="CV83" s="13">
        <f t="shared" si="95"/>
        <v>84.1685857471888</v>
      </c>
      <c r="CW83" s="20">
        <f t="shared" si="67"/>
        <v>778.26607015635398</v>
      </c>
      <c r="CX83" s="59">
        <f t="shared" si="68"/>
        <v>1071.5994034896873</v>
      </c>
      <c r="CY83" s="59">
        <f ca="1">AVERAGE(OFFSET($CX$3,0,0,'Données projet'!$E$13+1,1))-AVERAGE(OFFSET($H$3,0,0,'Données projet'!$E$13+1,1))</f>
        <v>770.11410336045037</v>
      </c>
      <c r="CZ83" s="59">
        <f t="shared" si="96"/>
        <v>227.12611049004596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80.645432311797748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80.645432311797748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11.447499999999998</v>
      </c>
      <c r="DO83" s="12">
        <f>IF('Données projet'!$A$166&gt;35,DO82+DN83-DW82,IF(A83&lt;'Données projet'!$A$166,$DL$205^A83,IF(A83='Données projet'!$A$166,'Données projet'!$B$166,DO82+DN83-DW82)))</f>
        <v>413.27499999999986</v>
      </c>
      <c r="DP83" s="17">
        <f>DO83*VLOOKUP('Données projet'!$B$14,Paramètres!$A$1:$I$89,3,0)*VLOOKUP('Données projet'!$B$14,Paramètres!$A$1:$I$89,5,0)</f>
        <v>419.0608499999999</v>
      </c>
      <c r="DQ83" s="13">
        <f t="shared" si="97"/>
        <v>95.630428375892208</v>
      </c>
      <c r="DR83" s="20">
        <f t="shared" si="70"/>
        <v>896.42064317134543</v>
      </c>
      <c r="DS83" s="59">
        <f t="shared" si="71"/>
        <v>1189.7539765046788</v>
      </c>
      <c r="DT83" s="59">
        <f ca="1">AVERAGE(OFFSET($DS$3,0,0,'Données projet'!$E$14+1,1))-AVERAGE(OFFSET($H$3,0,0,'Données projet'!$E$14+1,1))</f>
        <v>778.88878505968955</v>
      </c>
      <c r="DU83" s="59">
        <f t="shared" si="98"/>
        <v>279.20782832611059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112.67162200073524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112.67162200073524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369.00000000000011</v>
      </c>
      <c r="O84" s="13">
        <f>N84*VLOOKUP('Données projet'!$B$9,Paramètres!$A$1:$I$89,3,0)*VLOOKUP('Données projet'!$B$9,Paramètres!$A$1:$I$89,5,0)</f>
        <v>333.87120000000004</v>
      </c>
      <c r="P84" s="13">
        <f t="shared" si="87"/>
        <v>78.232360111376309</v>
      </c>
      <c r="Q84" s="20">
        <f t="shared" si="54"/>
        <v>717.74703386064709</v>
      </c>
      <c r="R84" s="59">
        <f t="shared" si="55"/>
        <v>1011.0803671939805</v>
      </c>
      <c r="S84" s="59">
        <f ca="1">AVERAGE(OFFSET($R$3,0,0,'Données projet'!$E$9+1,1))-AVERAGE(OFFSET($H$3,0,0,'Données projet'!$E$9+1,1))</f>
        <v>436.4497226650281</v>
      </c>
      <c r="T84" s="59">
        <f t="shared" si="88"/>
        <v>611.43967996341871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3.8501721168855605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3.8501721168855605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630</v>
      </c>
      <c r="AJ84" s="13">
        <f>AI84*VLOOKUP('Données projet'!$B$10,Paramètres!$A$1:$I$89,3,0)*VLOOKUP('Données projet'!$B$10,Paramètres!$A$1:$I$89,5,0)</f>
        <v>550.36800000000005</v>
      </c>
      <c r="AK84" s="13">
        <f t="shared" si="89"/>
        <v>121.67271812244785</v>
      </c>
      <c r="AL84" s="20">
        <f t="shared" si="58"/>
        <v>1170.4709173965966</v>
      </c>
      <c r="AM84" s="59">
        <f t="shared" si="59"/>
        <v>1463.8042507299299</v>
      </c>
      <c r="AN84" s="59">
        <f ca="1">AVERAGE(OFFSET($AM$3,0,0,'Données projet'!$E$10+1,1))-AVERAGE(OFFSET($H$3,0,0,'Données projet'!$E$10+1,1))</f>
        <v>662.13838733542616</v>
      </c>
      <c r="AO84" s="59">
        <f t="shared" si="90"/>
        <v>1194.915361841041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14.266249999999999</v>
      </c>
      <c r="BD84" s="12">
        <f>IF('Données projet'!$A$88&gt;35,BD83+BC84-BL83,IF(A84&lt;'Données projet'!$A$88,$BA$205^A84,IF(A84='Données projet'!$A$88,'Données projet'!$B$88,BD83+BC84-BL83)))</f>
        <v>442.56250000000057</v>
      </c>
      <c r="BE84" s="13">
        <f>BD84*VLOOKUP('Données projet'!$B$11,Paramètres!$A$1:$I$89,3,0)*VLOOKUP('Données projet'!$B$11,Paramètres!$A$1:$I$89,5,0)</f>
        <v>207.11925000000025</v>
      </c>
      <c r="BF84" s="13">
        <f t="shared" si="91"/>
        <v>51.305564167415632</v>
      </c>
      <c r="BG84" s="20">
        <f t="shared" si="61"/>
        <v>450.08988467491599</v>
      </c>
      <c r="BH84" s="59">
        <f t="shared" si="62"/>
        <v>743.42321800824925</v>
      </c>
      <c r="BI84" s="59">
        <f ca="1">AVERAGE(OFFSET($BH$3,0,0,'Données projet'!$E$11+1,1))-AVERAGE(OFFSET($H$3,0,0,'Données projet'!$E$11+1,1))</f>
        <v>321.82962838167799</v>
      </c>
      <c r="BJ84" s="59">
        <f t="shared" si="92"/>
        <v>243.43396255104295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136.65966707748117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136.65966707748117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187.80389738728508</v>
      </c>
      <c r="CE84" s="59">
        <f t="shared" si="94"/>
        <v>439.28159165815265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44.983985557676959</v>
      </c>
      <c r="CL84" s="21">
        <f>EXP(-LN(2)/25)*CL83+(1-EXP(-LN(2)/25))/(LN(2)/25)*Calculateur!CG84*Calculateur!CI84*VLOOKUP('Données projet'!$B$12,Paramètres!$A$1:$I$89,3,0)*0.475*44/12</f>
        <v>3.4960403277406567</v>
      </c>
      <c r="CM84" s="21">
        <f>EXP(-LN(2)/2)*CM83+(1-EXP(-LN(2)/2))/(LN(2)/2)*CG84*CJ84*VLOOKUP('Données projet'!$B$12,Paramètres!$A$1:$I$89,3,0)*0.475*44/12</f>
        <v>9.4750342786779459E-10</v>
      </c>
      <c r="CN84" s="22">
        <f t="shared" si="66"/>
        <v>48.480025886365119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9.1529999999999969</v>
      </c>
      <c r="CT84" s="12">
        <f>IF('Données projet'!$A$140&gt;35,CT83+CS84-DB83,IF(A84&lt;'Données projet'!$A$140,$CQ$205^A84,IF(A84='Données projet'!$A$140,'Données projet'!$B$140,CT83+CS84-DB83)))</f>
        <v>327.63100000000014</v>
      </c>
      <c r="CU84" s="17">
        <f>CT84*VLOOKUP('Données projet'!$B$13,Paramètres!$A$1:$I$89,3,0)*VLOOKUP('Données projet'!$B$13,Paramètres!$A$1:$I$89,5,0)</f>
        <v>373.10618280000017</v>
      </c>
      <c r="CV84" s="13">
        <f t="shared" si="95"/>
        <v>86.302467717524863</v>
      </c>
      <c r="CW84" s="20">
        <f t="shared" si="67"/>
        <v>800.13673298468939</v>
      </c>
      <c r="CX84" s="59">
        <f t="shared" si="68"/>
        <v>1093.4700663180226</v>
      </c>
      <c r="CY84" s="59">
        <f ca="1">AVERAGE(OFFSET($CX$3,0,0,'Données projet'!$E$13+1,1))-AVERAGE(OFFSET($H$3,0,0,'Données projet'!$E$13+1,1))</f>
        <v>770.11410336045037</v>
      </c>
      <c r="CZ84" s="59">
        <f t="shared" si="96"/>
        <v>227.12611049004596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79.064024573020106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79.064024573020106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11.447499999999998</v>
      </c>
      <c r="DO84" s="12">
        <f>IF('Données projet'!$A$166&gt;35,DO83+DN84-DW83,IF(A84&lt;'Données projet'!$A$166,$DL$205^A84,IF(A84='Données projet'!$A$166,'Données projet'!$B$166,DO83+DN84-DW83)))</f>
        <v>424.72249999999985</v>
      </c>
      <c r="DP84" s="17">
        <f>DO84*VLOOKUP('Données projet'!$B$14,Paramètres!$A$1:$I$89,3,0)*VLOOKUP('Données projet'!$B$14,Paramètres!$A$1:$I$89,5,0)</f>
        <v>430.66861499999987</v>
      </c>
      <c r="DQ84" s="13">
        <f t="shared" si="97"/>
        <v>97.967272558384835</v>
      </c>
      <c r="DR84" s="20">
        <f t="shared" si="70"/>
        <v>920.70750416418662</v>
      </c>
      <c r="DS84" s="59">
        <f t="shared" si="71"/>
        <v>1214.04083749752</v>
      </c>
      <c r="DT84" s="59">
        <f ca="1">AVERAGE(OFFSET($DS$3,0,0,'Données projet'!$E$14+1,1))-AVERAGE(OFFSET($H$3,0,0,'Données projet'!$E$14+1,1))</f>
        <v>778.88878505968955</v>
      </c>
      <c r="DU84" s="59">
        <f t="shared" si="98"/>
        <v>279.20782832611059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110.46220021620442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110.46220021620442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369.00000000000011</v>
      </c>
      <c r="O85" s="13">
        <f>N85*VLOOKUP('Données projet'!$B$9,Paramètres!$A$1:$I$89,3,0)*VLOOKUP('Données projet'!$B$9,Paramètres!$A$1:$I$89,5,0)</f>
        <v>333.87120000000004</v>
      </c>
      <c r="P85" s="13">
        <f t="shared" si="87"/>
        <v>78.232360111376309</v>
      </c>
      <c r="Q85" s="20">
        <f t="shared" si="54"/>
        <v>717.74703386064709</v>
      </c>
      <c r="R85" s="59">
        <f t="shared" si="55"/>
        <v>1011.0803671939805</v>
      </c>
      <c r="S85" s="59">
        <f ca="1">AVERAGE(OFFSET($R$3,0,0,'Données projet'!$E$9+1,1))-AVERAGE(OFFSET($H$3,0,0,'Données projet'!$E$9+1,1))</f>
        <v>436.4497226650281</v>
      </c>
      <c r="T85" s="59">
        <f t="shared" si="88"/>
        <v>611.43967996341871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3.7746725900465434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3.7746725900465434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630</v>
      </c>
      <c r="AJ85" s="13">
        <f>AI85*VLOOKUP('Données projet'!$B$10,Paramètres!$A$1:$I$89,3,0)*VLOOKUP('Données projet'!$B$10,Paramètres!$A$1:$I$89,5,0)</f>
        <v>550.36800000000005</v>
      </c>
      <c r="AK85" s="13">
        <f t="shared" si="89"/>
        <v>121.67271812244785</v>
      </c>
      <c r="AL85" s="20">
        <f t="shared" si="58"/>
        <v>1170.4709173965966</v>
      </c>
      <c r="AM85" s="59">
        <f t="shared" si="59"/>
        <v>1463.8042507299299</v>
      </c>
      <c r="AN85" s="59">
        <f ca="1">AVERAGE(OFFSET($AM$3,0,0,'Données projet'!$E$10+1,1))-AVERAGE(OFFSET($H$3,0,0,'Données projet'!$E$10+1,1))</f>
        <v>662.13838733542616</v>
      </c>
      <c r="AO85" s="59">
        <f t="shared" si="90"/>
        <v>1194.915361841041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14.266249999999999</v>
      </c>
      <c r="BD85" s="12">
        <f>IF('Données projet'!$A$88&gt;35,BD84+BC85-BL84,IF(A85&lt;'Données projet'!$A$88,$BA$205^A85,IF(A85='Données projet'!$A$88,'Données projet'!$B$88,BD84+BC85-BL84)))</f>
        <v>456.82875000000058</v>
      </c>
      <c r="BE85" s="13">
        <f>BD85*VLOOKUP('Données projet'!$B$11,Paramètres!$A$1:$I$89,3,0)*VLOOKUP('Données projet'!$B$11,Paramètres!$A$1:$I$89,5,0)</f>
        <v>213.79585500000027</v>
      </c>
      <c r="BF85" s="13">
        <f t="shared" si="91"/>
        <v>52.764208713877771</v>
      </c>
      <c r="BG85" s="20">
        <f t="shared" si="61"/>
        <v>464.25877763500421</v>
      </c>
      <c r="BH85" s="59">
        <f t="shared" si="62"/>
        <v>757.59211096833747</v>
      </c>
      <c r="BI85" s="59">
        <f ca="1">AVERAGE(OFFSET($BH$3,0,0,'Données projet'!$E$11+1,1))-AVERAGE(OFFSET($H$3,0,0,'Données projet'!$E$11+1,1))</f>
        <v>321.82962838167799</v>
      </c>
      <c r="BJ85" s="59">
        <f t="shared" si="92"/>
        <v>243.43396255104295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133.97985436025814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133.97985436025814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187.80389738728508</v>
      </c>
      <c r="CE85" s="59">
        <f t="shared" si="94"/>
        <v>439.28159165815265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44.101877038412873</v>
      </c>
      <c r="CL85" s="21">
        <f>EXP(-LN(2)/25)*CL84+(1-EXP(-LN(2)/25))/(LN(2)/25)*Calculateur!CG85*Calculateur!CI85*VLOOKUP('Données projet'!$B$12,Paramètres!$A$1:$I$89,3,0)*0.475*44/12</f>
        <v>3.4004409211298179</v>
      </c>
      <c r="CM85" s="21">
        <f>EXP(-LN(2)/2)*CM84+(1-EXP(-LN(2)/2))/(LN(2)/2)*CG85*CJ85*VLOOKUP('Données projet'!$B$12,Paramètres!$A$1:$I$89,3,0)*0.475*44/12</f>
        <v>6.6998609904281635E-10</v>
      </c>
      <c r="CN85" s="22">
        <f t="shared" si="66"/>
        <v>47.502317960212679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9.1529999999999969</v>
      </c>
      <c r="CT85" s="12">
        <f>IF('Données projet'!$A$140&gt;35,CT84+CS85-DB84,IF(A85&lt;'Données projet'!$A$140,$CQ$205^A85,IF(A85='Données projet'!$A$140,'Données projet'!$B$140,CT84+CS85-DB84)))</f>
        <v>336.78400000000016</v>
      </c>
      <c r="CU85" s="17">
        <f>CT85*VLOOKUP('Données projet'!$B$13,Paramètres!$A$1:$I$89,3,0)*VLOOKUP('Données projet'!$B$13,Paramètres!$A$1:$I$89,5,0)</f>
        <v>383.52961920000018</v>
      </c>
      <c r="CV85" s="13">
        <f t="shared" si="95"/>
        <v>88.429420926442305</v>
      </c>
      <c r="CW85" s="20">
        <f t="shared" si="67"/>
        <v>821.99532822022059</v>
      </c>
      <c r="CX85" s="59">
        <f t="shared" si="68"/>
        <v>1115.328661553554</v>
      </c>
      <c r="CY85" s="59">
        <f ca="1">AVERAGE(OFFSET($CX$3,0,0,'Données projet'!$E$13+1,1))-AVERAGE(OFFSET($H$3,0,0,'Données projet'!$E$13+1,1))</f>
        <v>770.11410336045037</v>
      </c>
      <c r="CZ85" s="59">
        <f t="shared" si="96"/>
        <v>227.12611049004596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77.51362727543642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77.51362727543642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>
        <f>VLOOKUP(A85,'Données projet'!$A$165:$I$185,2,0)</f>
        <v>436.17</v>
      </c>
      <c r="DM85" s="12">
        <f>VLOOKUP(A85,'Données projet'!$A$165:$I$185,9,0)</f>
        <v>11.447499999999998</v>
      </c>
      <c r="DN85" s="12">
        <f t="array" ref="DN85">INDEX(DM:DM,MIN(IF(ISNUMBER(DM85:DM281),ROW(DM85:DM281),"")))</f>
        <v>11.447499999999998</v>
      </c>
      <c r="DO85" s="12">
        <f>IF('Données projet'!$A$166&gt;35,DO84+DN85-DW84,IF(A85&lt;'Données projet'!$A$166,$DL$205^A85,IF(A85='Données projet'!$A$166,'Données projet'!$B$166,DO84+DN85-DW84)))</f>
        <v>436.16999999999985</v>
      </c>
      <c r="DP85" s="17">
        <f>DO85*VLOOKUP('Données projet'!$B$14,Paramètres!$A$1:$I$89,3,0)*VLOOKUP('Données projet'!$B$14,Paramètres!$A$1:$I$89,5,0)</f>
        <v>442.2763799999999</v>
      </c>
      <c r="DQ85" s="13">
        <f t="shared" si="97"/>
        <v>100.2967958723649</v>
      </c>
      <c r="DR85" s="20">
        <f t="shared" si="70"/>
        <v>944.98161464436873</v>
      </c>
      <c r="DS85" s="59">
        <f t="shared" si="71"/>
        <v>1238.3149479777021</v>
      </c>
      <c r="DT85" s="59">
        <f ca="1">AVERAGE(OFFSET($DS$3,0,0,'Données projet'!$E$14+1,1))-AVERAGE(OFFSET($H$3,0,0,'Données projet'!$E$14+1,1))</f>
        <v>778.88878505968955</v>
      </c>
      <c r="DU85" s="59">
        <f t="shared" si="98"/>
        <v>279.20782832611059</v>
      </c>
      <c r="DV85" s="15">
        <f>IF(ISNA(VLOOKUP(A85,'Données projet'!$A$165:$I$185,3,0)),0,VLOOKUP(A85,'Données projet'!$A$165:$I$185,3,0))</f>
        <v>7</v>
      </c>
      <c r="DW85" s="15">
        <f>IF(ISNA(VLOOKUP(A85,'Données projet'!$A$165:$I$185,4,0)),0,VLOOKUP(A85,'Données projet'!$A$165:$I$185,4,0))</f>
        <v>53.92</v>
      </c>
      <c r="DX85" s="16">
        <f>IF(ISNA(VLOOKUP(A85,'Données projet'!$A$165:$I$185,5,0)),0%,VLOOKUP(A85,'Données projet'!$A$165:$I$185,5,0)*VLOOKUP('Données projet'!$B$14,Paramètres!$A$1:$I$89,7,0))</f>
        <v>0.43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134.28593179339697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134.28593179339697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369.00000000000011</v>
      </c>
      <c r="O86" s="13">
        <f>N86*VLOOKUP('Données projet'!$B$9,Paramètres!$A$1:$I$89,3,0)*VLOOKUP('Données projet'!$B$9,Paramètres!$A$1:$I$89,5,0)</f>
        <v>333.87120000000004</v>
      </c>
      <c r="P86" s="13">
        <f t="shared" si="87"/>
        <v>78.232360111376309</v>
      </c>
      <c r="Q86" s="20">
        <f t="shared" si="54"/>
        <v>717.74703386064709</v>
      </c>
      <c r="R86" s="59">
        <f t="shared" si="55"/>
        <v>1011.0803671939805</v>
      </c>
      <c r="S86" s="59">
        <f ca="1">AVERAGE(OFFSET($R$3,0,0,'Données projet'!$E$9+1,1))-AVERAGE(OFFSET($H$3,0,0,'Données projet'!$E$9+1,1))</f>
        <v>436.4497226650281</v>
      </c>
      <c r="T86" s="59">
        <f t="shared" si="88"/>
        <v>611.43967996341871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3.7006535628786752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3.7006535628786752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630</v>
      </c>
      <c r="AJ86" s="13">
        <f>AI86*VLOOKUP('Données projet'!$B$10,Paramètres!$A$1:$I$89,3,0)*VLOOKUP('Données projet'!$B$10,Paramètres!$A$1:$I$89,5,0)</f>
        <v>550.36800000000005</v>
      </c>
      <c r="AK86" s="13">
        <f t="shared" si="89"/>
        <v>121.67271812244785</v>
      </c>
      <c r="AL86" s="20">
        <f t="shared" si="58"/>
        <v>1170.4709173965966</v>
      </c>
      <c r="AM86" s="59">
        <f t="shared" si="59"/>
        <v>1463.8042507299299</v>
      </c>
      <c r="AN86" s="59">
        <f ca="1">AVERAGE(OFFSET($AM$3,0,0,'Données projet'!$E$10+1,1))-AVERAGE(OFFSET($H$3,0,0,'Données projet'!$E$10+1,1))</f>
        <v>662.13838733542616</v>
      </c>
      <c r="AO86" s="59">
        <f t="shared" si="90"/>
        <v>1194.915361841041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14.266249999999999</v>
      </c>
      <c r="BD86" s="12">
        <f>IF('Données projet'!$A$88&gt;35,BD85+BC86-BL85,IF(A86&lt;'Données projet'!$A$88,$BA$205^A86,IF(A86='Données projet'!$A$88,'Données projet'!$B$88,BD85+BC86-BL85)))</f>
        <v>471.0950000000006</v>
      </c>
      <c r="BE86" s="13">
        <f>BD86*VLOOKUP('Données projet'!$B$11,Paramètres!$A$1:$I$89,3,0)*VLOOKUP('Données projet'!$B$11,Paramètres!$A$1:$I$89,5,0)</f>
        <v>220.47246000000027</v>
      </c>
      <c r="BF86" s="13">
        <f t="shared" si="91"/>
        <v>54.217559742972433</v>
      </c>
      <c r="BG86" s="20">
        <f t="shared" si="61"/>
        <v>478.41845105234415</v>
      </c>
      <c r="BH86" s="59">
        <f t="shared" si="62"/>
        <v>771.75178438567741</v>
      </c>
      <c r="BI86" s="59">
        <f ca="1">AVERAGE(OFFSET($BH$3,0,0,'Données projet'!$E$11+1,1))-AVERAGE(OFFSET($H$3,0,0,'Données projet'!$E$11+1,1))</f>
        <v>321.82962838167799</v>
      </c>
      <c r="BJ86" s="59">
        <f t="shared" si="92"/>
        <v>243.43396255104295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131.35259113589549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131.35259113589549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187.80389738728508</v>
      </c>
      <c r="CE86" s="59">
        <f t="shared" si="94"/>
        <v>439.28159165815265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43.237066129178487</v>
      </c>
      <c r="CL86" s="21">
        <f>EXP(-LN(2)/25)*CL85+(1-EXP(-LN(2)/25))/(LN(2)/25)*Calculateur!CG86*Calculateur!CI86*VLOOKUP('Données projet'!$B$12,Paramètres!$A$1:$I$89,3,0)*0.475*44/12</f>
        <v>3.3074556853201069</v>
      </c>
      <c r="CM86" s="21">
        <f>EXP(-LN(2)/2)*CM85+(1-EXP(-LN(2)/2))/(LN(2)/2)*CG86*CJ86*VLOOKUP('Données projet'!$B$12,Paramètres!$A$1:$I$89,3,0)*0.475*44/12</f>
        <v>4.737517139338973E-10</v>
      </c>
      <c r="CN86" s="22">
        <f t="shared" si="66"/>
        <v>46.544521814972349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9.1529999999999969</v>
      </c>
      <c r="CT86" s="12">
        <f>IF('Données projet'!$A$140&gt;35,CT85+CS86-DB85,IF(A86&lt;'Données projet'!$A$140,$CQ$205^A86,IF(A86='Données projet'!$A$140,'Données projet'!$B$140,CT85+CS86-DB85)))</f>
        <v>345.93700000000018</v>
      </c>
      <c r="CU86" s="17">
        <f>CT86*VLOOKUP('Données projet'!$B$13,Paramètres!$A$1:$I$89,3,0)*VLOOKUP('Données projet'!$B$13,Paramètres!$A$1:$I$89,5,0)</f>
        <v>393.95305560000025</v>
      </c>
      <c r="CV86" s="13">
        <f t="shared" si="95"/>
        <v>90.549655320601175</v>
      </c>
      <c r="CW86" s="20">
        <f t="shared" si="67"/>
        <v>843.84222152004747</v>
      </c>
      <c r="CX86" s="59">
        <f t="shared" si="68"/>
        <v>1137.1755548533808</v>
      </c>
      <c r="CY86" s="59">
        <f ca="1">AVERAGE(OFFSET($CX$3,0,0,'Données projet'!$E$13+1,1))-AVERAGE(OFFSET($H$3,0,0,'Données projet'!$E$13+1,1))</f>
        <v>770.11410336045037</v>
      </c>
      <c r="CZ86" s="59">
        <f t="shared" si="96"/>
        <v>227.12611049004596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75.993632323209368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75.993632323209368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11.14</v>
      </c>
      <c r="DO86" s="12">
        <f>IF('Données projet'!$A$166&gt;35,DO85+DN86-DW85,IF(A86&lt;'Données projet'!$A$166,$DL$205^A86,IF(A86='Données projet'!$A$166,'Données projet'!$B$166,DO85+DN86-DW85)))</f>
        <v>393.38999999999982</v>
      </c>
      <c r="DP86" s="17">
        <f>DO86*VLOOKUP('Données projet'!$B$14,Paramètres!$A$1:$I$89,3,0)*VLOOKUP('Données projet'!$B$14,Paramètres!$A$1:$I$89,5,0)</f>
        <v>398.8974599999998</v>
      </c>
      <c r="DQ86" s="13">
        <f t="shared" si="97"/>
        <v>91.553106262096875</v>
      </c>
      <c r="DR86" s="20">
        <f t="shared" si="70"/>
        <v>854.20140290648499</v>
      </c>
      <c r="DS86" s="59">
        <f t="shared" si="71"/>
        <v>1147.5347362398184</v>
      </c>
      <c r="DT86" s="59">
        <f ca="1">AVERAGE(OFFSET($DS$3,0,0,'Données projet'!$E$14+1,1))-AVERAGE(OFFSET($H$3,0,0,'Données projet'!$E$14+1,1))</f>
        <v>778.88878505968955</v>
      </c>
      <c r="DU86" s="59">
        <f t="shared" si="98"/>
        <v>279.20782832611059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131.65266657725928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131.65266657725928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369.00000000000011</v>
      </c>
      <c r="O87" s="13">
        <f>N87*VLOOKUP('Données projet'!$B$9,Paramètres!$A$1:$I$89,3,0)*VLOOKUP('Données projet'!$B$9,Paramètres!$A$1:$I$89,5,0)</f>
        <v>333.87120000000004</v>
      </c>
      <c r="P87" s="13">
        <f t="shared" si="87"/>
        <v>78.232360111376309</v>
      </c>
      <c r="Q87" s="20">
        <f t="shared" si="54"/>
        <v>717.74703386064709</v>
      </c>
      <c r="R87" s="59">
        <f t="shared" si="55"/>
        <v>1011.0803671939805</v>
      </c>
      <c r="S87" s="59">
        <f ca="1">AVERAGE(OFFSET($R$3,0,0,'Données projet'!$E$9+1,1))-AVERAGE(OFFSET($H$3,0,0,'Données projet'!$E$9+1,1))</f>
        <v>436.4497226650281</v>
      </c>
      <c r="T87" s="59">
        <f t="shared" si="88"/>
        <v>611.43967996341871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3.6280860036864202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3.6280860036864202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630</v>
      </c>
      <c r="AJ87" s="13">
        <f>AI87*VLOOKUP('Données projet'!$B$10,Paramètres!$A$1:$I$89,3,0)*VLOOKUP('Données projet'!$B$10,Paramètres!$A$1:$I$89,5,0)</f>
        <v>550.36800000000005</v>
      </c>
      <c r="AK87" s="13">
        <f t="shared" si="89"/>
        <v>121.67271812244785</v>
      </c>
      <c r="AL87" s="20">
        <f t="shared" si="58"/>
        <v>1170.4709173965966</v>
      </c>
      <c r="AM87" s="59">
        <f t="shared" si="59"/>
        <v>1463.8042507299299</v>
      </c>
      <c r="AN87" s="59">
        <f ca="1">AVERAGE(OFFSET($AM$3,0,0,'Données projet'!$E$10+1,1))-AVERAGE(OFFSET($H$3,0,0,'Données projet'!$E$10+1,1))</f>
        <v>662.13838733542616</v>
      </c>
      <c r="AO87" s="59">
        <f t="shared" si="90"/>
        <v>1194.915361841041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14.266249999999999</v>
      </c>
      <c r="BD87" s="12">
        <f>IF('Données projet'!$A$88&gt;35,BD86+BC87-BL86,IF(A87&lt;'Données projet'!$A$88,$BA$205^A87,IF(A87='Données projet'!$A$88,'Données projet'!$B$88,BD86+BC87-BL86)))</f>
        <v>485.36125000000061</v>
      </c>
      <c r="BE87" s="13">
        <f>BD87*VLOOKUP('Données projet'!$B$11,Paramètres!$A$1:$I$89,3,0)*VLOOKUP('Données projet'!$B$11,Paramètres!$A$1:$I$89,5,0)</f>
        <v>227.14906500000026</v>
      </c>
      <c r="BF87" s="13">
        <f t="shared" si="91"/>
        <v>55.665795958975508</v>
      </c>
      <c r="BG87" s="20">
        <f t="shared" si="61"/>
        <v>492.56921617021618</v>
      </c>
      <c r="BH87" s="59">
        <f t="shared" si="62"/>
        <v>785.90254950354949</v>
      </c>
      <c r="BI87" s="59">
        <f ca="1">AVERAGE(OFFSET($BH$3,0,0,'Données projet'!$E$11+1,1))-AVERAGE(OFFSET($H$3,0,0,'Données projet'!$E$11+1,1))</f>
        <v>321.82962838167799</v>
      </c>
      <c r="BJ87" s="59">
        <f t="shared" si="92"/>
        <v>243.43396255104295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128.77684694089027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128.77684694089027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187.80389738728508</v>
      </c>
      <c r="CE87" s="59">
        <f t="shared" si="94"/>
        <v>439.28159165815265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42.389213634391616</v>
      </c>
      <c r="CL87" s="21">
        <f>EXP(-LN(2)/25)*CL86+(1-EXP(-LN(2)/25))/(LN(2)/25)*Calculateur!CG87*Calculateur!CI87*VLOOKUP('Données projet'!$B$12,Paramètres!$A$1:$I$89,3,0)*0.475*44/12</f>
        <v>3.2170131356734935</v>
      </c>
      <c r="CM87" s="21">
        <f>EXP(-LN(2)/2)*CM86+(1-EXP(-LN(2)/2))/(LN(2)/2)*CG87*CJ87*VLOOKUP('Données projet'!$B$12,Paramètres!$A$1:$I$89,3,0)*0.475*44/12</f>
        <v>3.3499304952140817E-10</v>
      </c>
      <c r="CN87" s="22">
        <f t="shared" si="66"/>
        <v>45.606226770400099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9.1529999999999969</v>
      </c>
      <c r="CS87" s="12">
        <f t="array" ref="CS87">INDEX(CR:CR,MIN(IF(ISNUMBER(CR87:CR283),ROW(CR87:CR283),"")))</f>
        <v>9.1529999999999969</v>
      </c>
      <c r="CT87" s="12">
        <f>IF('Données projet'!$A$140&gt;35,CT86+CS87-DB86,IF(A87&lt;'Données projet'!$A$140,$CQ$205^A87,IF(A87='Données projet'!$A$140,'Données projet'!$B$140,CT86+CS87-DB86)))</f>
        <v>355.0900000000002</v>
      </c>
      <c r="CU87" s="17">
        <f>CT87*VLOOKUP('Données projet'!$B$13,Paramètres!$A$1:$I$89,3,0)*VLOOKUP('Données projet'!$B$13,Paramètres!$A$1:$I$89,5,0)</f>
        <v>404.37649200000021</v>
      </c>
      <c r="CV87" s="13">
        <f t="shared" si="95"/>
        <v>92.663369104242364</v>
      </c>
      <c r="CW87" s="20">
        <f t="shared" si="67"/>
        <v>865.67775808988915</v>
      </c>
      <c r="CX87" s="59">
        <f t="shared" si="68"/>
        <v>1159.0110914232225</v>
      </c>
      <c r="CY87" s="59">
        <f ca="1">AVERAGE(OFFSET($CX$3,0,0,'Données projet'!$E$13+1,1))-AVERAGE(OFFSET($H$3,0,0,'Données projet'!$E$13+1,1))</f>
        <v>770.11410336045037</v>
      </c>
      <c r="CZ87" s="59">
        <f t="shared" si="96"/>
        <v>227.12611049004596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0.43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107.77906978603978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107.77906978603978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11.14</v>
      </c>
      <c r="DO87" s="12">
        <f>IF('Données projet'!$A$166&gt;35,DO86+DN87-DW86,IF(A87&lt;'Données projet'!$A$166,$DL$205^A87,IF(A87='Données projet'!$A$166,'Données projet'!$B$166,DO86+DN87-DW86)))</f>
        <v>404.5299999999998</v>
      </c>
      <c r="DP87" s="17">
        <f>DO87*VLOOKUP('Données projet'!$B$14,Paramètres!$A$1:$I$89,3,0)*VLOOKUP('Données projet'!$B$14,Paramètres!$A$1:$I$89,5,0)</f>
        <v>410.19341999999983</v>
      </c>
      <c r="DQ87" s="13">
        <f t="shared" si="97"/>
        <v>93.840188370728214</v>
      </c>
      <c r="DR87" s="20">
        <f t="shared" si="70"/>
        <v>877.85853457901806</v>
      </c>
      <c r="DS87" s="59">
        <f t="shared" si="71"/>
        <v>1171.1918679123514</v>
      </c>
      <c r="DT87" s="59">
        <f ca="1">AVERAGE(OFFSET($DS$3,0,0,'Données projet'!$E$14+1,1))-AVERAGE(OFFSET($H$3,0,0,'Données projet'!$E$14+1,1))</f>
        <v>778.88878505968955</v>
      </c>
      <c r="DU87" s="59">
        <f t="shared" si="98"/>
        <v>279.20782832611059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129.07103808587686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129.07103808587686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369.00000000000011</v>
      </c>
      <c r="O88" s="13">
        <f>N88*VLOOKUP('Données projet'!$B$9,Paramètres!$A$1:$I$89,3,0)*VLOOKUP('Données projet'!$B$9,Paramètres!$A$1:$I$89,5,0)</f>
        <v>333.87120000000004</v>
      </c>
      <c r="P88" s="13">
        <f t="shared" si="87"/>
        <v>78.232360111376309</v>
      </c>
      <c r="Q88" s="20">
        <f t="shared" si="54"/>
        <v>717.74703386064709</v>
      </c>
      <c r="R88" s="59">
        <f t="shared" si="55"/>
        <v>1011.0803671939805</v>
      </c>
      <c r="S88" s="59">
        <f ca="1">AVERAGE(OFFSET($R$3,0,0,'Données projet'!$E$9+1,1))-AVERAGE(OFFSET($H$3,0,0,'Données projet'!$E$9+1,1))</f>
        <v>436.4497226650281</v>
      </c>
      <c r="T88" s="59">
        <f t="shared" si="88"/>
        <v>611.43967996341871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3.5569414500680847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3.5569414500680847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630</v>
      </c>
      <c r="AJ88" s="13">
        <f>AI88*VLOOKUP('Données projet'!$B$10,Paramètres!$A$1:$I$89,3,0)*VLOOKUP('Données projet'!$B$10,Paramètres!$A$1:$I$89,5,0)</f>
        <v>550.36800000000005</v>
      </c>
      <c r="AK88" s="13">
        <f t="shared" si="89"/>
        <v>121.67271812244785</v>
      </c>
      <c r="AL88" s="20">
        <f t="shared" si="58"/>
        <v>1170.4709173965966</v>
      </c>
      <c r="AM88" s="59">
        <f t="shared" si="59"/>
        <v>1463.8042507299299</v>
      </c>
      <c r="AN88" s="59">
        <f ca="1">AVERAGE(OFFSET($AM$3,0,0,'Données projet'!$E$10+1,1))-AVERAGE(OFFSET($H$3,0,0,'Données projet'!$E$10+1,1))</f>
        <v>662.13838733542616</v>
      </c>
      <c r="AO88" s="59">
        <f t="shared" si="90"/>
        <v>1194.915361841041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14.266249999999999</v>
      </c>
      <c r="BD88" s="12">
        <f>IF('Données projet'!$A$88&gt;35,BD87+BC88-BL87,IF(A88&lt;'Données projet'!$A$88,$BA$205^A88,IF(A88='Données projet'!$A$88,'Données projet'!$B$88,BD87+BC88-BL87)))</f>
        <v>499.62750000000062</v>
      </c>
      <c r="BE88" s="13">
        <f>BD88*VLOOKUP('Données projet'!$B$11,Paramètres!$A$1:$I$89,3,0)*VLOOKUP('Données projet'!$B$11,Paramètres!$A$1:$I$89,5,0)</f>
        <v>233.82567000000029</v>
      </c>
      <c r="BF88" s="13">
        <f t="shared" si="91"/>
        <v>57.109084963577409</v>
      </c>
      <c r="BG88" s="20">
        <f t="shared" si="61"/>
        <v>506.71136489489783</v>
      </c>
      <c r="BH88" s="59">
        <f t="shared" si="62"/>
        <v>800.04469822823114</v>
      </c>
      <c r="BI88" s="59">
        <f ca="1">AVERAGE(OFFSET($BH$3,0,0,'Données projet'!$E$11+1,1))-AVERAGE(OFFSET($H$3,0,0,'Données projet'!$E$11+1,1))</f>
        <v>321.82962838167799</v>
      </c>
      <c r="BJ88" s="59">
        <f t="shared" si="92"/>
        <v>243.43396255104295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126.25161151850025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126.25161151850025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187.80389738728508</v>
      </c>
      <c r="CE88" s="59">
        <f t="shared" si="94"/>
        <v>439.28159165815265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41.557987009888556</v>
      </c>
      <c r="CL88" s="21">
        <f>EXP(-LN(2)/25)*CL87+(1-EXP(-LN(2)/25))/(LN(2)/25)*Calculateur!CG88*Calculateur!CI88*VLOOKUP('Données projet'!$B$12,Paramètres!$A$1:$I$89,3,0)*0.475*44/12</f>
        <v>3.1290437423031334</v>
      </c>
      <c r="CM88" s="21">
        <f>EXP(-LN(2)/2)*CM87+(1-EXP(-LN(2)/2))/(LN(2)/2)*CG88*CJ88*VLOOKUP('Données projet'!$B$12,Paramètres!$A$1:$I$89,3,0)*0.475*44/12</f>
        <v>2.3687585696694865E-10</v>
      </c>
      <c r="CN88" s="22">
        <f t="shared" si="66"/>
        <v>44.687030752428562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8.6509999999999998</v>
      </c>
      <c r="CT88" s="12">
        <f>IF('Données projet'!$A$140&gt;35,CT87+CS88-DB87,IF(A88&lt;'Données projet'!$A$140,$CQ$205^A88,IF(A88='Données projet'!$A$140,'Données projet'!$B$140,CT87+CS88-DB87)))</f>
        <v>302.27100000000019</v>
      </c>
      <c r="CU88" s="17">
        <f>CT88*VLOOKUP('Données projet'!$B$13,Paramètres!$A$1:$I$89,3,0)*VLOOKUP('Données projet'!$B$13,Paramètres!$A$1:$I$89,5,0)</f>
        <v>344.22621480000021</v>
      </c>
      <c r="CV88" s="13">
        <f t="shared" si="95"/>
        <v>80.372480389083805</v>
      </c>
      <c r="CW88" s="20">
        <f t="shared" si="67"/>
        <v>739.50939412098796</v>
      </c>
      <c r="CX88" s="59">
        <f t="shared" si="68"/>
        <v>1032.8427274543212</v>
      </c>
      <c r="CY88" s="59">
        <f ca="1">AVERAGE(OFFSET($CX$3,0,0,'Données projet'!$E$13+1,1))-AVERAGE(OFFSET($H$3,0,0,'Données projet'!$E$13+1,1))</f>
        <v>770.11410336045037</v>
      </c>
      <c r="CZ88" s="59">
        <f t="shared" si="96"/>
        <v>227.12611049004596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105.66558796627695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105.66558796627695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11.14</v>
      </c>
      <c r="DO88" s="12">
        <f>IF('Données projet'!$A$166&gt;35,DO87+DN88-DW87,IF(A88&lt;'Données projet'!$A$166,$DL$205^A88,IF(A88='Données projet'!$A$166,'Données projet'!$B$166,DO87+DN88-DW87)))</f>
        <v>415.66999999999979</v>
      </c>
      <c r="DP88" s="17">
        <f>DO88*VLOOKUP('Données projet'!$B$14,Paramètres!$A$1:$I$89,3,0)*VLOOKUP('Données projet'!$B$14,Paramètres!$A$1:$I$89,5,0)</f>
        <v>421.48937999999981</v>
      </c>
      <c r="DQ88" s="13">
        <f t="shared" si="97"/>
        <v>96.119950137985342</v>
      </c>
      <c r="DR88" s="20">
        <f t="shared" si="70"/>
        <v>901.50291665699069</v>
      </c>
      <c r="DS88" s="59">
        <f t="shared" si="71"/>
        <v>1194.8362499903239</v>
      </c>
      <c r="DT88" s="59">
        <f ca="1">AVERAGE(OFFSET($DS$3,0,0,'Données projet'!$E$14+1,1))-AVERAGE(OFFSET($H$3,0,0,'Données projet'!$E$14+1,1))</f>
        <v>778.88878505968955</v>
      </c>
      <c r="DU88" s="59">
        <f t="shared" si="98"/>
        <v>279.20782832611059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126.54003375457255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126.54003375457255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369.00000000000011</v>
      </c>
      <c r="O89" s="13">
        <f>N89*VLOOKUP('Données projet'!$B$9,Paramètres!$A$1:$I$89,3,0)*VLOOKUP('Données projet'!$B$9,Paramètres!$A$1:$I$89,5,0)</f>
        <v>333.87120000000004</v>
      </c>
      <c r="P89" s="13">
        <f t="shared" si="87"/>
        <v>78.232360111376309</v>
      </c>
      <c r="Q89" s="20">
        <f t="shared" si="54"/>
        <v>717.74703386064709</v>
      </c>
      <c r="R89" s="59">
        <f t="shared" si="55"/>
        <v>1011.0803671939805</v>
      </c>
      <c r="S89" s="59">
        <f ca="1">AVERAGE(OFFSET($R$3,0,0,'Données projet'!$E$9+1,1))-AVERAGE(OFFSET($H$3,0,0,'Données projet'!$E$9+1,1))</f>
        <v>436.4497226650281</v>
      </c>
      <c r="T89" s="59">
        <f t="shared" si="88"/>
        <v>611.43967996341871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3.4871919977523116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3.4871919977523116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630</v>
      </c>
      <c r="AJ89" s="13">
        <f>AI89*VLOOKUP('Données projet'!$B$10,Paramètres!$A$1:$I$89,3,0)*VLOOKUP('Données projet'!$B$10,Paramètres!$A$1:$I$89,5,0)</f>
        <v>550.36800000000005</v>
      </c>
      <c r="AK89" s="13">
        <f t="shared" si="89"/>
        <v>121.67271812244785</v>
      </c>
      <c r="AL89" s="20">
        <f t="shared" si="58"/>
        <v>1170.4709173965966</v>
      </c>
      <c r="AM89" s="59">
        <f t="shared" si="59"/>
        <v>1463.8042507299299</v>
      </c>
      <c r="AN89" s="59">
        <f ca="1">AVERAGE(OFFSET($AM$3,0,0,'Données projet'!$E$10+1,1))-AVERAGE(OFFSET($H$3,0,0,'Données projet'!$E$10+1,1))</f>
        <v>662.13838733542616</v>
      </c>
      <c r="AO89" s="59">
        <f t="shared" si="90"/>
        <v>1194.915361841041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14.266249999999999</v>
      </c>
      <c r="BD89" s="12">
        <f>IF('Données projet'!$A$88&gt;35,BD88+BC89-BL88,IF(A89&lt;'Données projet'!$A$88,$BA$205^A89,IF(A89='Données projet'!$A$88,'Données projet'!$B$88,BD88+BC89-BL88)))</f>
        <v>513.89375000000064</v>
      </c>
      <c r="BE89" s="13">
        <f>BD89*VLOOKUP('Données projet'!$B$11,Paramètres!$A$1:$I$89,3,0)*VLOOKUP('Données projet'!$B$11,Paramètres!$A$1:$I$89,5,0)</f>
        <v>240.50227500000028</v>
      </c>
      <c r="BF89" s="13">
        <f t="shared" si="91"/>
        <v>58.547584242750503</v>
      </c>
      <c r="BG89" s="20">
        <f t="shared" si="61"/>
        <v>520.84517151445755</v>
      </c>
      <c r="BH89" s="59">
        <f t="shared" si="62"/>
        <v>814.17850484779092</v>
      </c>
      <c r="BI89" s="59">
        <f ca="1">AVERAGE(OFFSET($BH$3,0,0,'Données projet'!$E$11+1,1))-AVERAGE(OFFSET($H$3,0,0,'Données projet'!$E$11+1,1))</f>
        <v>321.82962838167799</v>
      </c>
      <c r="BJ89" s="59">
        <f t="shared" si="92"/>
        <v>243.43396255104295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123.77589442250179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123.77589442250179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187.80389738728508</v>
      </c>
      <c r="CE89" s="59">
        <f t="shared" si="94"/>
        <v>439.28159165815265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40.743060232493825</v>
      </c>
      <c r="CL89" s="21">
        <f>EXP(-LN(2)/25)*CL88+(1-EXP(-LN(2)/25))/(LN(2)/25)*Calculateur!CG89*Calculateur!CI89*VLOOKUP('Données projet'!$B$12,Paramètres!$A$1:$I$89,3,0)*0.475*44/12</f>
        <v>3.0434798766205953</v>
      </c>
      <c r="CM89" s="21">
        <f>EXP(-LN(2)/2)*CM88+(1-EXP(-LN(2)/2))/(LN(2)/2)*CG89*CJ89*VLOOKUP('Données projet'!$B$12,Paramètres!$A$1:$I$89,3,0)*0.475*44/12</f>
        <v>1.6749652476070409E-10</v>
      </c>
      <c r="CN89" s="22">
        <f t="shared" si="66"/>
        <v>43.786540109281916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8.6509999999999998</v>
      </c>
      <c r="CT89" s="12">
        <f>IF('Données projet'!$A$140&gt;35,CT88+CS89-DB88,IF(A89&lt;'Données projet'!$A$140,$CQ$205^A89,IF(A89='Données projet'!$A$140,'Données projet'!$B$140,CT88+CS89-DB88)))</f>
        <v>310.9220000000002</v>
      </c>
      <c r="CU89" s="17">
        <f>CT89*VLOOKUP('Données projet'!$B$13,Paramètres!$A$1:$I$89,3,0)*VLOOKUP('Données projet'!$B$13,Paramètres!$A$1:$I$89,5,0)</f>
        <v>354.07797360000023</v>
      </c>
      <c r="CV89" s="13">
        <f t="shared" si="95"/>
        <v>82.401641401935777</v>
      </c>
      <c r="CW89" s="20">
        <f t="shared" si="67"/>
        <v>760.20199612837177</v>
      </c>
      <c r="CX89" s="59">
        <f t="shared" si="68"/>
        <v>1053.535329461705</v>
      </c>
      <c r="CY89" s="59">
        <f ca="1">AVERAGE(OFFSET($CX$3,0,0,'Données projet'!$E$13+1,1))-AVERAGE(OFFSET($H$3,0,0,'Données projet'!$E$13+1,1))</f>
        <v>770.11410336045037</v>
      </c>
      <c r="CZ89" s="59">
        <f t="shared" si="96"/>
        <v>227.12611049004596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103.59355023590304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103.59355023590304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11.14</v>
      </c>
      <c r="DO89" s="12">
        <f>IF('Données projet'!$A$166&gt;35,DO88+DN89-DW88,IF(A89&lt;'Données projet'!$A$166,$DL$205^A89,IF(A89='Données projet'!$A$166,'Données projet'!$B$166,DO88+DN89-DW88)))</f>
        <v>426.80999999999977</v>
      </c>
      <c r="DP89" s="17">
        <f>DO89*VLOOKUP('Données projet'!$B$14,Paramètres!$A$1:$I$89,3,0)*VLOOKUP('Données projet'!$B$14,Paramètres!$A$1:$I$89,5,0)</f>
        <v>432.78533999999979</v>
      </c>
      <c r="DQ89" s="13">
        <f t="shared" si="97"/>
        <v>98.392610297581854</v>
      </c>
      <c r="DR89" s="20">
        <f t="shared" si="70"/>
        <v>925.13493010162131</v>
      </c>
      <c r="DS89" s="59">
        <f t="shared" si="71"/>
        <v>1218.4682634349547</v>
      </c>
      <c r="DT89" s="59">
        <f ca="1">AVERAGE(OFFSET($DS$3,0,0,'Données projet'!$E$14+1,1))-AVERAGE(OFFSET($H$3,0,0,'Données projet'!$E$14+1,1))</f>
        <v>778.88878505968955</v>
      </c>
      <c r="DU89" s="59">
        <f t="shared" si="98"/>
        <v>279.20782832611059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124.0586608744449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124.0586608744449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369.00000000000011</v>
      </c>
      <c r="O90" s="13">
        <f>N90*VLOOKUP('Données projet'!$B$9,Paramètres!$A$1:$I$89,3,0)*VLOOKUP('Données projet'!$B$9,Paramètres!$A$1:$I$89,5,0)</f>
        <v>333.87120000000004</v>
      </c>
      <c r="P90" s="13">
        <f t="shared" si="87"/>
        <v>78.232360111376309</v>
      </c>
      <c r="Q90" s="20">
        <f t="shared" si="54"/>
        <v>717.74703386064709</v>
      </c>
      <c r="R90" s="59">
        <f t="shared" si="55"/>
        <v>1011.0803671939805</v>
      </c>
      <c r="S90" s="59">
        <f ca="1">AVERAGE(OFFSET($R$3,0,0,'Données projet'!$E$9+1,1))-AVERAGE(OFFSET($H$3,0,0,'Données projet'!$E$9+1,1))</f>
        <v>436.4497226650281</v>
      </c>
      <c r="T90" s="59">
        <f t="shared" si="88"/>
        <v>611.43967996341871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3.4188102896534858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3.4188102896534858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630</v>
      </c>
      <c r="AJ90" s="13">
        <f>AI90*VLOOKUP('Données projet'!$B$10,Paramètres!$A$1:$I$89,3,0)*VLOOKUP('Données projet'!$B$10,Paramètres!$A$1:$I$89,5,0)</f>
        <v>550.36800000000005</v>
      </c>
      <c r="AK90" s="13">
        <f t="shared" si="89"/>
        <v>121.67271812244785</v>
      </c>
      <c r="AL90" s="20">
        <f t="shared" si="58"/>
        <v>1170.4709173965966</v>
      </c>
      <c r="AM90" s="59">
        <f t="shared" si="59"/>
        <v>1463.8042507299299</v>
      </c>
      <c r="AN90" s="59">
        <f ca="1">AVERAGE(OFFSET($AM$3,0,0,'Données projet'!$E$10+1,1))-AVERAGE(OFFSET($H$3,0,0,'Données projet'!$E$10+1,1))</f>
        <v>662.13838733542616</v>
      </c>
      <c r="AO90" s="59">
        <f t="shared" si="90"/>
        <v>1194.915361841041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>
        <f>VLOOKUP(A90,'Données projet'!$A$87:$I$107,2,0)</f>
        <v>528.16</v>
      </c>
      <c r="BB90" s="12">
        <f>VLOOKUP(A90,'Données projet'!$A$87:$I$107,9,0)</f>
        <v>14.266249999999999</v>
      </c>
      <c r="BC90" s="12">
        <f t="array" ref="BC90">INDEX(BB:BB,MIN(IF(ISNUMBER(BB90:BB286),ROW(BB90:BB286),"")))</f>
        <v>14.266249999999999</v>
      </c>
      <c r="BD90" s="12">
        <f>IF('Données projet'!$A$88&gt;35,BD89+BC90-BL89,IF(A90&lt;'Données projet'!$A$88,$BA$205^A90,IF(A90='Données projet'!$A$88,'Données projet'!$B$88,BD89+BC90-BL89)))</f>
        <v>528.16000000000065</v>
      </c>
      <c r="BE90" s="13">
        <f>BD90*VLOOKUP('Données projet'!$B$11,Paramètres!$A$1:$I$89,3,0)*VLOOKUP('Données projet'!$B$11,Paramètres!$A$1:$I$89,5,0)</f>
        <v>247.17888000000031</v>
      </c>
      <c r="BF90" s="13">
        <f t="shared" si="91"/>
        <v>59.981442040949432</v>
      </c>
      <c r="BG90" s="20">
        <f t="shared" si="61"/>
        <v>534.97089422132069</v>
      </c>
      <c r="BH90" s="59">
        <f t="shared" si="62"/>
        <v>828.30422755465406</v>
      </c>
      <c r="BI90" s="59">
        <f ca="1">AVERAGE(OFFSET($BH$3,0,0,'Données projet'!$E$11+1,1))-AVERAGE(OFFSET($H$3,0,0,'Données projet'!$E$11+1,1))</f>
        <v>321.82962838167799</v>
      </c>
      <c r="BJ90" s="59">
        <f t="shared" si="92"/>
        <v>243.43396255104295</v>
      </c>
      <c r="BK90" s="15">
        <f>IF(ISNA(VLOOKUP(A90,'Données projet'!$A$87:$I$107,3,0)),0,VLOOKUP(A90,'Données projet'!$A$87:$I$107,3,0))</f>
        <v>7</v>
      </c>
      <c r="BL90" s="15">
        <f>IF(ISNA(VLOOKUP(A90,'Données projet'!$A$87:$I$107,4,0)),0,VLOOKUP(A90,'Données projet'!$A$87:$I$107,4,0))</f>
        <v>88.62</v>
      </c>
      <c r="BM90" s="16">
        <f>IF(ISNA(VLOOKUP(A90,'Données projet'!$A$87:$I$107,5,0)),0%,VLOOKUP(A90,'Données projet'!$A$87:$I$107,5,0)*VLOOKUP('Données projet'!$B$11,Paramètres!$A$1:$I$89,7,0))</f>
        <v>0.55000000000000004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151.60870519008432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151.60870519008432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187.80389738728508</v>
      </c>
      <c r="CE90" s="59">
        <f t="shared" si="94"/>
        <v>439.28159165815265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39.944113672147552</v>
      </c>
      <c r="CL90" s="21">
        <f>EXP(-LN(2)/25)*CL89+(1-EXP(-LN(2)/25))/(LN(2)/25)*Calculateur!CG90*Calculateur!CI90*VLOOKUP('Données projet'!$B$12,Paramètres!$A$1:$I$89,3,0)*0.475*44/12</f>
        <v>2.9602557593447543</v>
      </c>
      <c r="CM90" s="21">
        <f>EXP(-LN(2)/2)*CM89+(1-EXP(-LN(2)/2))/(LN(2)/2)*CG90*CJ90*VLOOKUP('Données projet'!$B$12,Paramètres!$A$1:$I$89,3,0)*0.475*44/12</f>
        <v>1.1843792848347432E-10</v>
      </c>
      <c r="CN90" s="22">
        <f t="shared" si="66"/>
        <v>42.904369431610746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8.6509999999999998</v>
      </c>
      <c r="CT90" s="12">
        <f>IF('Données projet'!$A$140&gt;35,CT89+CS90-DB89,IF(A90&lt;'Données projet'!$A$140,$CQ$205^A90,IF(A90='Données projet'!$A$140,'Données projet'!$B$140,CT89+CS90-DB89)))</f>
        <v>319.57300000000021</v>
      </c>
      <c r="CU90" s="17">
        <f>CT90*VLOOKUP('Données projet'!$B$13,Paramètres!$A$1:$I$89,3,0)*VLOOKUP('Données projet'!$B$13,Paramètres!$A$1:$I$89,5,0)</f>
        <v>363.9297324000002</v>
      </c>
      <c r="CV90" s="13">
        <f t="shared" si="95"/>
        <v>84.424240350440783</v>
      </c>
      <c r="CW90" s="20">
        <f t="shared" si="67"/>
        <v>780.88316920701811</v>
      </c>
      <c r="CX90" s="59">
        <f t="shared" si="68"/>
        <v>1074.2165025403515</v>
      </c>
      <c r="CY90" s="59">
        <f ca="1">AVERAGE(OFFSET($CX$3,0,0,'Données projet'!$E$13+1,1))-AVERAGE(OFFSET($H$3,0,0,'Données projet'!$E$13+1,1))</f>
        <v>770.11410336045037</v>
      </c>
      <c r="CZ90" s="59">
        <f t="shared" si="96"/>
        <v>227.12611049004596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101.56214390160355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101.56214390160355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11.14</v>
      </c>
      <c r="DO90" s="12">
        <f>IF('Données projet'!$A$166&gt;35,DO89+DN90-DW89,IF(A90&lt;'Données projet'!$A$166,$DL$205^A90,IF(A90='Données projet'!$A$166,'Données projet'!$B$166,DO89+DN90-DW89)))</f>
        <v>437.94999999999976</v>
      </c>
      <c r="DP90" s="17">
        <f>DO90*VLOOKUP('Données projet'!$B$14,Paramètres!$A$1:$I$89,3,0)*VLOOKUP('Données projet'!$B$14,Paramètres!$A$1:$I$89,5,0)</f>
        <v>444.08129999999977</v>
      </c>
      <c r="DQ90" s="13">
        <f t="shared" si="97"/>
        <v>100.6583755147288</v>
      </c>
      <c r="DR90" s="20">
        <f t="shared" si="70"/>
        <v>948.75493485481877</v>
      </c>
      <c r="DS90" s="59">
        <f t="shared" si="71"/>
        <v>1242.0882681881521</v>
      </c>
      <c r="DT90" s="59">
        <f ca="1">AVERAGE(OFFSET($DS$3,0,0,'Données projet'!$E$14+1,1))-AVERAGE(OFFSET($H$3,0,0,'Données projet'!$E$14+1,1))</f>
        <v>778.88878505968955</v>
      </c>
      <c r="DU90" s="59">
        <f t="shared" si="98"/>
        <v>279.20782832611059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121.62594620300854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121.62594620300854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369.00000000000011</v>
      </c>
      <c r="O91" s="13">
        <f>N91*VLOOKUP('Données projet'!$B$9,Paramètres!$A$1:$I$89,3,0)*VLOOKUP('Données projet'!$B$9,Paramètres!$A$1:$I$89,5,0)</f>
        <v>333.87120000000004</v>
      </c>
      <c r="P91" s="13">
        <f t="shared" si="87"/>
        <v>78.232360111376309</v>
      </c>
      <c r="Q91" s="20">
        <f t="shared" si="54"/>
        <v>717.74703386064709</v>
      </c>
      <c r="R91" s="59">
        <f t="shared" si="55"/>
        <v>1011.0803671939805</v>
      </c>
      <c r="S91" s="59">
        <f ca="1">AVERAGE(OFFSET($R$3,0,0,'Données projet'!$E$9+1,1))-AVERAGE(OFFSET($H$3,0,0,'Données projet'!$E$9+1,1))</f>
        <v>436.4497226650281</v>
      </c>
      <c r="T91" s="59">
        <f t="shared" si="88"/>
        <v>611.43967996341871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3.3517695051417546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3.3517695051417546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630</v>
      </c>
      <c r="AJ91" s="13">
        <f>AI91*VLOOKUP('Données projet'!$B$10,Paramètres!$A$1:$I$89,3,0)*VLOOKUP('Données projet'!$B$10,Paramètres!$A$1:$I$89,5,0)</f>
        <v>550.36800000000005</v>
      </c>
      <c r="AK91" s="13">
        <f t="shared" si="89"/>
        <v>121.67271812244785</v>
      </c>
      <c r="AL91" s="20">
        <f t="shared" si="58"/>
        <v>1170.4709173965966</v>
      </c>
      <c r="AM91" s="59">
        <f t="shared" si="59"/>
        <v>1463.8042507299299</v>
      </c>
      <c r="AN91" s="59">
        <f ca="1">AVERAGE(OFFSET($AM$3,0,0,'Données projet'!$E$10+1,1))-AVERAGE(OFFSET($H$3,0,0,'Données projet'!$E$10+1,1))</f>
        <v>662.13838733542616</v>
      </c>
      <c r="AO91" s="59">
        <f t="shared" si="90"/>
        <v>1194.915361841041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13.211250000000007</v>
      </c>
      <c r="BD91" s="12">
        <f>IF('Données projet'!$A$88&gt;35,BD90+BC91-BL90,IF(A91&lt;'Données projet'!$A$88,$BA$205^A91,IF(A91='Données projet'!$A$88,'Données projet'!$B$88,BD90+BC91-BL90)))</f>
        <v>452.7512500000006</v>
      </c>
      <c r="BE91" s="13">
        <f>BD91*VLOOKUP('Données projet'!$B$11,Paramètres!$A$1:$I$89,3,0)*VLOOKUP('Données projet'!$B$11,Paramètres!$A$1:$I$89,5,0)</f>
        <v>211.88758500000029</v>
      </c>
      <c r="BF91" s="13">
        <f t="shared" si="91"/>
        <v>52.347855446643472</v>
      </c>
      <c r="BG91" s="20">
        <f t="shared" si="61"/>
        <v>460.21005877790441</v>
      </c>
      <c r="BH91" s="59">
        <f t="shared" si="62"/>
        <v>753.54339211123772</v>
      </c>
      <c r="BI91" s="59">
        <f ca="1">AVERAGE(OFFSET($BH$3,0,0,'Données projet'!$E$11+1,1))-AVERAGE(OFFSET($H$3,0,0,'Données projet'!$E$11+1,1))</f>
        <v>321.82962838167799</v>
      </c>
      <c r="BJ91" s="59">
        <f t="shared" si="92"/>
        <v>243.43396255104295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148.63575095348605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148.63575095348605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187.80389738728508</v>
      </c>
      <c r="CE91" s="59">
        <f t="shared" si="94"/>
        <v>439.28159165815265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39.16083396654038</v>
      </c>
      <c r="CL91" s="21">
        <f>EXP(-LN(2)/25)*CL90+(1-EXP(-LN(2)/25))/(LN(2)/25)*Calculateur!CG91*Calculateur!CI91*VLOOKUP('Données projet'!$B$12,Paramètres!$A$1:$I$89,3,0)*0.475*44/12</f>
        <v>2.8793074099323874</v>
      </c>
      <c r="CM91" s="21">
        <f>EXP(-LN(2)/2)*CM90+(1-EXP(-LN(2)/2))/(LN(2)/2)*CG91*CJ91*VLOOKUP('Données projet'!$B$12,Paramètres!$A$1:$I$89,3,0)*0.475*44/12</f>
        <v>8.3748262380352044E-11</v>
      </c>
      <c r="CN91" s="22">
        <f t="shared" si="66"/>
        <v>42.04014137655652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8.6509999999999998</v>
      </c>
      <c r="CT91" s="12">
        <f>IF('Données projet'!$A$140&gt;35,CT90+CS91-DB90,IF(A91&lt;'Données projet'!$A$140,$CQ$205^A91,IF(A91='Données projet'!$A$140,'Données projet'!$B$140,CT90+CS91-DB90)))</f>
        <v>328.22400000000022</v>
      </c>
      <c r="CU91" s="17">
        <f>CT91*VLOOKUP('Données projet'!$B$13,Paramètres!$A$1:$I$89,3,0)*VLOOKUP('Données projet'!$B$13,Paramètres!$A$1:$I$89,5,0)</f>
        <v>373.78149120000023</v>
      </c>
      <c r="CV91" s="13">
        <f t="shared" si="95"/>
        <v>86.440475286911507</v>
      </c>
      <c r="CW91" s="20">
        <f t="shared" si="67"/>
        <v>801.55325829803803</v>
      </c>
      <c r="CX91" s="59">
        <f t="shared" si="68"/>
        <v>1094.8865916313714</v>
      </c>
      <c r="CY91" s="59">
        <f ca="1">AVERAGE(OFFSET($CX$3,0,0,'Données projet'!$E$13+1,1))-AVERAGE(OFFSET($H$3,0,0,'Données projet'!$E$13+1,1))</f>
        <v>770.11410336045037</v>
      </c>
      <c r="CZ91" s="59">
        <f t="shared" si="96"/>
        <v>227.12611049004596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99.570572206484144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99.570572206484144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11.14</v>
      </c>
      <c r="DO91" s="12">
        <f>IF('Données projet'!$A$166&gt;35,DO90+DN91-DW90,IF(A91&lt;'Données projet'!$A$166,$DL$205^A91,IF(A91='Données projet'!$A$166,'Données projet'!$B$166,DO90+DN91-DW90)))</f>
        <v>449.08999999999975</v>
      </c>
      <c r="DP91" s="17">
        <f>DO91*VLOOKUP('Données projet'!$B$14,Paramètres!$A$1:$I$89,3,0)*VLOOKUP('Données projet'!$B$14,Paramètres!$A$1:$I$89,5,0)</f>
        <v>455.37725999999975</v>
      </c>
      <c r="DQ91" s="13">
        <f t="shared" si="97"/>
        <v>102.91744134181728</v>
      </c>
      <c r="DR91" s="20">
        <f t="shared" si="70"/>
        <v>972.36327150366458</v>
      </c>
      <c r="DS91" s="59">
        <f t="shared" si="71"/>
        <v>1265.6966048369979</v>
      </c>
      <c r="DT91" s="59">
        <f ca="1">AVERAGE(OFFSET($DS$3,0,0,'Données projet'!$E$14+1,1))-AVERAGE(OFFSET($H$3,0,0,'Données projet'!$E$14+1,1))</f>
        <v>778.88878505968955</v>
      </c>
      <c r="DU91" s="59">
        <f t="shared" si="98"/>
        <v>279.20782832611059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119.24093558246962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119.24093558246962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369.00000000000011</v>
      </c>
      <c r="O92" s="13">
        <f>N92*VLOOKUP('Données projet'!$B$9,Paramètres!$A$1:$I$89,3,0)*VLOOKUP('Données projet'!$B$9,Paramètres!$A$1:$I$89,5,0)</f>
        <v>333.87120000000004</v>
      </c>
      <c r="P92" s="13">
        <f t="shared" si="87"/>
        <v>78.232360111376309</v>
      </c>
      <c r="Q92" s="20">
        <f t="shared" si="54"/>
        <v>717.74703386064709</v>
      </c>
      <c r="R92" s="59">
        <f t="shared" si="55"/>
        <v>1011.0803671939805</v>
      </c>
      <c r="S92" s="59">
        <f ca="1">AVERAGE(OFFSET($R$3,0,0,'Données projet'!$E$9+1,1))-AVERAGE(OFFSET($H$3,0,0,'Données projet'!$E$9+1,1))</f>
        <v>436.4497226650281</v>
      </c>
      <c r="T92" s="59">
        <f t="shared" si="88"/>
        <v>611.43967996341871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3.2860433495234576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3.2860433495234576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630</v>
      </c>
      <c r="AJ92" s="13">
        <f>AI92*VLOOKUP('Données projet'!$B$10,Paramètres!$A$1:$I$89,3,0)*VLOOKUP('Données projet'!$B$10,Paramètres!$A$1:$I$89,5,0)</f>
        <v>550.36800000000005</v>
      </c>
      <c r="AK92" s="13">
        <f t="shared" si="89"/>
        <v>121.67271812244785</v>
      </c>
      <c r="AL92" s="20">
        <f t="shared" si="58"/>
        <v>1170.4709173965966</v>
      </c>
      <c r="AM92" s="59">
        <f t="shared" si="59"/>
        <v>1463.8042507299299</v>
      </c>
      <c r="AN92" s="59">
        <f ca="1">AVERAGE(OFFSET($AM$3,0,0,'Données projet'!$E$10+1,1))-AVERAGE(OFFSET($H$3,0,0,'Données projet'!$E$10+1,1))</f>
        <v>662.13838733542616</v>
      </c>
      <c r="AO92" s="59">
        <f t="shared" si="90"/>
        <v>1194.915361841041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13.211250000000007</v>
      </c>
      <c r="BD92" s="12">
        <f>IF('Données projet'!$A$88&gt;35,BD91+BC92-BL91,IF(A92&lt;'Données projet'!$A$88,$BA$205^A92,IF(A92='Données projet'!$A$88,'Données projet'!$B$88,BD91+BC92-BL91)))</f>
        <v>465.9625000000006</v>
      </c>
      <c r="BE92" s="13">
        <f>BD92*VLOOKUP('Données projet'!$B$11,Paramètres!$A$1:$I$89,3,0)*VLOOKUP('Données projet'!$B$11,Paramètres!$A$1:$I$89,5,0)</f>
        <v>218.07045000000031</v>
      </c>
      <c r="BF92" s="13">
        <f t="shared" si="91"/>
        <v>53.695292786537038</v>
      </c>
      <c r="BG92" s="20">
        <f t="shared" si="61"/>
        <v>473.32533535321909</v>
      </c>
      <c r="BH92" s="59">
        <f t="shared" si="62"/>
        <v>766.65866868655235</v>
      </c>
      <c r="BI92" s="59">
        <f ca="1">AVERAGE(OFFSET($BH$3,0,0,'Données projet'!$E$11+1,1))-AVERAGE(OFFSET($H$3,0,0,'Données projet'!$E$11+1,1))</f>
        <v>321.82962838167799</v>
      </c>
      <c r="BJ92" s="59">
        <f t="shared" si="92"/>
        <v>243.43396255104295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145.72109453614445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145.72109453614445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187.80389738728508</v>
      </c>
      <c r="CE92" s="59">
        <f t="shared" si="94"/>
        <v>439.28159165815265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38.392913898206722</v>
      </c>
      <c r="CL92" s="21">
        <f>EXP(-LN(2)/25)*CL91+(1-EXP(-LN(2)/25))/(LN(2)/25)*Calculateur!CG92*Calculateur!CI92*VLOOKUP('Données projet'!$B$12,Paramètres!$A$1:$I$89,3,0)*0.475*44/12</f>
        <v>2.8005725973915903</v>
      </c>
      <c r="CM92" s="21">
        <f>EXP(-LN(2)/2)*CM91+(1-EXP(-LN(2)/2))/(LN(2)/2)*CG92*CJ92*VLOOKUP('Données projet'!$B$12,Paramètres!$A$1:$I$89,3,0)*0.475*44/12</f>
        <v>5.9218964241737162E-11</v>
      </c>
      <c r="CN92" s="22">
        <f t="shared" si="66"/>
        <v>41.193486495657531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8.6509999999999998</v>
      </c>
      <c r="CT92" s="12">
        <f>IF('Données projet'!$A$140&gt;35,CT91+CS92-DB91,IF(A92&lt;'Données projet'!$A$140,$CQ$205^A92,IF(A92='Données projet'!$A$140,'Données projet'!$B$140,CT91+CS92-DB91)))</f>
        <v>336.87500000000023</v>
      </c>
      <c r="CU92" s="17">
        <f>CT92*VLOOKUP('Données projet'!$B$13,Paramètres!$A$1:$I$89,3,0)*VLOOKUP('Données projet'!$B$13,Paramètres!$A$1:$I$89,5,0)</f>
        <v>383.63325000000026</v>
      </c>
      <c r="CV92" s="13">
        <f t="shared" si="95"/>
        <v>88.450533228988164</v>
      </c>
      <c r="CW92" s="20">
        <f t="shared" si="67"/>
        <v>822.21258912382143</v>
      </c>
      <c r="CX92" s="59">
        <f t="shared" si="68"/>
        <v>1115.5459224571548</v>
      </c>
      <c r="CY92" s="59">
        <f ca="1">AVERAGE(OFFSET($CX$3,0,0,'Données projet'!$E$13+1,1))-AVERAGE(OFFSET($H$3,0,0,'Données projet'!$E$13+1,1))</f>
        <v>770.11410336045037</v>
      </c>
      <c r="CZ92" s="59">
        <f t="shared" si="96"/>
        <v>227.12611049004596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97.618054017567246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97.618054017567246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11.14</v>
      </c>
      <c r="DO92" s="12">
        <f>IF('Données projet'!$A$166&gt;35,DO91+DN92-DW91,IF(A92&lt;'Données projet'!$A$166,$DL$205^A92,IF(A92='Données projet'!$A$166,'Données projet'!$B$166,DO91+DN92-DW91)))</f>
        <v>460.22999999999973</v>
      </c>
      <c r="DP92" s="17">
        <f>DO92*VLOOKUP('Données projet'!$B$14,Paramètres!$A$1:$I$89,3,0)*VLOOKUP('Données projet'!$B$14,Paramètres!$A$1:$I$89,5,0)</f>
        <v>466.67321999999973</v>
      </c>
      <c r="DQ92" s="13">
        <f t="shared" si="97"/>
        <v>105.16999307660545</v>
      </c>
      <c r="DR92" s="20">
        <f t="shared" si="70"/>
        <v>995.96026277508724</v>
      </c>
      <c r="DS92" s="59">
        <f t="shared" si="71"/>
        <v>1289.2935961084206</v>
      </c>
      <c r="DT92" s="59">
        <f ca="1">AVERAGE(OFFSET($DS$3,0,0,'Données projet'!$E$14+1,1))-AVERAGE(OFFSET($H$3,0,0,'Données projet'!$E$14+1,1))</f>
        <v>778.88878505968955</v>
      </c>
      <c r="DU92" s="59">
        <f t="shared" si="98"/>
        <v>279.20782832611059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116.90269356548663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116.90269356548663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369.00000000000011</v>
      </c>
      <c r="O93" s="13">
        <f>N93*VLOOKUP('Données projet'!$B$9,Paramètres!$A$1:$I$89,3,0)*VLOOKUP('Données projet'!$B$9,Paramètres!$A$1:$I$89,5,0)</f>
        <v>333.87120000000004</v>
      </c>
      <c r="P93" s="13">
        <f t="shared" si="87"/>
        <v>78.232360111376309</v>
      </c>
      <c r="Q93" s="20">
        <f t="shared" si="54"/>
        <v>717.74703386064709</v>
      </c>
      <c r="R93" s="59">
        <f t="shared" si="55"/>
        <v>1011.0803671939805</v>
      </c>
      <c r="S93" s="59">
        <f ca="1">AVERAGE(OFFSET($R$3,0,0,'Données projet'!$E$9+1,1))-AVERAGE(OFFSET($H$3,0,0,'Données projet'!$E$9+1,1))</f>
        <v>436.4497226650281</v>
      </c>
      <c r="T93" s="59">
        <f t="shared" si="88"/>
        <v>611.43967996341871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3.2216060437278387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3.2216060437278387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630</v>
      </c>
      <c r="AJ93" s="13">
        <f>AI93*VLOOKUP('Données projet'!$B$10,Paramètres!$A$1:$I$89,3,0)*VLOOKUP('Données projet'!$B$10,Paramètres!$A$1:$I$89,5,0)</f>
        <v>550.36800000000005</v>
      </c>
      <c r="AK93" s="13">
        <f t="shared" si="89"/>
        <v>121.67271812244785</v>
      </c>
      <c r="AL93" s="20">
        <f t="shared" si="58"/>
        <v>1170.4709173965966</v>
      </c>
      <c r="AM93" s="59">
        <f t="shared" si="59"/>
        <v>1463.8042507299299</v>
      </c>
      <c r="AN93" s="59">
        <f ca="1">AVERAGE(OFFSET($AM$3,0,0,'Données projet'!$E$10+1,1))-AVERAGE(OFFSET($H$3,0,0,'Données projet'!$E$10+1,1))</f>
        <v>662.13838733542616</v>
      </c>
      <c r="AO93" s="59">
        <f t="shared" si="90"/>
        <v>1194.915361841041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13.211250000000007</v>
      </c>
      <c r="BD93" s="12">
        <f>IF('Données projet'!$A$88&gt;35,BD92+BC93-BL92,IF(A93&lt;'Données projet'!$A$88,$BA$205^A93,IF(A93='Données projet'!$A$88,'Données projet'!$B$88,BD92+BC93-BL92)))</f>
        <v>479.17375000000061</v>
      </c>
      <c r="BE93" s="13">
        <f>BD93*VLOOKUP('Données projet'!$B$11,Paramètres!$A$1:$I$89,3,0)*VLOOKUP('Données projet'!$B$11,Paramètres!$A$1:$I$89,5,0)</f>
        <v>224.25331500000027</v>
      </c>
      <c r="BF93" s="13">
        <f t="shared" si="91"/>
        <v>55.038289956938769</v>
      </c>
      <c r="BG93" s="20">
        <f t="shared" si="61"/>
        <v>486.43287863333552</v>
      </c>
      <c r="BH93" s="59">
        <f t="shared" si="62"/>
        <v>779.76621196666883</v>
      </c>
      <c r="BI93" s="59">
        <f ca="1">AVERAGE(OFFSET($BH$3,0,0,'Données projet'!$E$11+1,1))-AVERAGE(OFFSET($H$3,0,0,'Données projet'!$E$11+1,1))</f>
        <v>321.82962838167799</v>
      </c>
      <c r="BJ93" s="59">
        <f t="shared" si="92"/>
        <v>243.43396255104295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142.86359275338205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142.86359275338205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187.80389738728508</v>
      </c>
      <c r="CE93" s="59">
        <f t="shared" si="94"/>
        <v>439.28159165815265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37.640052274028093</v>
      </c>
      <c r="CL93" s="21">
        <f>EXP(-LN(2)/25)*CL92+(1-EXP(-LN(2)/25))/(LN(2)/25)*Calculateur!CG93*Calculateur!CI93*VLOOKUP('Données projet'!$B$12,Paramètres!$A$1:$I$89,3,0)*0.475*44/12</f>
        <v>2.7239907924402051</v>
      </c>
      <c r="CM93" s="21">
        <f>EXP(-LN(2)/2)*CM92+(1-EXP(-LN(2)/2))/(LN(2)/2)*CG93*CJ93*VLOOKUP('Données projet'!$B$12,Paramètres!$A$1:$I$89,3,0)*0.475*44/12</f>
        <v>4.1874131190176022E-11</v>
      </c>
      <c r="CN93" s="22">
        <f t="shared" si="66"/>
        <v>40.36404306651017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8.6509999999999998</v>
      </c>
      <c r="CT93" s="12">
        <f>IF('Données projet'!$A$140&gt;35,CT92+CS93-DB92,IF(A93&lt;'Données projet'!$A$140,$CQ$205^A93,IF(A93='Données projet'!$A$140,'Données projet'!$B$140,CT92+CS93-DB92)))</f>
        <v>345.52600000000024</v>
      </c>
      <c r="CU93" s="17">
        <f>CT93*VLOOKUP('Données projet'!$B$13,Paramètres!$A$1:$I$89,3,0)*VLOOKUP('Données projet'!$B$13,Paramètres!$A$1:$I$89,5,0)</f>
        <v>393.48500880000029</v>
      </c>
      <c r="CV93" s="13">
        <f t="shared" si="95"/>
        <v>90.454591041811753</v>
      </c>
      <c r="CW93" s="20">
        <f t="shared" si="67"/>
        <v>842.86146972448921</v>
      </c>
      <c r="CX93" s="59">
        <f t="shared" si="68"/>
        <v>1136.1948030578226</v>
      </c>
      <c r="CY93" s="59">
        <f ca="1">AVERAGE(OFFSET($CX$3,0,0,'Données projet'!$E$13+1,1))-AVERAGE(OFFSET($H$3,0,0,'Données projet'!$E$13+1,1))</f>
        <v>770.11410336045037</v>
      </c>
      <c r="CZ93" s="59">
        <f t="shared" si="96"/>
        <v>227.12611049004596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95.703823519416503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95.703823519416503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471.37</v>
      </c>
      <c r="DM93" s="12">
        <f>VLOOKUP(A93,'Données projet'!$A$165:$I$185,9,0)</f>
        <v>11.14</v>
      </c>
      <c r="DN93" s="12">
        <f t="array" ref="DN93">INDEX(DM:DM,MIN(IF(ISNUMBER(DM93:DM289),ROW(DM93:DM289),"")))</f>
        <v>11.14</v>
      </c>
      <c r="DO93" s="12">
        <f>IF('Données projet'!$A$166&gt;35,DO92+DN93-DW92,IF(A93&lt;'Données projet'!$A$166,$DL$205^A93,IF(A93='Données projet'!$A$166,'Données projet'!$B$166,DO92+DN93-DW92)))</f>
        <v>471.36999999999972</v>
      </c>
      <c r="DP93" s="17">
        <f>DO93*VLOOKUP('Données projet'!$B$14,Paramètres!$A$1:$I$89,3,0)*VLOOKUP('Données projet'!$B$14,Paramètres!$A$1:$I$89,5,0)</f>
        <v>477.96917999999971</v>
      </c>
      <c r="DQ93" s="13">
        <f t="shared" si="97"/>
        <v>107.41620653497517</v>
      </c>
      <c r="DR93" s="20">
        <f t="shared" si="70"/>
        <v>1019.5462148817478</v>
      </c>
      <c r="DS93" s="59">
        <f t="shared" si="71"/>
        <v>1312.8795482150811</v>
      </c>
      <c r="DT93" s="59">
        <f ca="1">AVERAGE(OFFSET($DS$3,0,0,'Données projet'!$E$14+1,1))-AVERAGE(OFFSET($H$3,0,0,'Données projet'!$E$14+1,1))</f>
        <v>778.88878505968955</v>
      </c>
      <c r="DU93" s="59">
        <f t="shared" si="98"/>
        <v>279.20782832611059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63.25</v>
      </c>
      <c r="DX93" s="16">
        <f>IF(ISNA(VLOOKUP(A93,'Données projet'!$A$165:$I$185,5,0)),0%,VLOOKUP(A93,'Données projet'!$A$165:$I$185,5,0)*VLOOKUP('Données projet'!$B$14,Paramètres!$A$1:$I$89,7,0))</f>
        <v>0.43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145.09725812468014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145.09725812468014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369.00000000000011</v>
      </c>
      <c r="O94" s="13">
        <f>N94*VLOOKUP('Données projet'!$B$9,Paramètres!$A$1:$I$89,3,0)*VLOOKUP('Données projet'!$B$9,Paramètres!$A$1:$I$89,5,0)</f>
        <v>333.87120000000004</v>
      </c>
      <c r="P94" s="13">
        <f t="shared" si="87"/>
        <v>78.232360111376309</v>
      </c>
      <c r="Q94" s="20">
        <f t="shared" si="54"/>
        <v>717.74703386064709</v>
      </c>
      <c r="R94" s="59">
        <f t="shared" si="55"/>
        <v>1011.0803671939805</v>
      </c>
      <c r="S94" s="59">
        <f ca="1">AVERAGE(OFFSET($R$3,0,0,'Données projet'!$E$9+1,1))-AVERAGE(OFFSET($H$3,0,0,'Données projet'!$E$9+1,1))</f>
        <v>436.4497226650281</v>
      </c>
      <c r="T94" s="59">
        <f t="shared" si="88"/>
        <v>611.43967996341871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3.1584323141959962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3.1584323141959962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630</v>
      </c>
      <c r="AJ94" s="13">
        <f>AI94*VLOOKUP('Données projet'!$B$10,Paramètres!$A$1:$I$89,3,0)*VLOOKUP('Données projet'!$B$10,Paramètres!$A$1:$I$89,5,0)</f>
        <v>550.36800000000005</v>
      </c>
      <c r="AK94" s="13">
        <f t="shared" si="89"/>
        <v>121.67271812244785</v>
      </c>
      <c r="AL94" s="20">
        <f t="shared" si="58"/>
        <v>1170.4709173965966</v>
      </c>
      <c r="AM94" s="59">
        <f t="shared" si="59"/>
        <v>1463.8042507299299</v>
      </c>
      <c r="AN94" s="59">
        <f ca="1">AVERAGE(OFFSET($AM$3,0,0,'Données projet'!$E$10+1,1))-AVERAGE(OFFSET($H$3,0,0,'Données projet'!$E$10+1,1))</f>
        <v>662.13838733542616</v>
      </c>
      <c r="AO94" s="59">
        <f t="shared" si="90"/>
        <v>1194.915361841041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13.211250000000007</v>
      </c>
      <c r="BD94" s="12">
        <f>IF('Données projet'!$A$88&gt;35,BD93+BC94-BL93,IF(A94&lt;'Données projet'!$A$88,$BA$205^A94,IF(A94='Données projet'!$A$88,'Données projet'!$B$88,BD93+BC94-BL93)))</f>
        <v>492.38500000000062</v>
      </c>
      <c r="BE94" s="13">
        <f>BD94*VLOOKUP('Données projet'!$B$11,Paramètres!$A$1:$I$89,3,0)*VLOOKUP('Données projet'!$B$11,Paramètres!$A$1:$I$89,5,0)</f>
        <v>230.43618000000029</v>
      </c>
      <c r="BF94" s="13">
        <f t="shared" si="91"/>
        <v>56.376983442883841</v>
      </c>
      <c r="BG94" s="20">
        <f t="shared" si="61"/>
        <v>499.53292632968987</v>
      </c>
      <c r="BH94" s="59">
        <f t="shared" si="62"/>
        <v>792.86625966302313</v>
      </c>
      <c r="BI94" s="59">
        <f ca="1">AVERAGE(OFFSET($BH$3,0,0,'Données projet'!$E$11+1,1))-AVERAGE(OFFSET($H$3,0,0,'Données projet'!$E$11+1,1))</f>
        <v>321.82962838167799</v>
      </c>
      <c r="BJ94" s="59">
        <f t="shared" si="92"/>
        <v>243.43396255104295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140.06212483767564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140.06212483767564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187.80389738728508</v>
      </c>
      <c r="CE94" s="59">
        <f t="shared" si="94"/>
        <v>439.28159165815265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36.90195380709936</v>
      </c>
      <c r="CL94" s="21">
        <f>EXP(-LN(2)/25)*CL93+(1-EXP(-LN(2)/25))/(LN(2)/25)*Calculateur!CG94*Calculateur!CI94*VLOOKUP('Données projet'!$B$12,Paramètres!$A$1:$I$89,3,0)*0.475*44/12</f>
        <v>2.6495031209724775</v>
      </c>
      <c r="CM94" s="21">
        <f>EXP(-LN(2)/2)*CM93+(1-EXP(-LN(2)/2))/(LN(2)/2)*CG94*CJ94*VLOOKUP('Données projet'!$B$12,Paramètres!$A$1:$I$89,3,0)*0.475*44/12</f>
        <v>2.9609482120868581E-11</v>
      </c>
      <c r="CN94" s="22">
        <f t="shared" si="66"/>
        <v>39.551456928101445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8.6509999999999998</v>
      </c>
      <c r="CT94" s="12">
        <f>IF('Données projet'!$A$140&gt;35,CT93+CS94-DB93,IF(A94&lt;'Données projet'!$A$140,$CQ$205^A94,IF(A94='Données projet'!$A$140,'Données projet'!$B$140,CT93+CS94-DB93)))</f>
        <v>354.17700000000025</v>
      </c>
      <c r="CU94" s="17">
        <f>CT94*VLOOKUP('Données projet'!$B$13,Paramètres!$A$1:$I$89,3,0)*VLOOKUP('Données projet'!$B$13,Paramètres!$A$1:$I$89,5,0)</f>
        <v>403.33676760000031</v>
      </c>
      <c r="CV94" s="13">
        <f t="shared" si="95"/>
        <v>92.452816229362881</v>
      </c>
      <c r="CW94" s="20">
        <f t="shared" si="67"/>
        <v>863.50019183614086</v>
      </c>
      <c r="CX94" s="59">
        <f t="shared" si="68"/>
        <v>1156.8335251694741</v>
      </c>
      <c r="CY94" s="59">
        <f ca="1">AVERAGE(OFFSET($CX$3,0,0,'Données projet'!$E$13+1,1))-AVERAGE(OFFSET($H$3,0,0,'Données projet'!$E$13+1,1))</f>
        <v>770.11410336045037</v>
      </c>
      <c r="CZ94" s="59">
        <f t="shared" si="96"/>
        <v>227.12611049004596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93.827129913769184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93.827129913769184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10.754999999999995</v>
      </c>
      <c r="DO94" s="12">
        <f>IF('Données projet'!$A$166&gt;35,DO93+DN94-DW93,IF(A94&lt;'Données projet'!$A$166,$DL$205^A94,IF(A94='Données projet'!$A$166,'Données projet'!$B$166,DO93+DN94-DW93)))</f>
        <v>418.87499999999972</v>
      </c>
      <c r="DP94" s="17">
        <f>DO94*VLOOKUP('Données projet'!$B$14,Paramètres!$A$1:$I$89,3,0)*VLOOKUP('Données projet'!$B$14,Paramètres!$A$1:$I$89,5,0)</f>
        <v>424.73924999999974</v>
      </c>
      <c r="DQ94" s="13">
        <f t="shared" si="97"/>
        <v>96.774517310729109</v>
      </c>
      <c r="DR94" s="20">
        <f t="shared" si="70"/>
        <v>908.30314473285273</v>
      </c>
      <c r="DS94" s="59">
        <f t="shared" si="71"/>
        <v>1201.6364780661861</v>
      </c>
      <c r="DT94" s="59">
        <f ca="1">AVERAGE(OFFSET($DS$3,0,0,'Données projet'!$E$14+1,1))-AVERAGE(OFFSET($H$3,0,0,'Données projet'!$E$14+1,1))</f>
        <v>778.88878505968955</v>
      </c>
      <c r="DU94" s="59">
        <f t="shared" si="98"/>
        <v>279.20782832611059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142.25198939344392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142.25198939344392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369.00000000000011</v>
      </c>
      <c r="O95" s="13">
        <f>N95*VLOOKUP('Données projet'!$B$9,Paramètres!$A$1:$I$89,3,0)*VLOOKUP('Données projet'!$B$9,Paramètres!$A$1:$I$89,5,0)</f>
        <v>333.87120000000004</v>
      </c>
      <c r="P95" s="13">
        <f t="shared" si="87"/>
        <v>78.232360111376309</v>
      </c>
      <c r="Q95" s="20">
        <f t="shared" si="54"/>
        <v>717.74703386064709</v>
      </c>
      <c r="R95" s="59">
        <f t="shared" si="55"/>
        <v>1011.0803671939805</v>
      </c>
      <c r="S95" s="59">
        <f ca="1">AVERAGE(OFFSET($R$3,0,0,'Données projet'!$E$9+1,1))-AVERAGE(OFFSET($H$3,0,0,'Données projet'!$E$9+1,1))</f>
        <v>436.4497226650281</v>
      </c>
      <c r="T95" s="59">
        <f t="shared" si="88"/>
        <v>611.43967996341871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3.0964973829681028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3.0964973829681028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630</v>
      </c>
      <c r="AJ95" s="13">
        <f>AI95*VLOOKUP('Données projet'!$B$10,Paramètres!$A$1:$I$89,3,0)*VLOOKUP('Données projet'!$B$10,Paramètres!$A$1:$I$89,5,0)</f>
        <v>550.36800000000005</v>
      </c>
      <c r="AK95" s="13">
        <f t="shared" si="89"/>
        <v>121.67271812244785</v>
      </c>
      <c r="AL95" s="20">
        <f t="shared" si="58"/>
        <v>1170.4709173965966</v>
      </c>
      <c r="AM95" s="59">
        <f t="shared" si="59"/>
        <v>1463.8042507299299</v>
      </c>
      <c r="AN95" s="59">
        <f ca="1">AVERAGE(OFFSET($AM$3,0,0,'Données projet'!$E$10+1,1))-AVERAGE(OFFSET($H$3,0,0,'Données projet'!$E$10+1,1))</f>
        <v>662.13838733542616</v>
      </c>
      <c r="AO95" s="59">
        <f t="shared" si="90"/>
        <v>1194.915361841041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13.211250000000007</v>
      </c>
      <c r="BD95" s="12">
        <f>IF('Données projet'!$A$88&gt;35,BD94+BC95-BL94,IF(A95&lt;'Données projet'!$A$88,$BA$205^A95,IF(A95='Données projet'!$A$88,'Données projet'!$B$88,BD94+BC95-BL94)))</f>
        <v>505.59625000000062</v>
      </c>
      <c r="BE95" s="13">
        <f>BD95*VLOOKUP('Données projet'!$B$11,Paramètres!$A$1:$I$89,3,0)*VLOOKUP('Données projet'!$B$11,Paramètres!$A$1:$I$89,5,0)</f>
        <v>236.61904500000028</v>
      </c>
      <c r="BF95" s="13">
        <f t="shared" si="91"/>
        <v>57.711501988331932</v>
      </c>
      <c r="BG95" s="20">
        <f t="shared" si="61"/>
        <v>512.62570267134527</v>
      </c>
      <c r="BH95" s="59">
        <f t="shared" si="62"/>
        <v>805.95903600467864</v>
      </c>
      <c r="BI95" s="59">
        <f ca="1">AVERAGE(OFFSET($BH$3,0,0,'Données projet'!$E$11+1,1))-AVERAGE(OFFSET($H$3,0,0,'Données projet'!$E$11+1,1))</f>
        <v>321.82962838167799</v>
      </c>
      <c r="BJ95" s="59">
        <f t="shared" si="92"/>
        <v>243.43396255104295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137.31559199906951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137.31559199906951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187.80389738728508</v>
      </c>
      <c r="CE95" s="59">
        <f t="shared" si="94"/>
        <v>439.28159165815265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36.178329000911489</v>
      </c>
      <c r="CL95" s="21">
        <f>EXP(-LN(2)/25)*CL94+(1-EXP(-LN(2)/25))/(LN(2)/25)*Calculateur!CG95*Calculateur!CI95*VLOOKUP('Données projet'!$B$12,Paramètres!$A$1:$I$89,3,0)*0.475*44/12</f>
        <v>2.5770523187981715</v>
      </c>
      <c r="CM95" s="21">
        <f>EXP(-LN(2)/2)*CM94+(1-EXP(-LN(2)/2))/(LN(2)/2)*CG95*CJ95*VLOOKUP('Données projet'!$B$12,Paramètres!$A$1:$I$89,3,0)*0.475*44/12</f>
        <v>2.0937065595088011E-11</v>
      </c>
      <c r="CN95" s="22">
        <f t="shared" si="66"/>
        <v>38.755381319730603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8.6509999999999998</v>
      </c>
      <c r="CT95" s="12">
        <f>IF('Données projet'!$A$140&gt;35,CT94+CS95-DB94,IF(A95&lt;'Données projet'!$A$140,$CQ$205^A95,IF(A95='Données projet'!$A$140,'Données projet'!$B$140,CT94+CS95-DB94)))</f>
        <v>362.82800000000026</v>
      </c>
      <c r="CU95" s="17">
        <f>CT95*VLOOKUP('Données projet'!$B$13,Paramètres!$A$1:$I$89,3,0)*VLOOKUP('Données projet'!$B$13,Paramètres!$A$1:$I$89,5,0)</f>
        <v>413.18852640000028</v>
      </c>
      <c r="CV95" s="13">
        <f t="shared" si="95"/>
        <v>94.445367646306295</v>
      </c>
      <c r="CW95" s="20">
        <f t="shared" si="67"/>
        <v>884.12903213065056</v>
      </c>
      <c r="CX95" s="59">
        <f t="shared" si="68"/>
        <v>1177.4623654639838</v>
      </c>
      <c r="CY95" s="59">
        <f ca="1">AVERAGE(OFFSET($CX$3,0,0,'Données projet'!$E$13+1,1))-AVERAGE(OFFSET($H$3,0,0,'Données projet'!$E$13+1,1))</f>
        <v>770.11410336045037</v>
      </c>
      <c r="CZ95" s="59">
        <f t="shared" si="96"/>
        <v>227.12611049004596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91.987237125058527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91.987237125058527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10.754999999999995</v>
      </c>
      <c r="DO95" s="12">
        <f>IF('Données projet'!$A$166&gt;35,DO94+DN95-DW94,IF(A95&lt;'Données projet'!$A$166,$DL$205^A95,IF(A95='Données projet'!$A$166,'Données projet'!$B$166,DO94+DN95-DW94)))</f>
        <v>429.62999999999971</v>
      </c>
      <c r="DP95" s="17">
        <f>DO95*VLOOKUP('Données projet'!$B$14,Paramètres!$A$1:$I$89,3,0)*VLOOKUP('Données projet'!$B$14,Paramètres!$A$1:$I$89,5,0)</f>
        <v>435.64481999999975</v>
      </c>
      <c r="DQ95" s="13">
        <f t="shared" si="97"/>
        <v>98.96681412995629</v>
      </c>
      <c r="DR95" s="20">
        <f t="shared" si="70"/>
        <v>931.11526277634005</v>
      </c>
      <c r="DS95" s="59">
        <f t="shared" si="71"/>
        <v>1224.4485961096734</v>
      </c>
      <c r="DT95" s="59">
        <f ca="1">AVERAGE(OFFSET($DS$3,0,0,'Données projet'!$E$14+1,1))-AVERAGE(OFFSET($H$3,0,0,'Données projet'!$E$14+1,1))</f>
        <v>778.88878505968955</v>
      </c>
      <c r="DU95" s="59">
        <f t="shared" si="98"/>
        <v>279.20782832611059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139.46251464658468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139.46251464658468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369.00000000000011</v>
      </c>
      <c r="O96" s="13">
        <f>N96*VLOOKUP('Données projet'!$B$9,Paramètres!$A$1:$I$89,3,0)*VLOOKUP('Données projet'!$B$9,Paramètres!$A$1:$I$89,5,0)</f>
        <v>333.87120000000004</v>
      </c>
      <c r="P96" s="13">
        <f t="shared" si="87"/>
        <v>78.232360111376309</v>
      </c>
      <c r="Q96" s="20">
        <f t="shared" si="54"/>
        <v>717.74703386064709</v>
      </c>
      <c r="R96" s="59">
        <f t="shared" si="55"/>
        <v>1011.0803671939805</v>
      </c>
      <c r="S96" s="59">
        <f ca="1">AVERAGE(OFFSET($R$3,0,0,'Données projet'!$E$9+1,1))-AVERAGE(OFFSET($H$3,0,0,'Données projet'!$E$9+1,1))</f>
        <v>436.4497226650281</v>
      </c>
      <c r="T96" s="59">
        <f t="shared" si="88"/>
        <v>611.43967996341871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3.0357769579650107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3.0357769579650107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630</v>
      </c>
      <c r="AJ96" s="13">
        <f>AI96*VLOOKUP('Données projet'!$B$10,Paramètres!$A$1:$I$89,3,0)*VLOOKUP('Données projet'!$B$10,Paramètres!$A$1:$I$89,5,0)</f>
        <v>550.36800000000005</v>
      </c>
      <c r="AK96" s="13">
        <f t="shared" si="89"/>
        <v>121.67271812244785</v>
      </c>
      <c r="AL96" s="20">
        <f t="shared" si="58"/>
        <v>1170.4709173965966</v>
      </c>
      <c r="AM96" s="59">
        <f t="shared" si="59"/>
        <v>1463.8042507299299</v>
      </c>
      <c r="AN96" s="59">
        <f ca="1">AVERAGE(OFFSET($AM$3,0,0,'Données projet'!$E$10+1,1))-AVERAGE(OFFSET($H$3,0,0,'Données projet'!$E$10+1,1))</f>
        <v>662.13838733542616</v>
      </c>
      <c r="AO96" s="59">
        <f t="shared" si="90"/>
        <v>1194.915361841041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13.211250000000007</v>
      </c>
      <c r="BD96" s="12">
        <f>IF('Données projet'!$A$88&gt;35,BD95+BC96-BL95,IF(A96&lt;'Données projet'!$A$88,$BA$205^A96,IF(A96='Données projet'!$A$88,'Données projet'!$B$88,BD95+BC96-BL95)))</f>
        <v>518.80750000000057</v>
      </c>
      <c r="BE96" s="13">
        <f>BD96*VLOOKUP('Données projet'!$B$11,Paramètres!$A$1:$I$89,3,0)*VLOOKUP('Données projet'!$B$11,Paramètres!$A$1:$I$89,5,0)</f>
        <v>242.80191000000028</v>
      </c>
      <c r="BF96" s="13">
        <f t="shared" si="91"/>
        <v>59.041967225867971</v>
      </c>
      <c r="BG96" s="20">
        <f t="shared" si="61"/>
        <v>525.71141950172057</v>
      </c>
      <c r="BH96" s="59">
        <f t="shared" si="62"/>
        <v>819.04475283505394</v>
      </c>
      <c r="BI96" s="59">
        <f ca="1">AVERAGE(OFFSET($BH$3,0,0,'Données projet'!$E$11+1,1))-AVERAGE(OFFSET($H$3,0,0,'Données projet'!$E$11+1,1))</f>
        <v>321.82962838167799</v>
      </c>
      <c r="BJ96" s="59">
        <f t="shared" si="92"/>
        <v>243.43396255104295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134.62291699420882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134.62291699420882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187.80389738728508</v>
      </c>
      <c r="CE96" s="59">
        <f t="shared" si="94"/>
        <v>439.28159165815265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35.468894035805413</v>
      </c>
      <c r="CL96" s="21">
        <f>EXP(-LN(2)/25)*CL95+(1-EXP(-LN(2)/25))/(LN(2)/25)*Calculateur!CG96*Calculateur!CI96*VLOOKUP('Données projet'!$B$12,Paramètres!$A$1:$I$89,3,0)*0.475*44/12</f>
        <v>2.506582687619344</v>
      </c>
      <c r="CM96" s="21">
        <f>EXP(-LN(2)/2)*CM95+(1-EXP(-LN(2)/2))/(LN(2)/2)*CG96*CJ96*VLOOKUP('Données projet'!$B$12,Paramètres!$A$1:$I$89,3,0)*0.475*44/12</f>
        <v>1.480474106043429E-11</v>
      </c>
      <c r="CN96" s="22">
        <f t="shared" si="66"/>
        <v>37.975476723439563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8.6509999999999998</v>
      </c>
      <c r="CT96" s="12">
        <f>IF('Données projet'!$A$140&gt;35,CT95+CS96-DB95,IF(A96&lt;'Données projet'!$A$140,$CQ$205^A96,IF(A96='Données projet'!$A$140,'Données projet'!$B$140,CT95+CS96-DB95)))</f>
        <v>371.47900000000027</v>
      </c>
      <c r="CU96" s="17">
        <f>CT96*VLOOKUP('Données projet'!$B$13,Paramètres!$A$1:$I$89,3,0)*VLOOKUP('Données projet'!$B$13,Paramètres!$A$1:$I$89,5,0)</f>
        <v>423.04028520000037</v>
      </c>
      <c r="CV96" s="13">
        <f t="shared" si="95"/>
        <v>96.432396140033873</v>
      </c>
      <c r="CW96" s="20">
        <f t="shared" si="67"/>
        <v>904.74825333389288</v>
      </c>
      <c r="CX96" s="59">
        <f t="shared" si="68"/>
        <v>1198.0815866672262</v>
      </c>
      <c r="CY96" s="59">
        <f ca="1">AVERAGE(OFFSET($CX$3,0,0,'Données projet'!$E$13+1,1))-AVERAGE(OFFSET($H$3,0,0,'Données projet'!$E$13+1,1))</f>
        <v>770.11410336045037</v>
      </c>
      <c r="CZ96" s="59">
        <f t="shared" si="96"/>
        <v>227.12611049004596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90.1834235117107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90.1834235117107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10.754999999999995</v>
      </c>
      <c r="DO96" s="12">
        <f>IF('Données projet'!$A$166&gt;35,DO95+DN96-DW95,IF(A96&lt;'Données projet'!$A$166,$DL$205^A96,IF(A96='Données projet'!$A$166,'Données projet'!$B$166,DO95+DN96-DW95)))</f>
        <v>440.38499999999971</v>
      </c>
      <c r="DP96" s="17">
        <f>DO96*VLOOKUP('Données projet'!$B$14,Paramètres!$A$1:$I$89,3,0)*VLOOKUP('Données projet'!$B$14,Paramètres!$A$1:$I$89,5,0)</f>
        <v>446.55038999999977</v>
      </c>
      <c r="DQ96" s="13">
        <f t="shared" si="97"/>
        <v>101.15273149525753</v>
      </c>
      <c r="DR96" s="20">
        <f t="shared" si="70"/>
        <v>953.91626993757302</v>
      </c>
      <c r="DS96" s="59">
        <f t="shared" si="71"/>
        <v>1247.2496032709064</v>
      </c>
      <c r="DT96" s="59">
        <f ca="1">AVERAGE(OFFSET($DS$3,0,0,'Données projet'!$E$14+1,1))-AVERAGE(OFFSET($H$3,0,0,'Données projet'!$E$14+1,1))</f>
        <v>778.88878505968955</v>
      </c>
      <c r="DU96" s="59">
        <f t="shared" si="98"/>
        <v>279.20782832611059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136.72773979809975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136.72773979809975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369.00000000000011</v>
      </c>
      <c r="O97" s="13">
        <f>N97*VLOOKUP('Données projet'!$B$9,Paramètres!$A$1:$I$89,3,0)*VLOOKUP('Données projet'!$B$9,Paramètres!$A$1:$I$89,5,0)</f>
        <v>333.87120000000004</v>
      </c>
      <c r="P97" s="13">
        <f t="shared" si="87"/>
        <v>78.232360111376309</v>
      </c>
      <c r="Q97" s="20">
        <f t="shared" si="54"/>
        <v>717.74703386064709</v>
      </c>
      <c r="R97" s="59">
        <f t="shared" si="55"/>
        <v>1011.0803671939805</v>
      </c>
      <c r="S97" s="59">
        <f ca="1">AVERAGE(OFFSET($R$3,0,0,'Données projet'!$E$9+1,1))-AVERAGE(OFFSET($H$3,0,0,'Données projet'!$E$9+1,1))</f>
        <v>436.4497226650281</v>
      </c>
      <c r="T97" s="59">
        <f t="shared" si="88"/>
        <v>611.43967996341871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2.9762472234604269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2.9762472234604269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630</v>
      </c>
      <c r="AJ97" s="13">
        <f>AI97*VLOOKUP('Données projet'!$B$10,Paramètres!$A$1:$I$89,3,0)*VLOOKUP('Données projet'!$B$10,Paramètres!$A$1:$I$89,5,0)</f>
        <v>550.36800000000005</v>
      </c>
      <c r="AK97" s="13">
        <f t="shared" si="89"/>
        <v>121.67271812244785</v>
      </c>
      <c r="AL97" s="20">
        <f t="shared" si="58"/>
        <v>1170.4709173965966</v>
      </c>
      <c r="AM97" s="59">
        <f t="shared" si="59"/>
        <v>1463.8042507299299</v>
      </c>
      <c r="AN97" s="59">
        <f ca="1">AVERAGE(OFFSET($AM$3,0,0,'Données projet'!$E$10+1,1))-AVERAGE(OFFSET($H$3,0,0,'Données projet'!$E$10+1,1))</f>
        <v>662.13838733542616</v>
      </c>
      <c r="AO97" s="59">
        <f t="shared" si="90"/>
        <v>1194.915361841041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13.211250000000007</v>
      </c>
      <c r="BD97" s="12">
        <f>IF('Données projet'!$A$88&gt;35,BD96+BC97-BL96,IF(A97&lt;'Données projet'!$A$88,$BA$205^A97,IF(A97='Données projet'!$A$88,'Données projet'!$B$88,BD96+BC97-BL96)))</f>
        <v>532.01875000000064</v>
      </c>
      <c r="BE97" s="13">
        <f>BD97*VLOOKUP('Données projet'!$B$11,Paramètres!$A$1:$I$89,3,0)*VLOOKUP('Données projet'!$B$11,Paramètres!$A$1:$I$89,5,0)</f>
        <v>248.9847750000003</v>
      </c>
      <c r="BF97" s="13">
        <f t="shared" si="91"/>
        <v>60.368494240456918</v>
      </c>
      <c r="BG97" s="20">
        <f t="shared" si="61"/>
        <v>538.79027726046297</v>
      </c>
      <c r="BH97" s="59">
        <f t="shared" si="62"/>
        <v>832.12361059379623</v>
      </c>
      <c r="BI97" s="59">
        <f ca="1">AVERAGE(OFFSET($BH$3,0,0,'Données projet'!$E$11+1,1))-AVERAGE(OFFSET($H$3,0,0,'Données projet'!$E$11+1,1))</f>
        <v>321.82962838167799</v>
      </c>
      <c r="BJ97" s="59">
        <f t="shared" si="92"/>
        <v>243.43396255104295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131.98304370382388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131.98304370382388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187.80389738728508</v>
      </c>
      <c r="CE97" s="59">
        <f t="shared" si="94"/>
        <v>439.28159165815265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34.773370657652464</v>
      </c>
      <c r="CL97" s="21">
        <f>EXP(-LN(2)/25)*CL96+(1-EXP(-LN(2)/25))/(LN(2)/25)*Calculateur!CG97*Calculateur!CI97*VLOOKUP('Données projet'!$B$12,Paramètres!$A$1:$I$89,3,0)*0.475*44/12</f>
        <v>2.4380400522109382</v>
      </c>
      <c r="CM97" s="21">
        <f>EXP(-LN(2)/2)*CM96+(1-EXP(-LN(2)/2))/(LN(2)/2)*CG97*CJ97*VLOOKUP('Données projet'!$B$12,Paramètres!$A$1:$I$89,3,0)*0.475*44/12</f>
        <v>1.0468532797544005E-11</v>
      </c>
      <c r="CN97" s="22">
        <f t="shared" si="66"/>
        <v>37.211410709873867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8.6509999999999998</v>
      </c>
      <c r="CS97" s="12">
        <f t="array" ref="CS97">INDEX(CR:CR,MIN(IF(ISNUMBER(CR97:CR293),ROW(CR97:CR293),"")))</f>
        <v>8.6509999999999998</v>
      </c>
      <c r="CT97" s="12">
        <f>IF('Données projet'!$A$140&gt;35,CT96+CS97-DB96,IF(A97&lt;'Données projet'!$A$140,$CQ$205^A97,IF(A97='Données projet'!$A$140,'Données projet'!$B$140,CT96+CS97-DB96)))</f>
        <v>380.13000000000028</v>
      </c>
      <c r="CU97" s="17">
        <f>CT97*VLOOKUP('Données projet'!$B$13,Paramètres!$A$1:$I$89,3,0)*VLOOKUP('Données projet'!$B$13,Paramètres!$A$1:$I$89,5,0)</f>
        <v>432.89204400000034</v>
      </c>
      <c r="CV97" s="13">
        <f t="shared" si="95"/>
        <v>98.41404513121347</v>
      </c>
      <c r="CW97" s="20">
        <f t="shared" si="67"/>
        <v>925.35810523686405</v>
      </c>
      <c r="CX97" s="59">
        <f t="shared" si="68"/>
        <v>1218.6914385701973</v>
      </c>
      <c r="CY97" s="59">
        <f ca="1">AVERAGE(OFFSET($CX$3,0,0,'Données projet'!$E$13+1,1))-AVERAGE(OFFSET($H$3,0,0,'Données projet'!$E$13+1,1))</f>
        <v>770.11410336045037</v>
      </c>
      <c r="CZ97" s="59">
        <f t="shared" si="96"/>
        <v>227.12611049004596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0.43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121.8963136640385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121.8963136640385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10.754999999999995</v>
      </c>
      <c r="DO97" s="12">
        <f>IF('Données projet'!$A$166&gt;35,DO96+DN97-DW96,IF(A97&lt;'Données projet'!$A$166,$DL$205^A97,IF(A97='Données projet'!$A$166,'Données projet'!$B$166,DO96+DN97-DW96)))</f>
        <v>451.1399999999997</v>
      </c>
      <c r="DP97" s="17">
        <f>DO97*VLOOKUP('Données projet'!$B$14,Paramètres!$A$1:$I$89,3,0)*VLOOKUP('Données projet'!$B$14,Paramètres!$A$1:$I$89,5,0)</f>
        <v>457.45595999999972</v>
      </c>
      <c r="DQ97" s="13">
        <f t="shared" si="97"/>
        <v>103.33244312726899</v>
      </c>
      <c r="DR97" s="20">
        <f t="shared" si="70"/>
        <v>976.70646877999297</v>
      </c>
      <c r="DS97" s="59">
        <f t="shared" si="71"/>
        <v>1270.0398021133262</v>
      </c>
      <c r="DT97" s="59">
        <f ca="1">AVERAGE(OFFSET($DS$3,0,0,'Données projet'!$E$14+1,1))-AVERAGE(OFFSET($H$3,0,0,'Données projet'!$E$14+1,1))</f>
        <v>778.88878505968955</v>
      </c>
      <c r="DU97" s="59">
        <f t="shared" si="98"/>
        <v>279.20782832611059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134.04659221634566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134.04659221634566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369.00000000000011</v>
      </c>
      <c r="O98" s="13">
        <f>N98*VLOOKUP('Données projet'!$B$9,Paramètres!$A$1:$I$89,3,0)*VLOOKUP('Données projet'!$B$9,Paramètres!$A$1:$I$89,5,0)</f>
        <v>333.87120000000004</v>
      </c>
      <c r="P98" s="13">
        <f t="shared" si="87"/>
        <v>78.232360111376309</v>
      </c>
      <c r="Q98" s="20">
        <f t="shared" si="54"/>
        <v>717.74703386064709</v>
      </c>
      <c r="R98" s="59">
        <f t="shared" si="55"/>
        <v>1011.0803671939805</v>
      </c>
      <c r="S98" s="59">
        <f ca="1">AVERAGE(OFFSET($R$3,0,0,'Données projet'!$E$9+1,1))-AVERAGE(OFFSET($H$3,0,0,'Données projet'!$E$9+1,1))</f>
        <v>436.4497226650281</v>
      </c>
      <c r="T98" s="59">
        <f t="shared" si="88"/>
        <v>611.43967996341871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2.9178848307399252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2.9178848307399252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630</v>
      </c>
      <c r="AJ98" s="13">
        <f>AI98*VLOOKUP('Données projet'!$B$10,Paramètres!$A$1:$I$89,3,0)*VLOOKUP('Données projet'!$B$10,Paramètres!$A$1:$I$89,5,0)</f>
        <v>550.36800000000005</v>
      </c>
      <c r="AK98" s="13">
        <f t="shared" si="89"/>
        <v>121.67271812244785</v>
      </c>
      <c r="AL98" s="20">
        <f t="shared" si="58"/>
        <v>1170.4709173965966</v>
      </c>
      <c r="AM98" s="59">
        <f t="shared" si="59"/>
        <v>1463.8042507299299</v>
      </c>
      <c r="AN98" s="59">
        <f ca="1">AVERAGE(OFFSET($AM$3,0,0,'Données projet'!$E$10+1,1))-AVERAGE(OFFSET($H$3,0,0,'Données projet'!$E$10+1,1))</f>
        <v>662.13838733542616</v>
      </c>
      <c r="AO98" s="59">
        <f t="shared" si="90"/>
        <v>1194.915361841041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545.23</v>
      </c>
      <c r="BB98" s="12">
        <f>VLOOKUP(A98,'Données projet'!$A$87:$I$107,9,0)</f>
        <v>13.211250000000007</v>
      </c>
      <c r="BC98" s="12">
        <f t="array" ref="BC98">INDEX(BB:BB,MIN(IF(ISNUMBER(BB98:BB294),ROW(BB98:BB294),"")))</f>
        <v>13.211250000000007</v>
      </c>
      <c r="BD98" s="12">
        <f>IF('Données projet'!$A$88&gt;35,BD97+BC98-BL97,IF(A98&lt;'Données projet'!$A$88,$BA$205^A98,IF(A98='Données projet'!$A$88,'Données projet'!$B$88,BD97+BC98-BL97)))</f>
        <v>545.2300000000007</v>
      </c>
      <c r="BE98" s="13">
        <f>BD98*VLOOKUP('Données projet'!$B$11,Paramètres!$A$1:$I$89,3,0)*VLOOKUP('Données projet'!$B$11,Paramètres!$A$1:$I$89,5,0)</f>
        <v>255.16764000000032</v>
      </c>
      <c r="BF98" s="13">
        <f t="shared" si="91"/>
        <v>61.691192075625132</v>
      </c>
      <c r="BG98" s="20">
        <f t="shared" si="61"/>
        <v>551.86246586504762</v>
      </c>
      <c r="BH98" s="59">
        <f t="shared" si="62"/>
        <v>845.19579919838088</v>
      </c>
      <c r="BI98" s="59">
        <f ca="1">AVERAGE(OFFSET($BH$3,0,0,'Données projet'!$E$11+1,1))-AVERAGE(OFFSET($H$3,0,0,'Données projet'!$E$11+1,1))</f>
        <v>321.82962838167799</v>
      </c>
      <c r="BJ98" s="59">
        <f t="shared" si="92"/>
        <v>243.43396255104295</v>
      </c>
      <c r="BK98" s="15">
        <f>IF(ISNA(VLOOKUP(A98,'Données projet'!$A$87:$I$107,3,0)),0,VLOOKUP(A98,'Données projet'!$A$87:$I$107,3,0))</f>
        <v>8</v>
      </c>
      <c r="BL98" s="15">
        <f>IF(ISNA(VLOOKUP(A98,'Données projet'!$A$87:$I$107,4,0)),0,VLOOKUP(A98,'Données projet'!$A$87:$I$107,4,0))</f>
        <v>268.81</v>
      </c>
      <c r="BM98" s="16">
        <f>IF(ISNA(VLOOKUP(A98,'Données projet'!$A$87:$I$107,5,0)),0%,VLOOKUP(A98,'Données projet'!$A$87:$I$107,5,0)*VLOOKUP('Données projet'!$B$11,Paramètres!$A$1:$I$89,7,0))</f>
        <v>0.55000000000000004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221.18217859054897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221.18217859054897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187.80389738728508</v>
      </c>
      <c r="CE98" s="59">
        <f t="shared" si="94"/>
        <v>439.28159165815265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34.091486068717721</v>
      </c>
      <c r="CL98" s="21">
        <f>EXP(-LN(2)/25)*CL97+(1-EXP(-LN(2)/25))/(LN(2)/25)*Calculateur!CG98*Calculateur!CI98*VLOOKUP('Données projet'!$B$12,Paramètres!$A$1:$I$89,3,0)*0.475*44/12</f>
        <v>2.3713717187722758</v>
      </c>
      <c r="CM98" s="21">
        <f>EXP(-LN(2)/2)*CM97+(1-EXP(-LN(2)/2))/(LN(2)/2)*CG98*CJ98*VLOOKUP('Données projet'!$B$12,Paramètres!$A$1:$I$89,3,0)*0.475*44/12</f>
        <v>7.4023705302171452E-12</v>
      </c>
      <c r="CN98" s="22">
        <f t="shared" si="66"/>
        <v>36.462857787497398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8.3920000000000012</v>
      </c>
      <c r="CT98" s="12">
        <f>IF('Données projet'!$A$140&gt;35,CT97+CS98-DB97,IF(A98&lt;'Données projet'!$A$140,$CQ$205^A98,IF(A98='Données projet'!$A$140,'Données projet'!$B$140,CT97+CS98-DB97)))</f>
        <v>326.67200000000025</v>
      </c>
      <c r="CU98" s="17">
        <f>CT98*VLOOKUP('Données projet'!$B$13,Paramètres!$A$1:$I$89,3,0)*VLOOKUP('Données projet'!$B$13,Paramètres!$A$1:$I$89,5,0)</f>
        <v>372.0140736000003</v>
      </c>
      <c r="CV98" s="13">
        <f t="shared" si="95"/>
        <v>86.079220219719346</v>
      </c>
      <c r="CW98" s="20">
        <f t="shared" si="67"/>
        <v>797.845820069345</v>
      </c>
      <c r="CX98" s="59">
        <f t="shared" si="68"/>
        <v>1091.1791534026784</v>
      </c>
      <c r="CY98" s="59">
        <f ca="1">AVERAGE(OFFSET($CX$3,0,0,'Données projet'!$E$13+1,1))-AVERAGE(OFFSET($H$3,0,0,'Données projet'!$E$13+1,1))</f>
        <v>770.11410336045037</v>
      </c>
      <c r="CZ98" s="59">
        <f t="shared" si="96"/>
        <v>227.12611049004596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119.50600130249664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119.50600130249664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10.754999999999995</v>
      </c>
      <c r="DO98" s="12">
        <f>IF('Données projet'!$A$166&gt;35,DO97+DN98-DW97,IF(A98&lt;'Données projet'!$A$166,$DL$205^A98,IF(A98='Données projet'!$A$166,'Données projet'!$B$166,DO97+DN98-DW97)))</f>
        <v>461.8949999999997</v>
      </c>
      <c r="DP98" s="17">
        <f>DO98*VLOOKUP('Données projet'!$B$14,Paramètres!$A$1:$I$89,3,0)*VLOOKUP('Données projet'!$B$14,Paramètres!$A$1:$I$89,5,0)</f>
        <v>468.36152999999973</v>
      </c>
      <c r="DQ98" s="13">
        <f t="shared" si="97"/>
        <v>105.50611399135394</v>
      </c>
      <c r="DR98" s="20">
        <f t="shared" si="70"/>
        <v>999.48614661827423</v>
      </c>
      <c r="DS98" s="59">
        <f t="shared" si="71"/>
        <v>1292.8194799516075</v>
      </c>
      <c r="DT98" s="59">
        <f ca="1">AVERAGE(OFFSET($DS$3,0,0,'Données projet'!$E$14+1,1))-AVERAGE(OFFSET($H$3,0,0,'Données projet'!$E$14+1,1))</f>
        <v>778.88878505968955</v>
      </c>
      <c r="DU98" s="59">
        <f t="shared" si="98"/>
        <v>279.20782832611059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131.41802030333122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131.41802030333122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369.00000000000011</v>
      </c>
      <c r="O99" s="13">
        <f>N99*VLOOKUP('Données projet'!$B$9,Paramètres!$A$1:$I$89,3,0)*VLOOKUP('Données projet'!$B$9,Paramètres!$A$1:$I$89,5,0)</f>
        <v>333.87120000000004</v>
      </c>
      <c r="P99" s="13">
        <f t="shared" si="87"/>
        <v>78.232360111376309</v>
      </c>
      <c r="Q99" s="20">
        <f t="shared" ref="Q99:Q130" si="107">(O99+P99)*0.475*44/12</f>
        <v>717.74703386064709</v>
      </c>
      <c r="R99" s="59">
        <f t="shared" si="55"/>
        <v>1011.0803671939805</v>
      </c>
      <c r="S99" s="59">
        <f ca="1">AVERAGE(OFFSET($R$3,0,0,'Données projet'!$E$9+1,1))-AVERAGE(OFFSET($H$3,0,0,'Données projet'!$E$9+1,1))</f>
        <v>436.4497226650281</v>
      </c>
      <c r="T99" s="59">
        <f t="shared" si="88"/>
        <v>611.43967996341871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2.8606668889431277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2.8606668889431277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630</v>
      </c>
      <c r="AJ99" s="13">
        <f>AI99*VLOOKUP('Données projet'!$B$10,Paramètres!$A$1:$I$89,3,0)*VLOOKUP('Données projet'!$B$10,Paramètres!$A$1:$I$89,5,0)</f>
        <v>550.36800000000005</v>
      </c>
      <c r="AK99" s="13">
        <f t="shared" si="89"/>
        <v>121.67271812244785</v>
      </c>
      <c r="AL99" s="20">
        <f t="shared" si="58"/>
        <v>1170.4709173965966</v>
      </c>
      <c r="AM99" s="59">
        <f t="shared" si="59"/>
        <v>1463.8042507299299</v>
      </c>
      <c r="AN99" s="59">
        <f ca="1">AVERAGE(OFFSET($AM$3,0,0,'Données projet'!$E$10+1,1))-AVERAGE(OFFSET($H$3,0,0,'Données projet'!$E$10+1,1))</f>
        <v>662.13838733542616</v>
      </c>
      <c r="AO99" s="59">
        <f t="shared" si="90"/>
        <v>1194.915361841041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8.503999999999996</v>
      </c>
      <c r="BD99" s="12">
        <f>IF('Données projet'!$A$88&gt;35,BD98+BC99-BL98,IF(A99&lt;'Données projet'!$A$88,$BA$205^A99,IF(A99='Données projet'!$A$88,'Données projet'!$B$88,BD98+BC99-BL98)))</f>
        <v>284.92400000000072</v>
      </c>
      <c r="BE99" s="13">
        <f>BD99*VLOOKUP('Données projet'!$B$11,Paramètres!$A$1:$I$89,3,0)*VLOOKUP('Données projet'!$B$11,Paramètres!$A$1:$I$89,5,0)</f>
        <v>133.34443200000032</v>
      </c>
      <c r="BF99" s="13">
        <f t="shared" si="91"/>
        <v>34.768013206501529</v>
      </c>
      <c r="BG99" s="20">
        <f t="shared" si="61"/>
        <v>292.79584206799075</v>
      </c>
      <c r="BH99" s="59">
        <f t="shared" si="62"/>
        <v>586.12917540132412</v>
      </c>
      <c r="BI99" s="59">
        <f ca="1">AVERAGE(OFFSET($BH$3,0,0,'Données projet'!$E$11+1,1))-AVERAGE(OFFSET($H$3,0,0,'Données projet'!$E$11+1,1))</f>
        <v>321.82962838167799</v>
      </c>
      <c r="BJ99" s="59">
        <f t="shared" si="92"/>
        <v>243.43396255104295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216.8449309761962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216.8449309761962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187.80389738728508</v>
      </c>
      <c r="CE99" s="59">
        <f t="shared" si="94"/>
        <v>439.28159165815265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33.422972820663453</v>
      </c>
      <c r="CL99" s="21">
        <f>EXP(-LN(2)/25)*CL98+(1-EXP(-LN(2)/25))/(LN(2)/25)*Calculateur!CG99*Calculateur!CI99*VLOOKUP('Données projet'!$B$12,Paramètres!$A$1:$I$89,3,0)*0.475*44/12</f>
        <v>2.306526434417429</v>
      </c>
      <c r="CM99" s="21">
        <f>EXP(-LN(2)/2)*CM98+(1-EXP(-LN(2)/2))/(LN(2)/2)*CG99*CJ99*VLOOKUP('Données projet'!$B$12,Paramètres!$A$1:$I$89,3,0)*0.475*44/12</f>
        <v>5.2342663987720027E-12</v>
      </c>
      <c r="CN99" s="22">
        <f t="shared" si="66"/>
        <v>35.729499255086118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8.3920000000000012</v>
      </c>
      <c r="CT99" s="12">
        <f>IF('Données projet'!$A$140&gt;35,CT98+CS99-DB98,IF(A99&lt;'Données projet'!$A$140,$CQ$205^A99,IF(A99='Données projet'!$A$140,'Données projet'!$B$140,CT98+CS99-DB98)))</f>
        <v>335.06400000000025</v>
      </c>
      <c r="CU99" s="17">
        <f>CT99*VLOOKUP('Données projet'!$B$13,Paramètres!$A$1:$I$89,3,0)*VLOOKUP('Données projet'!$B$13,Paramètres!$A$1:$I$89,5,0)</f>
        <v>381.57088320000031</v>
      </c>
      <c r="CV99" s="13">
        <f t="shared" si="95"/>
        <v>88.03025009494425</v>
      </c>
      <c r="CW99" s="20">
        <f t="shared" si="67"/>
        <v>817.88864048869516</v>
      </c>
      <c r="CX99" s="59">
        <f t="shared" si="68"/>
        <v>1111.2219738220285</v>
      </c>
      <c r="CY99" s="59">
        <f ca="1">AVERAGE(OFFSET($CX$3,0,0,'Données projet'!$E$13+1,1))-AVERAGE(OFFSET($H$3,0,0,'Données projet'!$E$13+1,1))</f>
        <v>770.11410336045037</v>
      </c>
      <c r="CZ99" s="59">
        <f t="shared" si="96"/>
        <v>227.12611049004596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117.16256150841804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117.16256150841804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10.754999999999995</v>
      </c>
      <c r="DO99" s="12">
        <f>IF('Données projet'!$A$166&gt;35,DO98+DN99-DW98,IF(A99&lt;'Données projet'!$A$166,$DL$205^A99,IF(A99='Données projet'!$A$166,'Données projet'!$B$166,DO98+DN99-DW98)))</f>
        <v>472.64999999999969</v>
      </c>
      <c r="DP99" s="17">
        <f>DO99*VLOOKUP('Données projet'!$B$14,Paramètres!$A$1:$I$89,3,0)*VLOOKUP('Données projet'!$B$14,Paramètres!$A$1:$I$89,5,0)</f>
        <v>479.26709999999969</v>
      </c>
      <c r="DQ99" s="13">
        <f t="shared" si="97"/>
        <v>107.6739009322893</v>
      </c>
      <c r="DR99" s="20">
        <f t="shared" si="70"/>
        <v>1022.2555766237365</v>
      </c>
      <c r="DS99" s="59">
        <f t="shared" si="71"/>
        <v>1315.5889099570697</v>
      </c>
      <c r="DT99" s="59">
        <f ca="1">AVERAGE(OFFSET($DS$3,0,0,'Données projet'!$E$14+1,1))-AVERAGE(OFFSET($H$3,0,0,'Données projet'!$E$14+1,1))</f>
        <v>778.88878505968955</v>
      </c>
      <c r="DU99" s="59">
        <f t="shared" si="98"/>
        <v>279.20782832611059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128.84099308226041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128.84099308226041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369.00000000000011</v>
      </c>
      <c r="O100" s="13">
        <f>N100*VLOOKUP('Données projet'!$B$9,Paramètres!$A$1:$I$89,3,0)*VLOOKUP('Données projet'!$B$9,Paramètres!$A$1:$I$89,5,0)</f>
        <v>333.87120000000004</v>
      </c>
      <c r="P100" s="13">
        <f t="shared" si="87"/>
        <v>78.232360111376309</v>
      </c>
      <c r="Q100" s="20">
        <f t="shared" si="107"/>
        <v>717.74703386064709</v>
      </c>
      <c r="R100" s="59">
        <f t="shared" si="55"/>
        <v>1011.0803671939805</v>
      </c>
      <c r="S100" s="59">
        <f ca="1">AVERAGE(OFFSET($R$3,0,0,'Données projet'!$E$9+1,1))-AVERAGE(OFFSET($H$3,0,0,'Données projet'!$E$9+1,1))</f>
        <v>436.4497226650281</v>
      </c>
      <c r="T100" s="59">
        <f t="shared" si="88"/>
        <v>611.43967996341871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2.8045709560854672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2.8045709560854672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630</v>
      </c>
      <c r="AJ100" s="13">
        <f>AI100*VLOOKUP('Données projet'!$B$10,Paramètres!$A$1:$I$89,3,0)*VLOOKUP('Données projet'!$B$10,Paramètres!$A$1:$I$89,5,0)</f>
        <v>550.36800000000005</v>
      </c>
      <c r="AK100" s="13">
        <f t="shared" si="89"/>
        <v>121.67271812244785</v>
      </c>
      <c r="AL100" s="20">
        <f t="shared" si="58"/>
        <v>1170.4709173965966</v>
      </c>
      <c r="AM100" s="59">
        <f t="shared" si="59"/>
        <v>1463.8042507299299</v>
      </c>
      <c r="AN100" s="59">
        <f ca="1">AVERAGE(OFFSET($AM$3,0,0,'Données projet'!$E$10+1,1))-AVERAGE(OFFSET($H$3,0,0,'Données projet'!$E$10+1,1))</f>
        <v>662.13838733542616</v>
      </c>
      <c r="AO100" s="59">
        <f t="shared" si="90"/>
        <v>1194.915361841041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8.503999999999996</v>
      </c>
      <c r="BD100" s="12">
        <f>IF('Données projet'!$A$88&gt;35,BD99+BC100-BL99,IF(A100&lt;'Données projet'!$A$88,$BA$205^A100,IF(A100='Données projet'!$A$88,'Données projet'!$B$88,BD99+BC100-BL99)))</f>
        <v>293.42800000000074</v>
      </c>
      <c r="BE100" s="13">
        <f>BD100*VLOOKUP('Données projet'!$B$11,Paramètres!$A$1:$I$89,3,0)*VLOOKUP('Données projet'!$B$11,Paramètres!$A$1:$I$89,5,0)</f>
        <v>137.32430400000035</v>
      </c>
      <c r="BF100" s="13">
        <f t="shared" si="91"/>
        <v>35.683354400255325</v>
      </c>
      <c r="BG100" s="20">
        <f t="shared" si="61"/>
        <v>301.32167171377864</v>
      </c>
      <c r="BH100" s="59">
        <f t="shared" si="62"/>
        <v>594.6550050471119</v>
      </c>
      <c r="BI100" s="59">
        <f ca="1">AVERAGE(OFFSET($BH$3,0,0,'Données projet'!$E$11+1,1))-AVERAGE(OFFSET($H$3,0,0,'Données projet'!$E$11+1,1))</f>
        <v>321.82962838167799</v>
      </c>
      <c r="BJ100" s="59">
        <f t="shared" si="92"/>
        <v>243.43396255104295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212.59273414210105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212.59273414210105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187.80389738728508</v>
      </c>
      <c r="CE100" s="59">
        <f t="shared" si="94"/>
        <v>439.28159165815265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32.76756870965071</v>
      </c>
      <c r="CL100" s="21">
        <f>EXP(-LN(2)/25)*CL99+(1-EXP(-LN(2)/25))/(LN(2)/25)*Calculateur!CG100*Calculateur!CI100*VLOOKUP('Données projet'!$B$12,Paramètres!$A$1:$I$89,3,0)*0.475*44/12</f>
        <v>2.2434543477733309</v>
      </c>
      <c r="CM100" s="21">
        <f>EXP(-LN(2)/2)*CM99+(1-EXP(-LN(2)/2))/(LN(2)/2)*CG100*CJ100*VLOOKUP('Données projet'!$B$12,Paramètres!$A$1:$I$89,3,0)*0.475*44/12</f>
        <v>3.7011852651085726E-12</v>
      </c>
      <c r="CN100" s="22">
        <f t="shared" si="66"/>
        <v>35.011023057427742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8.3920000000000012</v>
      </c>
      <c r="CT100" s="12">
        <f>IF('Données projet'!$A$140&gt;35,CT99+CS100-DB99,IF(A100&lt;'Données projet'!$A$140,$CQ$205^A100,IF(A100='Données projet'!$A$140,'Données projet'!$B$140,CT99+CS100-DB99)))</f>
        <v>343.45600000000024</v>
      </c>
      <c r="CU100" s="17">
        <f>CT100*VLOOKUP('Données projet'!$B$13,Paramètres!$A$1:$I$89,3,0)*VLOOKUP('Données projet'!$B$13,Paramètres!$A$1:$I$89,5,0)</f>
        <v>391.12769280000026</v>
      </c>
      <c r="CV100" s="13">
        <f t="shared" si="95"/>
        <v>89.975599690903195</v>
      </c>
      <c r="CW100" s="20">
        <f t="shared" si="67"/>
        <v>837.92156775499018</v>
      </c>
      <c r="CX100" s="59">
        <f t="shared" si="68"/>
        <v>1131.2549010883235</v>
      </c>
      <c r="CY100" s="59">
        <f ca="1">AVERAGE(OFFSET($CX$3,0,0,'Données projet'!$E$13+1,1))-AVERAGE(OFFSET($H$3,0,0,'Données projet'!$E$13+1,1))</f>
        <v>770.11410336045037</v>
      </c>
      <c r="CZ100" s="59">
        <f t="shared" si="96"/>
        <v>227.12611049004596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114.86507513934419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114.86507513934419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10.754999999999995</v>
      </c>
      <c r="DO100" s="12">
        <f>IF('Données projet'!$A$166&gt;35,DO99+DN100-DW99,IF(A100&lt;'Données projet'!$A$166,$DL$205^A100,IF(A100='Données projet'!$A$166,'Données projet'!$B$166,DO99+DN100-DW99)))</f>
        <v>483.40499999999969</v>
      </c>
      <c r="DP100" s="17">
        <f>DO100*VLOOKUP('Données projet'!$B$14,Paramètres!$A$1:$I$89,3,0)*VLOOKUP('Données projet'!$B$14,Paramètres!$A$1:$I$89,5,0)</f>
        <v>490.1726699999997</v>
      </c>
      <c r="DQ100" s="13">
        <f t="shared" si="97"/>
        <v>109.83595324955576</v>
      </c>
      <c r="DR100" s="20">
        <f t="shared" si="70"/>
        <v>1045.0150188263092</v>
      </c>
      <c r="DS100" s="59">
        <f t="shared" si="71"/>
        <v>1338.3483521596424</v>
      </c>
      <c r="DT100" s="59">
        <f ca="1">AVERAGE(OFFSET($DS$3,0,0,'Données projet'!$E$14+1,1))-AVERAGE(OFFSET($H$3,0,0,'Données projet'!$E$14+1,1))</f>
        <v>778.88878505968955</v>
      </c>
      <c r="DU100" s="59">
        <f t="shared" si="98"/>
        <v>279.20782832611059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126.31449979316342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126.31449979316342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369.00000000000011</v>
      </c>
      <c r="O101" s="13">
        <f>N101*VLOOKUP('Données projet'!$B$9,Paramètres!$A$1:$I$89,3,0)*VLOOKUP('Données projet'!$B$9,Paramètres!$A$1:$I$89,5,0)</f>
        <v>333.87120000000004</v>
      </c>
      <c r="P101" s="13">
        <f t="shared" si="87"/>
        <v>78.232360111376309</v>
      </c>
      <c r="Q101" s="20">
        <f t="shared" si="107"/>
        <v>717.74703386064709</v>
      </c>
      <c r="R101" s="59">
        <f t="shared" si="55"/>
        <v>1011.0803671939805</v>
      </c>
      <c r="S101" s="59">
        <f ca="1">AVERAGE(OFFSET($R$3,0,0,'Données projet'!$E$9+1,1))-AVERAGE(OFFSET($H$3,0,0,'Données projet'!$E$9+1,1))</f>
        <v>436.4497226650281</v>
      </c>
      <c r="T101" s="59">
        <f t="shared" si="88"/>
        <v>611.43967996341871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2.7495750302560049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2.7495750302560049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630</v>
      </c>
      <c r="AJ101" s="13">
        <f>AI101*VLOOKUP('Données projet'!$B$10,Paramètres!$A$1:$I$89,3,0)*VLOOKUP('Données projet'!$B$10,Paramètres!$A$1:$I$89,5,0)</f>
        <v>550.36800000000005</v>
      </c>
      <c r="AK101" s="13">
        <f t="shared" si="89"/>
        <v>121.67271812244785</v>
      </c>
      <c r="AL101" s="20">
        <f t="shared" si="58"/>
        <v>1170.4709173965966</v>
      </c>
      <c r="AM101" s="59">
        <f t="shared" si="59"/>
        <v>1463.8042507299299</v>
      </c>
      <c r="AN101" s="59">
        <f ca="1">AVERAGE(OFFSET($AM$3,0,0,'Données projet'!$E$10+1,1))-AVERAGE(OFFSET($H$3,0,0,'Données projet'!$E$10+1,1))</f>
        <v>662.13838733542616</v>
      </c>
      <c r="AO101" s="59">
        <f t="shared" si="90"/>
        <v>1194.915361841041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8.503999999999996</v>
      </c>
      <c r="BD101" s="12">
        <f>IF('Données projet'!$A$88&gt;35,BD100+BC101-BL100,IF(A101&lt;'Données projet'!$A$88,$BA$205^A101,IF(A101='Données projet'!$A$88,'Données projet'!$B$88,BD100+BC101-BL100)))</f>
        <v>301.93200000000076</v>
      </c>
      <c r="BE101" s="13">
        <f>BD101*VLOOKUP('Données projet'!$B$11,Paramètres!$A$1:$I$89,3,0)*VLOOKUP('Données projet'!$B$11,Paramètres!$A$1:$I$89,5,0)</f>
        <v>141.30417600000035</v>
      </c>
      <c r="BF101" s="13">
        <f t="shared" si="91"/>
        <v>36.595612479892004</v>
      </c>
      <c r="BG101" s="20">
        <f t="shared" si="61"/>
        <v>309.84213160247918</v>
      </c>
      <c r="BH101" s="59">
        <f t="shared" si="62"/>
        <v>603.17546493581244</v>
      </c>
      <c r="BI101" s="59">
        <f ca="1">AVERAGE(OFFSET($BH$3,0,0,'Données projet'!$E$11+1,1))-AVERAGE(OFFSET($H$3,0,0,'Données projet'!$E$11+1,1))</f>
        <v>321.82962838167799</v>
      </c>
      <c r="BJ101" s="59">
        <f t="shared" si="92"/>
        <v>243.43396255104295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208.42392029433856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208.42392029433856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187.80389738728508</v>
      </c>
      <c r="CE101" s="59">
        <f t="shared" si="94"/>
        <v>439.28159165815265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32.125016673497896</v>
      </c>
      <c r="CL101" s="21">
        <f>EXP(-LN(2)/25)*CL100+(1-EXP(-LN(2)/25))/(LN(2)/25)*Calculateur!CG101*Calculateur!CI101*VLOOKUP('Données projet'!$B$12,Paramètres!$A$1:$I$89,3,0)*0.475*44/12</f>
        <v>2.1821069706553327</v>
      </c>
      <c r="CM101" s="21">
        <f>EXP(-LN(2)/2)*CM100+(1-EXP(-LN(2)/2))/(LN(2)/2)*CG101*CJ101*VLOOKUP('Données projet'!$B$12,Paramètres!$A$1:$I$89,3,0)*0.475*44/12</f>
        <v>2.6171331993860014E-12</v>
      </c>
      <c r="CN101" s="22">
        <f t="shared" si="66"/>
        <v>34.307123644155844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8.3920000000000012</v>
      </c>
      <c r="CT101" s="12">
        <f>IF('Données projet'!$A$140&gt;35,CT100+CS101-DB100,IF(A101&lt;'Données projet'!$A$140,$CQ$205^A101,IF(A101='Données projet'!$A$140,'Données projet'!$B$140,CT100+CS101-DB100)))</f>
        <v>351.84800000000024</v>
      </c>
      <c r="CU101" s="17">
        <f>CT101*VLOOKUP('Données projet'!$B$13,Paramètres!$A$1:$I$89,3,0)*VLOOKUP('Données projet'!$B$13,Paramètres!$A$1:$I$89,5,0)</f>
        <v>400.68450240000027</v>
      </c>
      <c r="CV101" s="13">
        <f t="shared" si="95"/>
        <v>91.915423765858435</v>
      </c>
      <c r="CW101" s="20">
        <f t="shared" si="67"/>
        <v>857.94487140553736</v>
      </c>
      <c r="CX101" s="59">
        <f t="shared" si="68"/>
        <v>1151.2782047388707</v>
      </c>
      <c r="CY101" s="59">
        <f ca="1">AVERAGE(OFFSET($CX$3,0,0,'Données projet'!$E$13+1,1))-AVERAGE(OFFSET($H$3,0,0,'Données projet'!$E$13+1,1))</f>
        <v>770.11410336045037</v>
      </c>
      <c r="CZ101" s="59">
        <f t="shared" si="96"/>
        <v>227.12611049004596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112.61264107663955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112.61264107663955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10.754999999999995</v>
      </c>
      <c r="DO101" s="12">
        <f>IF('Données projet'!$A$166&gt;35,DO100+DN101-DW100,IF(A101&lt;'Données projet'!$A$166,$DL$205^A101,IF(A101='Données projet'!$A$166,'Données projet'!$B$166,DO100+DN101-DW100)))</f>
        <v>494.15999999999968</v>
      </c>
      <c r="DP101" s="17">
        <f>DO101*VLOOKUP('Données projet'!$B$14,Paramètres!$A$1:$I$89,3,0)*VLOOKUP('Données projet'!$B$14,Paramètres!$A$1:$I$89,5,0)</f>
        <v>501.07823999999965</v>
      </c>
      <c r="DQ101" s="13">
        <f t="shared" si="97"/>
        <v>111.99241321998743</v>
      </c>
      <c r="DR101" s="20">
        <f t="shared" si="70"/>
        <v>1067.7647210248108</v>
      </c>
      <c r="DS101" s="59">
        <f t="shared" si="71"/>
        <v>1361.0980543581441</v>
      </c>
      <c r="DT101" s="59">
        <f ca="1">AVERAGE(OFFSET($DS$3,0,0,'Données projet'!$E$14+1,1))-AVERAGE(OFFSET($H$3,0,0,'Données projet'!$E$14+1,1))</f>
        <v>778.88878505968955</v>
      </c>
      <c r="DU101" s="59">
        <f t="shared" si="98"/>
        <v>279.20782832611059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123.83754949645687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123.83754949645687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369.00000000000011</v>
      </c>
      <c r="O102" s="13">
        <f>N102*VLOOKUP('Données projet'!$B$9,Paramètres!$A$1:$I$89,3,0)*VLOOKUP('Données projet'!$B$9,Paramètres!$A$1:$I$89,5,0)</f>
        <v>333.87120000000004</v>
      </c>
      <c r="P102" s="13">
        <f t="shared" si="87"/>
        <v>78.232360111376309</v>
      </c>
      <c r="Q102" s="20">
        <f t="shared" si="107"/>
        <v>717.74703386064709</v>
      </c>
      <c r="R102" s="59">
        <f t="shared" si="55"/>
        <v>1011.0803671939805</v>
      </c>
      <c r="S102" s="59">
        <f ca="1">AVERAGE(OFFSET($R$3,0,0,'Données projet'!$E$9+1,1))-AVERAGE(OFFSET($H$3,0,0,'Données projet'!$E$9+1,1))</f>
        <v>436.4497226650281</v>
      </c>
      <c r="T102" s="59">
        <f t="shared" si="88"/>
        <v>611.43967996341871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2.6956575409878556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2.6956575409878556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630</v>
      </c>
      <c r="AJ102" s="13">
        <f>AI102*VLOOKUP('Données projet'!$B$10,Paramètres!$A$1:$I$89,3,0)*VLOOKUP('Données projet'!$B$10,Paramètres!$A$1:$I$89,5,0)</f>
        <v>550.36800000000005</v>
      </c>
      <c r="AK102" s="13">
        <f t="shared" si="89"/>
        <v>121.67271812244785</v>
      </c>
      <c r="AL102" s="20">
        <f t="shared" si="58"/>
        <v>1170.4709173965966</v>
      </c>
      <c r="AM102" s="59">
        <f t="shared" si="59"/>
        <v>1463.8042507299299</v>
      </c>
      <c r="AN102" s="59">
        <f ca="1">AVERAGE(OFFSET($AM$3,0,0,'Données projet'!$E$10+1,1))-AVERAGE(OFFSET($H$3,0,0,'Données projet'!$E$10+1,1))</f>
        <v>662.13838733542616</v>
      </c>
      <c r="AO102" s="59">
        <f t="shared" si="90"/>
        <v>1194.915361841041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8.503999999999996</v>
      </c>
      <c r="BD102" s="12">
        <f>IF('Données projet'!$A$88&gt;35,BD101+BC102-BL101,IF(A102&lt;'Données projet'!$A$88,$BA$205^A102,IF(A102='Données projet'!$A$88,'Données projet'!$B$88,BD101+BC102-BL101)))</f>
        <v>310.43600000000077</v>
      </c>
      <c r="BE102" s="13">
        <f>BD102*VLOOKUP('Données projet'!$B$11,Paramètres!$A$1:$I$89,3,0)*VLOOKUP('Données projet'!$B$11,Paramètres!$A$1:$I$89,5,0)</f>
        <v>145.28404800000035</v>
      </c>
      <c r="BF102" s="13">
        <f t="shared" si="91"/>
        <v>37.504884257185594</v>
      </c>
      <c r="BG102" s="20">
        <f t="shared" si="61"/>
        <v>318.35739034793215</v>
      </c>
      <c r="BH102" s="59">
        <f t="shared" si="62"/>
        <v>611.69072368126547</v>
      </c>
      <c r="BI102" s="59">
        <f ca="1">AVERAGE(OFFSET($BH$3,0,0,'Données projet'!$E$11+1,1))-AVERAGE(OFFSET($H$3,0,0,'Données projet'!$E$11+1,1))</f>
        <v>321.82962838167799</v>
      </c>
      <c r="BJ102" s="59">
        <f t="shared" si="92"/>
        <v>243.43396255104295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204.33685434340529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204.33685434340529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187.80389738728508</v>
      </c>
      <c r="CE102" s="59">
        <f t="shared" si="94"/>
        <v>439.28159165815265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31.495064690855994</v>
      </c>
      <c r="CL102" s="21">
        <f>EXP(-LN(2)/25)*CL101+(1-EXP(-LN(2)/25))/(LN(2)/25)*Calculateur!CG102*Calculateur!CI102*VLOOKUP('Données projet'!$B$12,Paramètres!$A$1:$I$89,3,0)*0.475*44/12</f>
        <v>2.1224371407907441</v>
      </c>
      <c r="CM102" s="21">
        <f>EXP(-LN(2)/2)*CM101+(1-EXP(-LN(2)/2))/(LN(2)/2)*CG102*CJ102*VLOOKUP('Données projet'!$B$12,Paramètres!$A$1:$I$89,3,0)*0.475*44/12</f>
        <v>1.8505926325542863E-12</v>
      </c>
      <c r="CN102" s="22">
        <f t="shared" si="66"/>
        <v>33.617501831648582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8.3920000000000012</v>
      </c>
      <c r="CT102" s="12">
        <f>IF('Données projet'!$A$140&gt;35,CT101+CS102-DB101,IF(A102&lt;'Données projet'!$A$140,$CQ$205^A102,IF(A102='Données projet'!$A$140,'Données projet'!$B$140,CT101+CS102-DB101)))</f>
        <v>360.24000000000024</v>
      </c>
      <c r="CU102" s="17">
        <f>CT102*VLOOKUP('Données projet'!$B$13,Paramètres!$A$1:$I$89,3,0)*VLOOKUP('Données projet'!$B$13,Paramètres!$A$1:$I$89,5,0)</f>
        <v>410.24131200000022</v>
      </c>
      <c r="CV102" s="13">
        <f t="shared" si="95"/>
        <v>93.849869274683385</v>
      </c>
      <c r="CW102" s="20">
        <f t="shared" si="67"/>
        <v>877.95880738674043</v>
      </c>
      <c r="CX102" s="59">
        <f t="shared" si="68"/>
        <v>1171.2921407200738</v>
      </c>
      <c r="CY102" s="59">
        <f ca="1">AVERAGE(OFFSET($CX$3,0,0,'Données projet'!$E$13+1,1))-AVERAGE(OFFSET($H$3,0,0,'Données projet'!$E$13+1,1))</f>
        <v>770.11410336045037</v>
      </c>
      <c r="CZ102" s="59">
        <f t="shared" si="96"/>
        <v>227.12611049004596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110.40437587205544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110.40437587205544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10.754999999999995</v>
      </c>
      <c r="DO102" s="12">
        <f>IF('Données projet'!$A$166&gt;35,DO101+DN102-DW101,IF(A102&lt;'Données projet'!$A$166,$DL$205^A102,IF(A102='Données projet'!$A$166,'Données projet'!$B$166,DO101+DN102-DW101)))</f>
        <v>504.91499999999968</v>
      </c>
      <c r="DP102" s="17">
        <f>DO102*VLOOKUP('Données projet'!$B$14,Paramètres!$A$1:$I$89,3,0)*VLOOKUP('Données projet'!$B$14,Paramètres!$A$1:$I$89,5,0)</f>
        <v>511.98380999999978</v>
      </c>
      <c r="DQ102" s="13">
        <f t="shared" si="97"/>
        <v>114.14341657363724</v>
      </c>
      <c r="DR102" s="20">
        <f t="shared" si="70"/>
        <v>1090.5049196157511</v>
      </c>
      <c r="DS102" s="59">
        <f t="shared" si="71"/>
        <v>1383.8382529490843</v>
      </c>
      <c r="DT102" s="59">
        <f ca="1">AVERAGE(OFFSET($DS$3,0,0,'Données projet'!$E$14+1,1))-AVERAGE(OFFSET($H$3,0,0,'Données projet'!$E$14+1,1))</f>
        <v>778.88878505968955</v>
      </c>
      <c r="DU102" s="59">
        <f t="shared" si="98"/>
        <v>279.20782832611059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121.40917068427824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121.40917068427824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369.00000000000011</v>
      </c>
      <c r="O103" s="13">
        <f>N103*VLOOKUP('Données projet'!$B$9,Paramètres!$A$1:$I$89,3,0)*VLOOKUP('Données projet'!$B$9,Paramètres!$A$1:$I$89,5,0)</f>
        <v>333.87120000000004</v>
      </c>
      <c r="P103" s="13">
        <f t="shared" si="87"/>
        <v>78.232360111376309</v>
      </c>
      <c r="Q103" s="20">
        <f t="shared" si="107"/>
        <v>717.74703386064709</v>
      </c>
      <c r="R103" s="59">
        <f t="shared" si="55"/>
        <v>1011.0803671939805</v>
      </c>
      <c r="S103" s="59">
        <f ca="1">AVERAGE(OFFSET($R$3,0,0,'Données projet'!$E$9+1,1))-AVERAGE(OFFSET($H$3,0,0,'Données projet'!$E$9+1,1))</f>
        <v>436.4497226650281</v>
      </c>
      <c r="T103" s="59">
        <f t="shared" si="88"/>
        <v>611.43967996341871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2.6427973407978338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2.6427973407978338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630</v>
      </c>
      <c r="AJ103" s="13">
        <f>AI103*VLOOKUP('Données projet'!$B$10,Paramètres!$A$1:$I$89,3,0)*VLOOKUP('Données projet'!$B$10,Paramètres!$A$1:$I$89,5,0)</f>
        <v>550.36800000000005</v>
      </c>
      <c r="AK103" s="13">
        <f t="shared" si="89"/>
        <v>121.67271812244785</v>
      </c>
      <c r="AL103" s="20">
        <f t="shared" si="58"/>
        <v>1170.4709173965966</v>
      </c>
      <c r="AM103" s="59">
        <f t="shared" si="59"/>
        <v>1463.8042507299299</v>
      </c>
      <c r="AN103" s="59">
        <f ca="1">AVERAGE(OFFSET($AM$3,0,0,'Données projet'!$E$10+1,1))-AVERAGE(OFFSET($H$3,0,0,'Données projet'!$E$10+1,1))</f>
        <v>662.13838733542616</v>
      </c>
      <c r="AO103" s="59">
        <f t="shared" si="90"/>
        <v>1194.915361841041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8.503999999999996</v>
      </c>
      <c r="BD103" s="12">
        <f>IF('Données projet'!$A$88&gt;35,BD102+BC103-BL102,IF(A103&lt;'Données projet'!$A$88,$BA$205^A103,IF(A103='Données projet'!$A$88,'Données projet'!$B$88,BD102+BC103-BL102)))</f>
        <v>318.94000000000079</v>
      </c>
      <c r="BE103" s="13">
        <f>BD103*VLOOKUP('Données projet'!$B$11,Paramètres!$A$1:$I$89,3,0)*VLOOKUP('Données projet'!$B$11,Paramètres!$A$1:$I$89,5,0)</f>
        <v>149.26392000000038</v>
      </c>
      <c r="BF103" s="13">
        <f t="shared" si="91"/>
        <v>38.41126093796224</v>
      </c>
      <c r="BG103" s="20">
        <f t="shared" si="61"/>
        <v>326.86760680028488</v>
      </c>
      <c r="BH103" s="59">
        <f t="shared" si="62"/>
        <v>620.20094013361813</v>
      </c>
      <c r="BI103" s="59">
        <f ca="1">AVERAGE(OFFSET($BH$3,0,0,'Données projet'!$E$11+1,1))-AVERAGE(OFFSET($H$3,0,0,'Données projet'!$E$11+1,1))</f>
        <v>321.82962838167799</v>
      </c>
      <c r="BJ103" s="59">
        <f t="shared" si="92"/>
        <v>243.43396255104295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200.32993326290577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200.32993326290577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187.80389738728508</v>
      </c>
      <c r="CE103" s="59">
        <f t="shared" si="94"/>
        <v>439.28159165815265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30.877465682360931</v>
      </c>
      <c r="CL103" s="21">
        <f>EXP(-LN(2)/25)*CL102+(1-EXP(-LN(2)/25))/(LN(2)/25)*Calculateur!CG103*Calculateur!CI103*VLOOKUP('Données projet'!$B$12,Paramètres!$A$1:$I$89,3,0)*0.475*44/12</f>
        <v>2.0643989855617026</v>
      </c>
      <c r="CM103" s="21">
        <f>EXP(-LN(2)/2)*CM102+(1-EXP(-LN(2)/2))/(LN(2)/2)*CG103*CJ103*VLOOKUP('Données projet'!$B$12,Paramètres!$A$1:$I$89,3,0)*0.475*44/12</f>
        <v>1.3085665996930007E-12</v>
      </c>
      <c r="CN103" s="22">
        <f t="shared" si="66"/>
        <v>32.941864667923944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8.3920000000000012</v>
      </c>
      <c r="CT103" s="12">
        <f>IF('Données projet'!$A$140&gt;35,CT102+CS103-DB102,IF(A103&lt;'Données projet'!$A$140,$CQ$205^A103,IF(A103='Données projet'!$A$140,'Données projet'!$B$140,CT102+CS103-DB102)))</f>
        <v>368.63200000000023</v>
      </c>
      <c r="CU103" s="17">
        <f>CT103*VLOOKUP('Données projet'!$B$13,Paramètres!$A$1:$I$89,3,0)*VLOOKUP('Données projet'!$B$13,Paramètres!$A$1:$I$89,5,0)</f>
        <v>419.79812160000029</v>
      </c>
      <c r="CV103" s="13">
        <f t="shared" si="95"/>
        <v>95.779075934813534</v>
      </c>
      <c r="CW103" s="20">
        <f t="shared" si="67"/>
        <v>897.96361903980085</v>
      </c>
      <c r="CX103" s="59">
        <f t="shared" si="68"/>
        <v>1191.2969523731342</v>
      </c>
      <c r="CY103" s="59">
        <f ca="1">AVERAGE(OFFSET($CX$3,0,0,'Données projet'!$E$13+1,1))-AVERAGE(OFFSET($H$3,0,0,'Données projet'!$E$13+1,1))</f>
        <v>770.11410336045037</v>
      </c>
      <c r="CZ103" s="59">
        <f t="shared" si="96"/>
        <v>227.12611049004596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108.23941340122444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108.23941340122444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515.66999999999996</v>
      </c>
      <c r="DM103" s="12">
        <f>VLOOKUP(A103,'Données projet'!$A$165:$I$185,9,0)</f>
        <v>10.754999999999995</v>
      </c>
      <c r="DN103" s="12">
        <f t="array" ref="DN103">INDEX(DM:DM,MIN(IF(ISNUMBER(DM103:DM299),ROW(DM103:DM299),"")))</f>
        <v>10.754999999999995</v>
      </c>
      <c r="DO103" s="12">
        <f>IF('Données projet'!$A$166&gt;35,DO102+DN103-DW102,IF(A103&lt;'Données projet'!$A$166,$DL$205^A103,IF(A103='Données projet'!$A$166,'Données projet'!$B$166,DO102+DN103-DW102)))</f>
        <v>515.66999999999962</v>
      </c>
      <c r="DP103" s="17">
        <f>DO103*VLOOKUP('Données projet'!$B$14,Paramètres!$A$1:$I$89,3,0)*VLOOKUP('Données projet'!$B$14,Paramètres!$A$1:$I$89,5,0)</f>
        <v>522.88937999999962</v>
      </c>
      <c r="DQ103" s="13">
        <f t="shared" si="97"/>
        <v>116.28909292795402</v>
      </c>
      <c r="DR103" s="20">
        <f t="shared" si="70"/>
        <v>1113.2358403495193</v>
      </c>
      <c r="DS103" s="59">
        <f t="shared" si="71"/>
        <v>1406.5691736828526</v>
      </c>
      <c r="DT103" s="59">
        <f ca="1">AVERAGE(OFFSET($DS$3,0,0,'Données projet'!$E$14+1,1))-AVERAGE(OFFSET($H$3,0,0,'Données projet'!$E$14+1,1))</f>
        <v>778.88878505968955</v>
      </c>
      <c r="DU103" s="59">
        <f t="shared" si="98"/>
        <v>279.20782832611059</v>
      </c>
      <c r="DV103" s="15">
        <f>IF(ISNA(VLOOKUP(A103,'Données projet'!$A$165:$I$185,3,0)),0,VLOOKUP(A103,'Données projet'!$A$165:$I$185,3,0))</f>
        <v>9</v>
      </c>
      <c r="DW103" s="15">
        <f>IF(ISNA(VLOOKUP(A103,'Données projet'!$A$165:$I$185,4,0)),0,VLOOKUP(A103,'Données projet'!$A$165:$I$185,4,0))</f>
        <v>85.23</v>
      </c>
      <c r="DX103" s="16">
        <f>IF(ISNA(VLOOKUP(A103,'Données projet'!$A$165:$I$185,5,0)),0%,VLOOKUP(A103,'Données projet'!$A$165:$I$185,5,0)*VLOOKUP('Données projet'!$B$14,Paramètres!$A$1:$I$89,7,0))</f>
        <v>0.43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160.10988411940124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160.10988411940124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369.00000000000011</v>
      </c>
      <c r="O104" s="13">
        <f>N104*VLOOKUP('Données projet'!$B$9,Paramètres!$A$1:$I$89,3,0)*VLOOKUP('Données projet'!$B$9,Paramètres!$A$1:$I$89,5,0)</f>
        <v>333.87120000000004</v>
      </c>
      <c r="P104" s="13">
        <f t="shared" si="87"/>
        <v>78.232360111376309</v>
      </c>
      <c r="Q104" s="20">
        <f t="shared" si="107"/>
        <v>717.74703386064709</v>
      </c>
      <c r="R104" s="59">
        <f t="shared" si="55"/>
        <v>1011.0803671939805</v>
      </c>
      <c r="S104" s="59">
        <f ca="1">AVERAGE(OFFSET($R$3,0,0,'Données projet'!$E$9+1,1))-AVERAGE(OFFSET($H$3,0,0,'Données projet'!$E$9+1,1))</f>
        <v>436.4497226650281</v>
      </c>
      <c r="T104" s="59">
        <f t="shared" si="88"/>
        <v>611.43967996341871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2.5909736968919996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2.5909736968919996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630</v>
      </c>
      <c r="AJ104" s="13">
        <f>AI104*VLOOKUP('Données projet'!$B$10,Paramètres!$A$1:$I$89,3,0)*VLOOKUP('Données projet'!$B$10,Paramètres!$A$1:$I$89,5,0)</f>
        <v>550.36800000000005</v>
      </c>
      <c r="AK104" s="13">
        <f t="shared" si="89"/>
        <v>121.67271812244785</v>
      </c>
      <c r="AL104" s="20">
        <f t="shared" si="58"/>
        <v>1170.4709173965966</v>
      </c>
      <c r="AM104" s="59">
        <f t="shared" si="59"/>
        <v>1463.8042507299299</v>
      </c>
      <c r="AN104" s="59">
        <f ca="1">AVERAGE(OFFSET($AM$3,0,0,'Données projet'!$E$10+1,1))-AVERAGE(OFFSET($H$3,0,0,'Données projet'!$E$10+1,1))</f>
        <v>662.13838733542616</v>
      </c>
      <c r="AO104" s="59">
        <f t="shared" si="90"/>
        <v>1194.915361841041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8.503999999999996</v>
      </c>
      <c r="BD104" s="12">
        <f>IF('Données projet'!$A$88&gt;35,BD103+BC104-BL103,IF(A104&lt;'Données projet'!$A$88,$BA$205^A104,IF(A104='Données projet'!$A$88,'Données projet'!$B$88,BD103+BC104-BL103)))</f>
        <v>327.44400000000081</v>
      </c>
      <c r="BE104" s="13">
        <f>BD104*VLOOKUP('Données projet'!$B$11,Paramètres!$A$1:$I$89,3,0)*VLOOKUP('Données projet'!$B$11,Paramètres!$A$1:$I$89,5,0)</f>
        <v>153.24379200000038</v>
      </c>
      <c r="BF104" s="13">
        <f t="shared" si="91"/>
        <v>39.314828587418958</v>
      </c>
      <c r="BG104" s="20">
        <f t="shared" si="61"/>
        <v>335.37293085642199</v>
      </c>
      <c r="BH104" s="59">
        <f t="shared" si="62"/>
        <v>628.7062641897553</v>
      </c>
      <c r="BI104" s="59">
        <f ca="1">AVERAGE(OFFSET($BH$3,0,0,'Données projet'!$E$11+1,1))-AVERAGE(OFFSET($H$3,0,0,'Données projet'!$E$11+1,1))</f>
        <v>321.82962838167799</v>
      </c>
      <c r="BJ104" s="59">
        <f t="shared" si="92"/>
        <v>243.43396255104295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196.40158546081429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196.40158546081429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187.80389738728508</v>
      </c>
      <c r="CE104" s="59">
        <f t="shared" si="94"/>
        <v>439.28159165815265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30.271977413724258</v>
      </c>
      <c r="CL104" s="21">
        <f>EXP(-LN(2)/25)*CL103+(1-EXP(-LN(2)/25))/(LN(2)/25)*Calculateur!CG104*Calculateur!CI104*VLOOKUP('Données projet'!$B$12,Paramètres!$A$1:$I$89,3,0)*0.475*44/12</f>
        <v>2.0079478867394935</v>
      </c>
      <c r="CM104" s="21">
        <f>EXP(-LN(2)/2)*CM103+(1-EXP(-LN(2)/2))/(LN(2)/2)*CG104*CJ104*VLOOKUP('Données projet'!$B$12,Paramètres!$A$1:$I$89,3,0)*0.475*44/12</f>
        <v>9.2529631627714316E-13</v>
      </c>
      <c r="CN104" s="22">
        <f t="shared" si="66"/>
        <v>32.279925300464676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8.3920000000000012</v>
      </c>
      <c r="CT104" s="12">
        <f>IF('Données projet'!$A$140&gt;35,CT103+CS104-DB103,IF(A104&lt;'Données projet'!$A$140,$CQ$205^A104,IF(A104='Données projet'!$A$140,'Données projet'!$B$140,CT103+CS104-DB103)))</f>
        <v>377.02400000000023</v>
      </c>
      <c r="CU104" s="17">
        <f>CT104*VLOOKUP('Données projet'!$B$13,Paramètres!$A$1:$I$89,3,0)*VLOOKUP('Données projet'!$B$13,Paramètres!$A$1:$I$89,5,0)</f>
        <v>429.35493120000024</v>
      </c>
      <c r="CV104" s="13">
        <f t="shared" si="95"/>
        <v>97.703176739209823</v>
      </c>
      <c r="CW104" s="20">
        <f t="shared" si="67"/>
        <v>917.95953799412416</v>
      </c>
      <c r="CX104" s="59">
        <f t="shared" si="68"/>
        <v>1211.2928713274575</v>
      </c>
      <c r="CY104" s="59">
        <f ca="1">AVERAGE(OFFSET($CX$3,0,0,'Données projet'!$E$13+1,1))-AVERAGE(OFFSET($H$3,0,0,'Données projet'!$E$13+1,1))</f>
        <v>770.11410336045037</v>
      </c>
      <c r="CZ104" s="59">
        <f t="shared" si="96"/>
        <v>227.12611049004596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106.11690452394971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106.11690452394971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10.060000000000002</v>
      </c>
      <c r="DO104" s="12">
        <f>IF('Données projet'!$A$166&gt;35,DO103+DN104-DW103,IF(A104&lt;'Données projet'!$A$166,$DL$205^A104,IF(A104='Données projet'!$A$166,'Données projet'!$B$166,DO103+DN104-DW103)))</f>
        <v>440.49999999999955</v>
      </c>
      <c r="DP104" s="17">
        <f>DO104*VLOOKUP('Données projet'!$B$14,Paramètres!$A$1:$I$89,3,0)*VLOOKUP('Données projet'!$B$14,Paramètres!$A$1:$I$89,5,0)</f>
        <v>446.66699999999958</v>
      </c>
      <c r="DQ104" s="13">
        <f t="shared" si="97"/>
        <v>101.1760710219432</v>
      </c>
      <c r="DR104" s="20">
        <f t="shared" si="70"/>
        <v>954.16001536321698</v>
      </c>
      <c r="DS104" s="59">
        <f t="shared" si="71"/>
        <v>1247.4933486965504</v>
      </c>
      <c r="DT104" s="59">
        <f ca="1">AVERAGE(OFFSET($DS$3,0,0,'Données projet'!$E$14+1,1))-AVERAGE(OFFSET($H$3,0,0,'Données projet'!$E$14+1,1))</f>
        <v>778.88878505968955</v>
      </c>
      <c r="DU104" s="59">
        <f t="shared" si="98"/>
        <v>279.20782832611059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156.97022694920622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156.97022694920622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369.00000000000011</v>
      </c>
      <c r="O105" s="13">
        <f>N105*VLOOKUP('Données projet'!$B$9,Paramètres!$A$1:$I$89,3,0)*VLOOKUP('Données projet'!$B$9,Paramètres!$A$1:$I$89,5,0)</f>
        <v>333.87120000000004</v>
      </c>
      <c r="P105" s="13">
        <f t="shared" si="87"/>
        <v>78.232360111376309</v>
      </c>
      <c r="Q105" s="20">
        <f t="shared" si="107"/>
        <v>717.74703386064709</v>
      </c>
      <c r="R105" s="59">
        <f t="shared" si="55"/>
        <v>1011.0803671939805</v>
      </c>
      <c r="S105" s="59">
        <f ca="1">AVERAGE(OFFSET($R$3,0,0,'Données projet'!$E$9+1,1))-AVERAGE(OFFSET($H$3,0,0,'Données projet'!$E$9+1,1))</f>
        <v>436.4497226650281</v>
      </c>
      <c r="T105" s="59">
        <f t="shared" si="88"/>
        <v>611.43967996341871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2.5401662830338574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2.5401662830338574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630</v>
      </c>
      <c r="AJ105" s="13">
        <f>AI105*VLOOKUP('Données projet'!$B$10,Paramètres!$A$1:$I$89,3,0)*VLOOKUP('Données projet'!$B$10,Paramètres!$A$1:$I$89,5,0)</f>
        <v>550.36800000000005</v>
      </c>
      <c r="AK105" s="13">
        <f t="shared" si="89"/>
        <v>121.67271812244785</v>
      </c>
      <c r="AL105" s="20">
        <f t="shared" si="58"/>
        <v>1170.4709173965966</v>
      </c>
      <c r="AM105" s="59">
        <f t="shared" si="59"/>
        <v>1463.8042507299299</v>
      </c>
      <c r="AN105" s="59">
        <f ca="1">AVERAGE(OFFSET($AM$3,0,0,'Données projet'!$E$10+1,1))-AVERAGE(OFFSET($H$3,0,0,'Données projet'!$E$10+1,1))</f>
        <v>662.13838733542616</v>
      </c>
      <c r="AO105" s="59">
        <f t="shared" si="90"/>
        <v>1194.915361841041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8.503999999999996</v>
      </c>
      <c r="BD105" s="12">
        <f>IF('Données projet'!$A$88&gt;35,BD104+BC105-BL104,IF(A105&lt;'Données projet'!$A$88,$BA$205^A105,IF(A105='Données projet'!$A$88,'Données projet'!$B$88,BD104+BC105-BL104)))</f>
        <v>335.94800000000083</v>
      </c>
      <c r="BE105" s="13">
        <f>BD105*VLOOKUP('Données projet'!$B$11,Paramètres!$A$1:$I$89,3,0)*VLOOKUP('Données projet'!$B$11,Paramètres!$A$1:$I$89,5,0)</f>
        <v>157.22366400000038</v>
      </c>
      <c r="BF105" s="13">
        <f t="shared" si="91"/>
        <v>40.215668545744137</v>
      </c>
      <c r="BG105" s="20">
        <f t="shared" si="61"/>
        <v>343.87350418383835</v>
      </c>
      <c r="BH105" s="59">
        <f t="shared" si="62"/>
        <v>637.20683751717161</v>
      </c>
      <c r="BI105" s="59">
        <f ca="1">AVERAGE(OFFSET($BH$3,0,0,'Données projet'!$E$11+1,1))-AVERAGE(OFFSET($H$3,0,0,'Données projet'!$E$11+1,1))</f>
        <v>321.82962838167799</v>
      </c>
      <c r="BJ105" s="59">
        <f t="shared" si="92"/>
        <v>243.43396255104295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192.55027016306627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192.55027016306627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187.80389738728508</v>
      </c>
      <c r="CE105" s="59">
        <f t="shared" si="94"/>
        <v>439.28159165815265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29.678362400724172</v>
      </c>
      <c r="CL105" s="21">
        <f>EXP(-LN(2)/25)*CL104+(1-EXP(-LN(2)/25))/(LN(2)/25)*Calculateur!CG105*Calculateur!CI105*VLOOKUP('Données projet'!$B$12,Paramètres!$A$1:$I$89,3,0)*0.475*44/12</f>
        <v>1.953040446183212</v>
      </c>
      <c r="CM105" s="21">
        <f>EXP(-LN(2)/2)*CM104+(1-EXP(-LN(2)/2))/(LN(2)/2)*CG105*CJ105*VLOOKUP('Données projet'!$B$12,Paramètres!$A$1:$I$89,3,0)*0.475*44/12</f>
        <v>6.5428329984650034E-13</v>
      </c>
      <c r="CN105" s="22">
        <f t="shared" si="66"/>
        <v>31.631402846908038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8.3920000000000012</v>
      </c>
      <c r="CT105" s="12">
        <f>IF('Données projet'!$A$140&gt;35,CT104+CS105-DB104,IF(A105&lt;'Données projet'!$A$140,$CQ$205^A105,IF(A105='Données projet'!$A$140,'Données projet'!$B$140,CT104+CS105-DB104)))</f>
        <v>385.41600000000022</v>
      </c>
      <c r="CU105" s="17">
        <f>CT105*VLOOKUP('Données projet'!$B$13,Paramètres!$A$1:$I$89,3,0)*VLOOKUP('Données projet'!$B$13,Paramètres!$A$1:$I$89,5,0)</f>
        <v>438.9117408000003</v>
      </c>
      <c r="CV105" s="13">
        <f t="shared" si="95"/>
        <v>99.622298422362391</v>
      </c>
      <c r="CW105" s="20">
        <f t="shared" si="67"/>
        <v>937.94678497894836</v>
      </c>
      <c r="CX105" s="59">
        <f t="shared" si="68"/>
        <v>1231.2801183122817</v>
      </c>
      <c r="CY105" s="59">
        <f ca="1">AVERAGE(OFFSET($CX$3,0,0,'Données projet'!$E$13+1,1))-AVERAGE(OFFSET($H$3,0,0,'Données projet'!$E$13+1,1))</f>
        <v>770.11410336045037</v>
      </c>
      <c r="CZ105" s="59">
        <f t="shared" si="96"/>
        <v>227.12611049004596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104.03601675115577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104.03601675115577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10.060000000000002</v>
      </c>
      <c r="DO105" s="12">
        <f>IF('Données projet'!$A$166&gt;35,DO104+DN105-DW104,IF(A105&lt;'Données projet'!$A$166,$DL$205^A105,IF(A105='Données projet'!$A$166,'Données projet'!$B$166,DO104+DN105-DW104)))</f>
        <v>450.55999999999955</v>
      </c>
      <c r="DP105" s="17">
        <f>DO105*VLOOKUP('Données projet'!$B$14,Paramètres!$A$1:$I$89,3,0)*VLOOKUP('Données projet'!$B$14,Paramètres!$A$1:$I$89,5,0)</f>
        <v>456.86783999999955</v>
      </c>
      <c r="DQ105" s="13">
        <f t="shared" si="97"/>
        <v>103.21505029704727</v>
      </c>
      <c r="DR105" s="20">
        <f t="shared" si="70"/>
        <v>975.47770060068979</v>
      </c>
      <c r="DS105" s="59">
        <f t="shared" si="71"/>
        <v>1268.811033934023</v>
      </c>
      <c r="DT105" s="59">
        <f ca="1">AVERAGE(OFFSET($DS$3,0,0,'Données projet'!$E$14+1,1))-AVERAGE(OFFSET($H$3,0,0,'Données projet'!$E$14+1,1))</f>
        <v>778.88878505968955</v>
      </c>
      <c r="DU105" s="59">
        <f t="shared" si="98"/>
        <v>279.20782832611059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153.89213654111694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153.89213654111694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369.00000000000011</v>
      </c>
      <c r="O106" s="13">
        <f>N106*VLOOKUP('Données projet'!$B$9,Paramètres!$A$1:$I$89,3,0)*VLOOKUP('Données projet'!$B$9,Paramètres!$A$1:$I$89,5,0)</f>
        <v>333.87120000000004</v>
      </c>
      <c r="P106" s="13">
        <f t="shared" si="87"/>
        <v>78.232360111376309</v>
      </c>
      <c r="Q106" s="20">
        <f t="shared" si="107"/>
        <v>717.74703386064709</v>
      </c>
      <c r="R106" s="59">
        <f t="shared" si="55"/>
        <v>1011.0803671939805</v>
      </c>
      <c r="S106" s="59">
        <f ca="1">AVERAGE(OFFSET($R$3,0,0,'Données projet'!$E$9+1,1))-AVERAGE(OFFSET($H$3,0,0,'Données projet'!$E$9+1,1))</f>
        <v>436.4497226650281</v>
      </c>
      <c r="T106" s="59">
        <f t="shared" si="88"/>
        <v>611.43967996341871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2.4903551715720105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2.4903551715720105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630</v>
      </c>
      <c r="AJ106" s="13">
        <f>AI106*VLOOKUP('Données projet'!$B$10,Paramètres!$A$1:$I$89,3,0)*VLOOKUP('Données projet'!$B$10,Paramètres!$A$1:$I$89,5,0)</f>
        <v>550.36800000000005</v>
      </c>
      <c r="AK106" s="13">
        <f t="shared" si="89"/>
        <v>121.67271812244785</v>
      </c>
      <c r="AL106" s="20">
        <f t="shared" si="58"/>
        <v>1170.4709173965966</v>
      </c>
      <c r="AM106" s="59">
        <f t="shared" si="59"/>
        <v>1463.8042507299299</v>
      </c>
      <c r="AN106" s="59">
        <f ca="1">AVERAGE(OFFSET($AM$3,0,0,'Données projet'!$E$10+1,1))-AVERAGE(OFFSET($H$3,0,0,'Données projet'!$E$10+1,1))</f>
        <v>662.13838733542616</v>
      </c>
      <c r="AO106" s="59">
        <f t="shared" si="90"/>
        <v>1194.915361841041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8.503999999999996</v>
      </c>
      <c r="BD106" s="12">
        <f>IF('Données projet'!$A$88&gt;35,BD105+BC106-BL105,IF(A106&lt;'Données projet'!$A$88,$BA$205^A106,IF(A106='Données projet'!$A$88,'Données projet'!$B$88,BD105+BC106-BL105)))</f>
        <v>344.45200000000085</v>
      </c>
      <c r="BE106" s="13">
        <f>BD106*VLOOKUP('Données projet'!$B$11,Paramètres!$A$1:$I$89,3,0)*VLOOKUP('Données projet'!$B$11,Paramètres!$A$1:$I$89,5,0)</f>
        <v>161.20353600000038</v>
      </c>
      <c r="BF106" s="13">
        <f t="shared" si="91"/>
        <v>41.113857800470228</v>
      </c>
      <c r="BG106" s="20">
        <f t="shared" si="61"/>
        <v>352.36946086915287</v>
      </c>
      <c r="BH106" s="59">
        <f t="shared" si="62"/>
        <v>645.70279420248619</v>
      </c>
      <c r="BI106" s="59">
        <f ca="1">AVERAGE(OFFSET($BH$3,0,0,'Données projet'!$E$11+1,1))-AVERAGE(OFFSET($H$3,0,0,'Données projet'!$E$11+1,1))</f>
        <v>321.82962838167799</v>
      </c>
      <c r="BJ106" s="59">
        <f t="shared" si="92"/>
        <v>243.43396255104295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188.77447680923672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188.77447680923672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187.80389738728508</v>
      </c>
      <c r="CE106" s="59">
        <f t="shared" si="94"/>
        <v>439.28159165815265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29.096387816059611</v>
      </c>
      <c r="CL106" s="21">
        <f>EXP(-LN(2)/25)*CL105+(1-EXP(-LN(2)/25))/(LN(2)/25)*Calculateur!CG106*Calculateur!CI106*VLOOKUP('Données projet'!$B$12,Paramètres!$A$1:$I$89,3,0)*0.475*44/12</f>
        <v>1.8996344524763988</v>
      </c>
      <c r="CM106" s="21">
        <f>EXP(-LN(2)/2)*CM105+(1-EXP(-LN(2)/2))/(LN(2)/2)*CG106*CJ106*VLOOKUP('Données projet'!$B$12,Paramètres!$A$1:$I$89,3,0)*0.475*44/12</f>
        <v>4.6264815813857158E-13</v>
      </c>
      <c r="CN106" s="22">
        <f t="shared" si="66"/>
        <v>30.996022268536471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8.3920000000000012</v>
      </c>
      <c r="CT106" s="12">
        <f>IF('Données projet'!$A$140&gt;35,CT105+CS106-DB105,IF(A106&lt;'Données projet'!$A$140,$CQ$205^A106,IF(A106='Données projet'!$A$140,'Données projet'!$B$140,CT105+CS106-DB105)))</f>
        <v>393.80800000000022</v>
      </c>
      <c r="CU106" s="17">
        <f>CT106*VLOOKUP('Données projet'!$B$13,Paramètres!$A$1:$I$89,3,0)*VLOOKUP('Données projet'!$B$13,Paramètres!$A$1:$I$89,5,0)</f>
        <v>448.46855040000025</v>
      </c>
      <c r="CV106" s="13">
        <f t="shared" si="95"/>
        <v>101.53656188456287</v>
      </c>
      <c r="CW106" s="20">
        <f t="shared" si="67"/>
        <v>957.92557056228054</v>
      </c>
      <c r="CX106" s="59">
        <f t="shared" si="68"/>
        <v>1251.2589038956139</v>
      </c>
      <c r="CY106" s="59">
        <f ca="1">AVERAGE(OFFSET($CX$3,0,0,'Données projet'!$E$13+1,1))-AVERAGE(OFFSET($H$3,0,0,'Données projet'!$E$13+1,1))</f>
        <v>770.11410336045037</v>
      </c>
      <c r="CZ106" s="59">
        <f t="shared" si="96"/>
        <v>227.12611049004596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101.9959339183701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101.9959339183701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10.060000000000002</v>
      </c>
      <c r="DO106" s="12">
        <f>IF('Données projet'!$A$166&gt;35,DO105+DN106-DW105,IF(A106&lt;'Données projet'!$A$166,$DL$205^A106,IF(A106='Données projet'!$A$166,'Données projet'!$B$166,DO105+DN106-DW105)))</f>
        <v>460.61999999999955</v>
      </c>
      <c r="DP106" s="17">
        <f>DO106*VLOOKUP('Données projet'!$B$14,Paramètres!$A$1:$I$89,3,0)*VLOOKUP('Données projet'!$B$14,Paramètres!$A$1:$I$89,5,0)</f>
        <v>467.06867999999963</v>
      </c>
      <c r="DQ106" s="13">
        <f t="shared" si="97"/>
        <v>105.2487367774614</v>
      </c>
      <c r="DR106" s="20">
        <f t="shared" si="70"/>
        <v>996.78616755407802</v>
      </c>
      <c r="DS106" s="59">
        <f t="shared" si="71"/>
        <v>1290.1195008874113</v>
      </c>
      <c r="DT106" s="59">
        <f ca="1">AVERAGE(OFFSET($DS$3,0,0,'Données projet'!$E$14+1,1))-AVERAGE(OFFSET($H$3,0,0,'Données projet'!$E$14+1,1))</f>
        <v>778.88878505968955</v>
      </c>
      <c r="DU106" s="59">
        <f t="shared" si="98"/>
        <v>279.20782832611059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150.87440560848054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150.87440560848054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369.00000000000011</v>
      </c>
      <c r="O107" s="13">
        <f>N107*VLOOKUP('Données projet'!$B$9,Paramètres!$A$1:$I$89,3,0)*VLOOKUP('Données projet'!$B$9,Paramètres!$A$1:$I$89,5,0)</f>
        <v>333.87120000000004</v>
      </c>
      <c r="P107" s="13">
        <f t="shared" si="87"/>
        <v>78.232360111376309</v>
      </c>
      <c r="Q107" s="20">
        <f t="shared" si="107"/>
        <v>717.74703386064709</v>
      </c>
      <c r="R107" s="59">
        <f t="shared" si="55"/>
        <v>1011.0803671939805</v>
      </c>
      <c r="S107" s="59">
        <f ca="1">AVERAGE(OFFSET($R$3,0,0,'Données projet'!$E$9+1,1))-AVERAGE(OFFSET($H$3,0,0,'Données projet'!$E$9+1,1))</f>
        <v>436.4497226650281</v>
      </c>
      <c r="T107" s="59">
        <f t="shared" si="88"/>
        <v>611.43967996341871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2.4415208256241523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2.4415208256241523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630</v>
      </c>
      <c r="AJ107" s="13">
        <f>AI107*VLOOKUP('Données projet'!$B$10,Paramètres!$A$1:$I$89,3,0)*VLOOKUP('Données projet'!$B$10,Paramètres!$A$1:$I$89,5,0)</f>
        <v>550.36800000000005</v>
      </c>
      <c r="AK107" s="13">
        <f t="shared" si="89"/>
        <v>121.67271812244785</v>
      </c>
      <c r="AL107" s="20">
        <f t="shared" si="58"/>
        <v>1170.4709173965966</v>
      </c>
      <c r="AM107" s="59">
        <f t="shared" si="59"/>
        <v>1463.8042507299299</v>
      </c>
      <c r="AN107" s="59">
        <f ca="1">AVERAGE(OFFSET($AM$3,0,0,'Données projet'!$E$10+1,1))-AVERAGE(OFFSET($H$3,0,0,'Données projet'!$E$10+1,1))</f>
        <v>662.13838733542616</v>
      </c>
      <c r="AO107" s="59">
        <f t="shared" si="90"/>
        <v>1194.915361841041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8.503999999999996</v>
      </c>
      <c r="BD107" s="12">
        <f>IF('Données projet'!$A$88&gt;35,BD106+BC107-BL106,IF(A107&lt;'Données projet'!$A$88,$BA$205^A107,IF(A107='Données projet'!$A$88,'Données projet'!$B$88,BD106+BC107-BL106)))</f>
        <v>352.95600000000087</v>
      </c>
      <c r="BE107" s="13">
        <f>BD107*VLOOKUP('Données projet'!$B$11,Paramètres!$A$1:$I$89,3,0)*VLOOKUP('Données projet'!$B$11,Paramètres!$A$1:$I$89,5,0)</f>
        <v>165.18340800000041</v>
      </c>
      <c r="BF107" s="13">
        <f t="shared" si="91"/>
        <v>42.009469321019871</v>
      </c>
      <c r="BG107" s="20">
        <f t="shared" si="61"/>
        <v>360.86092800077699</v>
      </c>
      <c r="BH107" s="59">
        <f t="shared" si="62"/>
        <v>654.19426133411025</v>
      </c>
      <c r="BI107" s="59">
        <f ca="1">AVERAGE(OFFSET($BH$3,0,0,'Données projet'!$E$11+1,1))-AVERAGE(OFFSET($H$3,0,0,'Données projet'!$E$11+1,1))</f>
        <v>321.82962838167799</v>
      </c>
      <c r="BJ107" s="59">
        <f t="shared" si="92"/>
        <v>243.43396255104295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185.0727244600692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185.0727244600692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187.80389738728508</v>
      </c>
      <c r="CE107" s="59">
        <f t="shared" si="94"/>
        <v>439.28159165815265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28.525825398030875</v>
      </c>
      <c r="CL107" s="21">
        <f>EXP(-LN(2)/25)*CL106+(1-EXP(-LN(2)/25))/(LN(2)/25)*Calculateur!CG107*Calculateur!CI107*VLOOKUP('Données projet'!$B$12,Paramètres!$A$1:$I$89,3,0)*0.475*44/12</f>
        <v>1.8476888484759975</v>
      </c>
      <c r="CM107" s="21">
        <f>EXP(-LN(2)/2)*CM106+(1-EXP(-LN(2)/2))/(LN(2)/2)*CG107*CJ107*VLOOKUP('Données projet'!$B$12,Paramètres!$A$1:$I$89,3,0)*0.475*44/12</f>
        <v>3.2714164992325017E-13</v>
      </c>
      <c r="CN107" s="22">
        <f t="shared" si="66"/>
        <v>30.373514246507199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8.3920000000000012</v>
      </c>
      <c r="CS107" s="12">
        <f t="array" ref="CS107">INDEX(CR:CR,MIN(IF(ISNUMBER(CR107:CR303),ROW(CR107:CR303),"")))</f>
        <v>8.3920000000000012</v>
      </c>
      <c r="CT107" s="12">
        <f>IF('Données projet'!$A$140&gt;35,CT106+CS107-DB106,IF(A107&lt;'Données projet'!$A$140,$CQ$205^A107,IF(A107='Données projet'!$A$140,'Données projet'!$B$140,CT106+CS107-DB106)))</f>
        <v>402.20000000000022</v>
      </c>
      <c r="CU107" s="17">
        <f>CT107*VLOOKUP('Données projet'!$B$13,Paramètres!$A$1:$I$89,3,0)*VLOOKUP('Données projet'!$B$13,Paramètres!$A$1:$I$89,5,0)</f>
        <v>458.02536000000026</v>
      </c>
      <c r="CV107" s="13">
        <f t="shared" si="95"/>
        <v>103.44608257899176</v>
      </c>
      <c r="CW107" s="20">
        <f t="shared" si="67"/>
        <v>977.89609582507774</v>
      </c>
      <c r="CX107" s="59">
        <f t="shared" si="68"/>
        <v>1271.229429158411</v>
      </c>
      <c r="CY107" s="59">
        <f ca="1">AVERAGE(OFFSET($CX$3,0,0,'Données projet'!$E$13+1,1))-AVERAGE(OFFSET($H$3,0,0,'Données projet'!$E$13+1,1))</f>
        <v>770.11410336045037</v>
      </c>
      <c r="CZ107" s="59">
        <f t="shared" si="96"/>
        <v>227.12611049004596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0.43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132.57857822537341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132.57857822537341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10.060000000000002</v>
      </c>
      <c r="DO107" s="12">
        <f>IF('Données projet'!$A$166&gt;35,DO106+DN107-DW106,IF(A107&lt;'Données projet'!$A$166,$DL$205^A107,IF(A107='Données projet'!$A$166,'Données projet'!$B$166,DO106+DN107-DW106)))</f>
        <v>470.67999999999955</v>
      </c>
      <c r="DP107" s="17">
        <f>DO107*VLOOKUP('Données projet'!$B$14,Paramètres!$A$1:$I$89,3,0)*VLOOKUP('Données projet'!$B$14,Paramètres!$A$1:$I$89,5,0)</f>
        <v>477.2695199999996</v>
      </c>
      <c r="DQ107" s="13">
        <f t="shared" si="97"/>
        <v>107.27725937060031</v>
      </c>
      <c r="DR107" s="20">
        <f t="shared" si="70"/>
        <v>1018.0856407371281</v>
      </c>
      <c r="DS107" s="59">
        <f t="shared" si="71"/>
        <v>1311.4189740704614</v>
      </c>
      <c r="DT107" s="59">
        <f ca="1">AVERAGE(OFFSET($DS$3,0,0,'Données projet'!$E$14+1,1))-AVERAGE(OFFSET($H$3,0,0,'Données projet'!$E$14+1,1))</f>
        <v>778.88878505968955</v>
      </c>
      <c r="DU107" s="59">
        <f t="shared" si="98"/>
        <v>279.20782832611059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147.91585053879902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147.91585053879902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369.00000000000011</v>
      </c>
      <c r="O108" s="13">
        <f>N108*VLOOKUP('Données projet'!$B$9,Paramètres!$A$1:$I$89,3,0)*VLOOKUP('Données projet'!$B$9,Paramètres!$A$1:$I$89,5,0)</f>
        <v>333.87120000000004</v>
      </c>
      <c r="P108" s="13">
        <f t="shared" si="87"/>
        <v>78.232360111376309</v>
      </c>
      <c r="Q108" s="20">
        <f t="shared" si="107"/>
        <v>717.74703386064709</v>
      </c>
      <c r="R108" s="59">
        <f t="shared" si="55"/>
        <v>1011.0803671939805</v>
      </c>
      <c r="S108" s="59">
        <f ca="1">AVERAGE(OFFSET($R$3,0,0,'Données projet'!$E$9+1,1))-AVERAGE(OFFSET($H$3,0,0,'Données projet'!$E$9+1,1))</f>
        <v>436.4497226650281</v>
      </c>
      <c r="T108" s="59">
        <f t="shared" si="88"/>
        <v>611.43967996341871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2.393644091414322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2.393644091414322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630</v>
      </c>
      <c r="AJ108" s="13">
        <f>AI108*VLOOKUP('Données projet'!$B$10,Paramètres!$A$1:$I$89,3,0)*VLOOKUP('Données projet'!$B$10,Paramètres!$A$1:$I$89,5,0)</f>
        <v>550.36800000000005</v>
      </c>
      <c r="AK108" s="13">
        <f t="shared" si="89"/>
        <v>121.67271812244785</v>
      </c>
      <c r="AL108" s="20">
        <f t="shared" si="58"/>
        <v>1170.4709173965966</v>
      </c>
      <c r="AM108" s="59">
        <f t="shared" si="59"/>
        <v>1463.8042507299299</v>
      </c>
      <c r="AN108" s="59">
        <f ca="1">AVERAGE(OFFSET($AM$3,0,0,'Données projet'!$E$10+1,1))-AVERAGE(OFFSET($H$3,0,0,'Données projet'!$E$10+1,1))</f>
        <v>662.13838733542616</v>
      </c>
      <c r="AO108" s="59">
        <f t="shared" si="90"/>
        <v>1194.915361841041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361.46</v>
      </c>
      <c r="BB108" s="12">
        <f>VLOOKUP(A108,'Données projet'!$A$87:$I$107,9,0)</f>
        <v>8.503999999999996</v>
      </c>
      <c r="BC108" s="12">
        <f t="array" ref="BC108">INDEX(BB:BB,MIN(IF(ISNUMBER(BB108:BB304),ROW(BB108:BB304),"")))</f>
        <v>8.503999999999996</v>
      </c>
      <c r="BD108" s="12">
        <f>IF('Données projet'!$A$88&gt;35,BD107+BC108-BL107,IF(A108&lt;'Données projet'!$A$88,$BA$205^A108,IF(A108='Données projet'!$A$88,'Données projet'!$B$88,BD107+BC108-BL107)))</f>
        <v>361.46000000000089</v>
      </c>
      <c r="BE108" s="13">
        <f>BD108*VLOOKUP('Données projet'!$B$11,Paramètres!$A$1:$I$89,3,0)*VLOOKUP('Données projet'!$B$11,Paramètres!$A$1:$I$89,5,0)</f>
        <v>169.16328000000041</v>
      </c>
      <c r="BF108" s="13">
        <f t="shared" si="91"/>
        <v>42.902572360102177</v>
      </c>
      <c r="BG108" s="20">
        <f t="shared" si="61"/>
        <v>369.34802619384533</v>
      </c>
      <c r="BH108" s="59">
        <f t="shared" si="62"/>
        <v>662.68135952717864</v>
      </c>
      <c r="BI108" s="59">
        <f ca="1">AVERAGE(OFFSET($BH$3,0,0,'Données projet'!$E$11+1,1))-AVERAGE(OFFSET($H$3,0,0,'Données projet'!$E$11+1,1))</f>
        <v>321.82962838167799</v>
      </c>
      <c r="BJ108" s="59">
        <f t="shared" si="92"/>
        <v>243.43396255104295</v>
      </c>
      <c r="BK108" s="15">
        <f>IF(ISNA(VLOOKUP(A108,'Données projet'!$A$87:$I$107,3,0)),0,VLOOKUP(A108,'Données projet'!$A$87:$I$107,3,0))</f>
        <v>9</v>
      </c>
      <c r="BL108" s="15">
        <f>IF(ISNA(VLOOKUP(A108,'Données projet'!$A$87:$I$107,4,0)),0,VLOOKUP(A108,'Données projet'!$A$87:$I$107,4,0))</f>
        <v>356.68</v>
      </c>
      <c r="BM108" s="16">
        <f>IF(ISNA(VLOOKUP(A108,'Données projet'!$A$87:$I$107,5,0)),0%,VLOOKUP(A108,'Données projet'!$A$87:$I$107,5,0)*VLOOKUP('Données projet'!$B$11,Paramètres!$A$1:$I$89,7,0))</f>
        <v>0.55000000000000004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303.23469038191638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303.23469038191638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187.80389738728508</v>
      </c>
      <c r="CE108" s="59">
        <f t="shared" si="94"/>
        <v>439.28159165815265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27.966451361010972</v>
      </c>
      <c r="CL108" s="21">
        <f>EXP(-LN(2)/25)*CL107+(1-EXP(-LN(2)/25))/(LN(2)/25)*Calculateur!CG108*Calculateur!CI108*VLOOKUP('Données projet'!$B$12,Paramètres!$A$1:$I$89,3,0)*0.475*44/12</f>
        <v>1.7971636997486877</v>
      </c>
      <c r="CM108" s="21">
        <f>EXP(-LN(2)/2)*CM107+(1-EXP(-LN(2)/2))/(LN(2)/2)*CG108*CJ108*VLOOKUP('Données projet'!$B$12,Paramètres!$A$1:$I$89,3,0)*0.475*44/12</f>
        <v>2.3132407906928579E-13</v>
      </c>
      <c r="CN108" s="22">
        <f t="shared" si="66"/>
        <v>29.763615060759889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8.2550000000000008</v>
      </c>
      <c r="CT108" s="12">
        <f>IF('Données projet'!$A$140&gt;35,CT107+CS108-DB107,IF(A108&lt;'Données projet'!$A$140,$CQ$205^A108,IF(A108='Données projet'!$A$140,'Données projet'!$B$140,CT107+CS108-DB107)))</f>
        <v>350.26500000000021</v>
      </c>
      <c r="CU108" s="17">
        <f>CT108*VLOOKUP('Données projet'!$B$13,Paramètres!$A$1:$I$89,3,0)*VLOOKUP('Données projet'!$B$13,Paramètres!$A$1:$I$89,5,0)</f>
        <v>398.88178200000027</v>
      </c>
      <c r="CV108" s="13">
        <f t="shared" si="95"/>
        <v>91.549926759575882</v>
      </c>
      <c r="CW108" s="20">
        <f t="shared" si="67"/>
        <v>854.16855942292841</v>
      </c>
      <c r="CX108" s="59">
        <f t="shared" si="68"/>
        <v>1147.5018927562617</v>
      </c>
      <c r="CY108" s="59">
        <f ca="1">AVERAGE(OFFSET($CX$3,0,0,'Données projet'!$E$13+1,1))-AVERAGE(OFFSET($H$3,0,0,'Données projet'!$E$13+1,1))</f>
        <v>770.11410336045037</v>
      </c>
      <c r="CZ108" s="59">
        <f t="shared" si="96"/>
        <v>227.12611049004596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129.9787931713218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129.9787931713218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10.060000000000002</v>
      </c>
      <c r="DO108" s="12">
        <f>IF('Données projet'!$A$166&gt;35,DO107+DN108-DW107,IF(A108&lt;'Données projet'!$A$166,$DL$205^A108,IF(A108='Données projet'!$A$166,'Données projet'!$B$166,DO107+DN108-DW107)))</f>
        <v>480.73999999999955</v>
      </c>
      <c r="DP108" s="17">
        <f>DO108*VLOOKUP('Données projet'!$B$14,Paramètres!$A$1:$I$89,3,0)*VLOOKUP('Données projet'!$B$14,Paramètres!$A$1:$I$89,5,0)</f>
        <v>487.47035999999957</v>
      </c>
      <c r="DQ108" s="13">
        <f t="shared" si="97"/>
        <v>109.30074115872966</v>
      </c>
      <c r="DR108" s="20">
        <f t="shared" si="70"/>
        <v>1039.3763345181203</v>
      </c>
      <c r="DS108" s="59">
        <f t="shared" si="71"/>
        <v>1332.7096678514536</v>
      </c>
      <c r="DT108" s="59">
        <f ca="1">AVERAGE(OFFSET($DS$3,0,0,'Données projet'!$E$14+1,1))-AVERAGE(OFFSET($H$3,0,0,'Données projet'!$E$14+1,1))</f>
        <v>778.88878505968955</v>
      </c>
      <c r="DU108" s="59">
        <f t="shared" si="98"/>
        <v>279.20782832611059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145.01531092949355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145.01531092949355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369.00000000000011</v>
      </c>
      <c r="O109" s="13">
        <f>N109*VLOOKUP('Données projet'!$B$9,Paramètres!$A$1:$I$89,3,0)*VLOOKUP('Données projet'!$B$9,Paramètres!$A$1:$I$89,5,0)</f>
        <v>333.87120000000004</v>
      </c>
      <c r="P109" s="13">
        <f t="shared" si="87"/>
        <v>78.232360111376309</v>
      </c>
      <c r="Q109" s="20">
        <f t="shared" si="107"/>
        <v>717.74703386064709</v>
      </c>
      <c r="R109" s="59">
        <f t="shared" si="55"/>
        <v>1011.0803671939805</v>
      </c>
      <c r="S109" s="59">
        <f ca="1">AVERAGE(OFFSET($R$3,0,0,'Données projet'!$E$9+1,1))-AVERAGE(OFFSET($H$3,0,0,'Données projet'!$E$9+1,1))</f>
        <v>436.4497226650281</v>
      </c>
      <c r="T109" s="59">
        <f t="shared" si="88"/>
        <v>611.43967996341871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2.3467061907604219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2.3467061907604219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630</v>
      </c>
      <c r="AJ109" s="13">
        <f>AI109*VLOOKUP('Données projet'!$B$10,Paramètres!$A$1:$I$89,3,0)*VLOOKUP('Données projet'!$B$10,Paramètres!$A$1:$I$89,5,0)</f>
        <v>550.36800000000005</v>
      </c>
      <c r="AK109" s="13">
        <f t="shared" si="89"/>
        <v>121.67271812244785</v>
      </c>
      <c r="AL109" s="20">
        <f t="shared" si="58"/>
        <v>1170.4709173965966</v>
      </c>
      <c r="AM109" s="59">
        <f t="shared" si="59"/>
        <v>1463.8042507299299</v>
      </c>
      <c r="AN109" s="59">
        <f ca="1">AVERAGE(OFFSET($AM$3,0,0,'Données projet'!$E$10+1,1))-AVERAGE(OFFSET($H$3,0,0,'Données projet'!$E$10+1,1))</f>
        <v>662.13838733542616</v>
      </c>
      <c r="AO109" s="59">
        <f t="shared" si="90"/>
        <v>1194.915361841041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4.7800000000008822</v>
      </c>
      <c r="BE109" s="13">
        <f>BD109*VLOOKUP('Données projet'!$B$11,Paramètres!$A$1:$I$89,3,0)*VLOOKUP('Données projet'!$B$11,Paramètres!$A$1:$I$89,5,0)</f>
        <v>2.2370400000004129</v>
      </c>
      <c r="BF109" s="13">
        <f t="shared" si="91"/>
        <v>0.9386934556823372</v>
      </c>
      <c r="BG109" s="20">
        <f t="shared" si="61"/>
        <v>5.5310691019807896</v>
      </c>
      <c r="BH109" s="59">
        <f t="shared" si="62"/>
        <v>298.8644024353141</v>
      </c>
      <c r="BI109" s="59">
        <f ca="1">AVERAGE(OFFSET($BH$3,0,0,'Données projet'!$E$11+1,1))-AVERAGE(OFFSET($H$3,0,0,'Données projet'!$E$11+1,1))</f>
        <v>321.82962838167799</v>
      </c>
      <c r="BJ109" s="59">
        <f t="shared" si="92"/>
        <v>243.43396255104295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297.28844305842534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297.28844305842534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187.80389738728508</v>
      </c>
      <c r="CE109" s="59">
        <f t="shared" si="94"/>
        <v>439.28159165815265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27.418046307672554</v>
      </c>
      <c r="CL109" s="21">
        <f>EXP(-LN(2)/25)*CL108+(1-EXP(-LN(2)/25))/(LN(2)/25)*Calculateur!CG109*Calculateur!CI109*VLOOKUP('Données projet'!$B$12,Paramètres!$A$1:$I$89,3,0)*0.475*44/12</f>
        <v>1.7480201638703283</v>
      </c>
      <c r="CM109" s="21">
        <f>EXP(-LN(2)/2)*CM108+(1-EXP(-LN(2)/2))/(LN(2)/2)*CG109*CJ109*VLOOKUP('Données projet'!$B$12,Paramètres!$A$1:$I$89,3,0)*0.475*44/12</f>
        <v>1.6357082496162509E-13</v>
      </c>
      <c r="CN109" s="22">
        <f t="shared" si="66"/>
        <v>29.166066471543047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8.2550000000000008</v>
      </c>
      <c r="CT109" s="12">
        <f>IF('Données projet'!$A$140&gt;35,CT108+CS109-DB108,IF(A109&lt;'Données projet'!$A$140,$CQ$205^A109,IF(A109='Données projet'!$A$140,'Données projet'!$B$140,CT108+CS109-DB108)))</f>
        <v>358.52000000000021</v>
      </c>
      <c r="CU109" s="17">
        <f>CT109*VLOOKUP('Données projet'!$B$13,Paramètres!$A$1:$I$89,3,0)*VLOOKUP('Données projet'!$B$13,Paramètres!$A$1:$I$89,5,0)</f>
        <v>408.28257600000023</v>
      </c>
      <c r="CV109" s="13">
        <f t="shared" si="95"/>
        <v>93.45382223386234</v>
      </c>
      <c r="CW109" s="20">
        <f t="shared" si="67"/>
        <v>873.85756025731064</v>
      </c>
      <c r="CX109" s="59">
        <f t="shared" si="68"/>
        <v>1167.190893590644</v>
      </c>
      <c r="CY109" s="59">
        <f ca="1">AVERAGE(OFFSET($CX$3,0,0,'Données projet'!$E$13+1,1))-AVERAGE(OFFSET($H$3,0,0,'Données projet'!$E$13+1,1))</f>
        <v>770.11410336045037</v>
      </c>
      <c r="CZ109" s="59">
        <f t="shared" si="96"/>
        <v>227.12611049004596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127.42998831646784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127.42998831646784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10.060000000000002</v>
      </c>
      <c r="DO109" s="12">
        <f>IF('Données projet'!$A$166&gt;35,DO108+DN109-DW108,IF(A109&lt;'Données projet'!$A$166,$DL$205^A109,IF(A109='Données projet'!$A$166,'Données projet'!$B$166,DO108+DN109-DW108)))</f>
        <v>490.79999999999956</v>
      </c>
      <c r="DP109" s="17">
        <f>DO109*VLOOKUP('Données projet'!$B$14,Paramètres!$A$1:$I$89,3,0)*VLOOKUP('Données projet'!$B$14,Paramètres!$A$1:$I$89,5,0)</f>
        <v>497.67119999999954</v>
      </c>
      <c r="DQ109" s="13">
        <f t="shared" si="97"/>
        <v>111.31929977849498</v>
      </c>
      <c r="DR109" s="20">
        <f t="shared" si="70"/>
        <v>1060.6584537808778</v>
      </c>
      <c r="DS109" s="59">
        <f t="shared" si="71"/>
        <v>1353.9917871142111</v>
      </c>
      <c r="DT109" s="59">
        <f ca="1">AVERAGE(OFFSET($DS$3,0,0,'Données projet'!$E$14+1,1))-AVERAGE(OFFSET($H$3,0,0,'Données projet'!$E$14+1,1))</f>
        <v>778.88878505968955</v>
      </c>
      <c r="DU109" s="59">
        <f t="shared" si="98"/>
        <v>279.20782832611059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142.17164913277207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142.17164913277207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369.00000000000011</v>
      </c>
      <c r="O110" s="13">
        <f>N110*VLOOKUP('Données projet'!$B$9,Paramètres!$A$1:$I$89,3,0)*VLOOKUP('Données projet'!$B$9,Paramètres!$A$1:$I$89,5,0)</f>
        <v>333.87120000000004</v>
      </c>
      <c r="P110" s="13">
        <f t="shared" si="87"/>
        <v>78.232360111376309</v>
      </c>
      <c r="Q110" s="20">
        <f t="shared" si="107"/>
        <v>717.74703386064709</v>
      </c>
      <c r="R110" s="59">
        <f t="shared" si="55"/>
        <v>1011.0803671939805</v>
      </c>
      <c r="S110" s="59">
        <f ca="1">AVERAGE(OFFSET($R$3,0,0,'Données projet'!$E$9+1,1))-AVERAGE(OFFSET($H$3,0,0,'Données projet'!$E$9+1,1))</f>
        <v>436.4497226650281</v>
      </c>
      <c r="T110" s="59">
        <f t="shared" si="88"/>
        <v>611.43967996341871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2.3006887137090524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2.3006887137090524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630</v>
      </c>
      <c r="AJ110" s="13">
        <f>AI110*VLOOKUP('Données projet'!$B$10,Paramètres!$A$1:$I$89,3,0)*VLOOKUP('Données projet'!$B$10,Paramètres!$A$1:$I$89,5,0)</f>
        <v>550.36800000000005</v>
      </c>
      <c r="AK110" s="13">
        <f t="shared" si="89"/>
        <v>121.67271812244785</v>
      </c>
      <c r="AL110" s="20">
        <f t="shared" si="58"/>
        <v>1170.4709173965966</v>
      </c>
      <c r="AM110" s="59">
        <f t="shared" si="59"/>
        <v>1463.8042507299299</v>
      </c>
      <c r="AN110" s="59">
        <f ca="1">AVERAGE(OFFSET($AM$3,0,0,'Données projet'!$E$10+1,1))-AVERAGE(OFFSET($H$3,0,0,'Données projet'!$E$10+1,1))</f>
        <v>662.13838733542616</v>
      </c>
      <c r="AO110" s="59">
        <f t="shared" si="90"/>
        <v>1194.915361841041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4.7800000000008822</v>
      </c>
      <c r="BE110" s="13">
        <f>BD110*VLOOKUP('Données projet'!$B$11,Paramètres!$A$1:$I$89,3,0)*VLOOKUP('Données projet'!$B$11,Paramètres!$A$1:$I$89,5,0)</f>
        <v>2.2370400000004129</v>
      </c>
      <c r="BF110" s="13">
        <f t="shared" si="91"/>
        <v>0.9386934556823372</v>
      </c>
      <c r="BG110" s="20">
        <f t="shared" si="61"/>
        <v>5.5310691019807896</v>
      </c>
      <c r="BH110" s="59">
        <f t="shared" si="62"/>
        <v>298.8644024353141</v>
      </c>
      <c r="BI110" s="59">
        <f ca="1">AVERAGE(OFFSET($BH$3,0,0,'Données projet'!$E$11+1,1))-AVERAGE(OFFSET($H$3,0,0,'Données projet'!$E$11+1,1))</f>
        <v>321.82962838167799</v>
      </c>
      <c r="BJ110" s="59">
        <f t="shared" si="92"/>
        <v>243.43396255104295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291.45879801809525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291.45879801809525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187.80389738728508</v>
      </c>
      <c r="CE110" s="59">
        <f t="shared" si="94"/>
        <v>439.28159165815265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26.880395142936049</v>
      </c>
      <c r="CL110" s="21">
        <f>EXP(-LN(2)/25)*CL109+(1-EXP(-LN(2)/25))/(LN(2)/25)*Calculateur!CG110*Calculateur!CI110*VLOOKUP('Données projet'!$B$12,Paramètres!$A$1:$I$89,3,0)*0.475*44/12</f>
        <v>1.7002204605649089</v>
      </c>
      <c r="CM110" s="21">
        <f>EXP(-LN(2)/2)*CM109+(1-EXP(-LN(2)/2))/(LN(2)/2)*CG110*CJ110*VLOOKUP('Données projet'!$B$12,Paramètres!$A$1:$I$89,3,0)*0.475*44/12</f>
        <v>1.1566203953464289E-13</v>
      </c>
      <c r="CN110" s="22">
        <f t="shared" si="66"/>
        <v>28.580615603501077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8.2550000000000008</v>
      </c>
      <c r="CT110" s="12">
        <f>IF('Données projet'!$A$140&gt;35,CT109+CS110-DB109,IF(A110&lt;'Données projet'!$A$140,$CQ$205^A110,IF(A110='Données projet'!$A$140,'Données projet'!$B$140,CT109+CS110-DB109)))</f>
        <v>366.7750000000002</v>
      </c>
      <c r="CU110" s="17">
        <f>CT110*VLOOKUP('Données projet'!$B$13,Paramètres!$A$1:$I$89,3,0)*VLOOKUP('Données projet'!$B$13,Paramètres!$A$1:$I$89,5,0)</f>
        <v>417.68337000000025</v>
      </c>
      <c r="CV110" s="13">
        <f t="shared" si="95"/>
        <v>95.352621367162143</v>
      </c>
      <c r="CW110" s="20">
        <f t="shared" si="67"/>
        <v>893.53768496447447</v>
      </c>
      <c r="CX110" s="59">
        <f t="shared" si="68"/>
        <v>1186.8710182978077</v>
      </c>
      <c r="CY110" s="59">
        <f ca="1">AVERAGE(OFFSET($CX$3,0,0,'Données projet'!$E$13+1,1))-AVERAGE(OFFSET($H$3,0,0,'Données projet'!$E$13+1,1))</f>
        <v>770.11410336045037</v>
      </c>
      <c r="CZ110" s="59">
        <f t="shared" si="96"/>
        <v>227.12611049004596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124.93116397020012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124.93116397020012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10.060000000000002</v>
      </c>
      <c r="DO110" s="12">
        <f>IF('Données projet'!$A$166&gt;35,DO109+DN110-DW109,IF(A110&lt;'Données projet'!$A$166,$DL$205^A110,IF(A110='Données projet'!$A$166,'Données projet'!$B$166,DO109+DN110-DW109)))</f>
        <v>500.85999999999956</v>
      </c>
      <c r="DP110" s="17">
        <f>DO110*VLOOKUP('Données projet'!$B$14,Paramètres!$A$1:$I$89,3,0)*VLOOKUP('Données projet'!$B$14,Paramètres!$A$1:$I$89,5,0)</f>
        <v>507.87203999999963</v>
      </c>
      <c r="DQ110" s="13">
        <f t="shared" si="97"/>
        <v>113.33304776845675</v>
      </c>
      <c r="DR110" s="20">
        <f t="shared" si="70"/>
        <v>1081.9321945300615</v>
      </c>
      <c r="DS110" s="59">
        <f t="shared" si="71"/>
        <v>1375.2655278633947</v>
      </c>
      <c r="DT110" s="59">
        <f ca="1">AVERAGE(OFFSET($DS$3,0,0,'Données projet'!$E$14+1,1))-AVERAGE(OFFSET($H$3,0,0,'Données projet'!$E$14+1,1))</f>
        <v>778.88878505968955</v>
      </c>
      <c r="DU110" s="59">
        <f t="shared" si="98"/>
        <v>279.20782832611059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139.38374980942189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139.38374980942189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369.00000000000011</v>
      </c>
      <c r="O111" s="13">
        <f>N111*VLOOKUP('Données projet'!$B$9,Paramètres!$A$1:$I$89,3,0)*VLOOKUP('Données projet'!$B$9,Paramètres!$A$1:$I$89,5,0)</f>
        <v>333.87120000000004</v>
      </c>
      <c r="P111" s="13">
        <f t="shared" si="87"/>
        <v>78.232360111376309</v>
      </c>
      <c r="Q111" s="20">
        <f t="shared" si="107"/>
        <v>717.74703386064709</v>
      </c>
      <c r="R111" s="59">
        <f t="shared" si="55"/>
        <v>1011.0803671939805</v>
      </c>
      <c r="S111" s="59">
        <f ca="1">AVERAGE(OFFSET($R$3,0,0,'Données projet'!$E$9+1,1))-AVERAGE(OFFSET($H$3,0,0,'Données projet'!$E$9+1,1))</f>
        <v>436.4497226650281</v>
      </c>
      <c r="T111" s="59">
        <f t="shared" si="88"/>
        <v>611.43967996341871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2.2555736113147709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2.2555736113147709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630</v>
      </c>
      <c r="AJ111" s="13">
        <f>AI111*VLOOKUP('Données projet'!$B$10,Paramètres!$A$1:$I$89,3,0)*VLOOKUP('Données projet'!$B$10,Paramètres!$A$1:$I$89,5,0)</f>
        <v>550.36800000000005</v>
      </c>
      <c r="AK111" s="13">
        <f t="shared" si="89"/>
        <v>121.67271812244785</v>
      </c>
      <c r="AL111" s="20">
        <f t="shared" si="58"/>
        <v>1170.4709173965966</v>
      </c>
      <c r="AM111" s="59">
        <f t="shared" si="59"/>
        <v>1463.8042507299299</v>
      </c>
      <c r="AN111" s="59">
        <f ca="1">AVERAGE(OFFSET($AM$3,0,0,'Données projet'!$E$10+1,1))-AVERAGE(OFFSET($H$3,0,0,'Données projet'!$E$10+1,1))</f>
        <v>662.13838733542616</v>
      </c>
      <c r="AO111" s="59">
        <f t="shared" si="90"/>
        <v>1194.915361841041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4.7800000000008822</v>
      </c>
      <c r="BE111" s="13">
        <f>BD111*VLOOKUP('Données projet'!$B$11,Paramètres!$A$1:$I$89,3,0)*VLOOKUP('Données projet'!$B$11,Paramètres!$A$1:$I$89,5,0)</f>
        <v>2.2370400000004129</v>
      </c>
      <c r="BF111" s="13">
        <f t="shared" si="91"/>
        <v>0.9386934556823372</v>
      </c>
      <c r="BG111" s="20">
        <f t="shared" si="61"/>
        <v>5.5310691019807896</v>
      </c>
      <c r="BH111" s="59">
        <f t="shared" si="62"/>
        <v>298.8644024353141</v>
      </c>
      <c r="BI111" s="59">
        <f ca="1">AVERAGE(OFFSET($BH$3,0,0,'Données projet'!$E$11+1,1))-AVERAGE(OFFSET($H$3,0,0,'Données projet'!$E$11+1,1))</f>
        <v>321.82962838167799</v>
      </c>
      <c r="BJ111" s="59">
        <f t="shared" si="92"/>
        <v>243.43396255104295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285.74346876127362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285.74346876127362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187.80389738728508</v>
      </c>
      <c r="CE111" s="59">
        <f t="shared" si="94"/>
        <v>439.28159165815265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26.353286989605195</v>
      </c>
      <c r="CL111" s="21">
        <f>EXP(-LN(2)/25)*CL110+(1-EXP(-LN(2)/25))/(LN(2)/25)*Calculateur!CG111*Calculateur!CI111*VLOOKUP('Données projet'!$B$12,Paramètres!$A$1:$I$89,3,0)*0.475*44/12</f>
        <v>1.6537278426600535</v>
      </c>
      <c r="CM111" s="21">
        <f>EXP(-LN(2)/2)*CM110+(1-EXP(-LN(2)/2))/(LN(2)/2)*CG111*CJ111*VLOOKUP('Données projet'!$B$12,Paramètres!$A$1:$I$89,3,0)*0.475*44/12</f>
        <v>8.1785412480812543E-14</v>
      </c>
      <c r="CN111" s="22">
        <f t="shared" si="66"/>
        <v>28.00701483226533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8.2550000000000008</v>
      </c>
      <c r="CT111" s="12">
        <f>IF('Données projet'!$A$140&gt;35,CT110+CS111-DB110,IF(A111&lt;'Données projet'!$A$140,$CQ$205^A111,IF(A111='Données projet'!$A$140,'Données projet'!$B$140,CT110+CS111-DB110)))</f>
        <v>375.0300000000002</v>
      </c>
      <c r="CU111" s="17">
        <f>CT111*VLOOKUP('Données projet'!$B$13,Paramètres!$A$1:$I$89,3,0)*VLOOKUP('Données projet'!$B$13,Paramètres!$A$1:$I$89,5,0)</f>
        <v>427.08416400000021</v>
      </c>
      <c r="CV111" s="13">
        <f t="shared" si="95"/>
        <v>97.246452068442565</v>
      </c>
      <c r="CW111" s="20">
        <f t="shared" si="67"/>
        <v>913.20915631920434</v>
      </c>
      <c r="CX111" s="59">
        <f t="shared" si="68"/>
        <v>1206.5424896525376</v>
      </c>
      <c r="CY111" s="59">
        <f ca="1">AVERAGE(OFFSET($CX$3,0,0,'Données projet'!$E$13+1,1))-AVERAGE(OFFSET($H$3,0,0,'Données projet'!$E$13+1,1))</f>
        <v>770.11410336045037</v>
      </c>
      <c r="CZ111" s="59">
        <f t="shared" si="96"/>
        <v>227.12611049004596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122.48134004523034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122.48134004523034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10.060000000000002</v>
      </c>
      <c r="DO111" s="12">
        <f>IF('Données projet'!$A$166&gt;35,DO110+DN111-DW110,IF(A111&lt;'Données projet'!$A$166,$DL$205^A111,IF(A111='Données projet'!$A$166,'Données projet'!$B$166,DO110+DN111-DW110)))</f>
        <v>510.91999999999956</v>
      </c>
      <c r="DP111" s="17">
        <f>DO111*VLOOKUP('Données projet'!$B$14,Paramètres!$A$1:$I$89,3,0)*VLOOKUP('Données projet'!$B$14,Paramètres!$A$1:$I$89,5,0)</f>
        <v>518.0728799999996</v>
      </c>
      <c r="DQ111" s="13">
        <f t="shared" si="97"/>
        <v>115.34209288791402</v>
      </c>
      <c r="DR111" s="20">
        <f t="shared" si="70"/>
        <v>1103.1977444464494</v>
      </c>
      <c r="DS111" s="59">
        <f t="shared" si="71"/>
        <v>1396.5310777797827</v>
      </c>
      <c r="DT111" s="59">
        <f ca="1">AVERAGE(OFFSET($DS$3,0,0,'Données projet'!$E$14+1,1))-AVERAGE(OFFSET($H$3,0,0,'Données projet'!$E$14+1,1))</f>
        <v>778.88878505968955</v>
      </c>
      <c r="DU111" s="59">
        <f t="shared" si="98"/>
        <v>279.20782832611059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136.6505194913519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136.6505194913519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369.00000000000011</v>
      </c>
      <c r="O112" s="13">
        <f>N112*VLOOKUP('Données projet'!$B$9,Paramètres!$A$1:$I$89,3,0)*VLOOKUP('Données projet'!$B$9,Paramètres!$A$1:$I$89,5,0)</f>
        <v>333.87120000000004</v>
      </c>
      <c r="P112" s="13">
        <f t="shared" si="87"/>
        <v>78.232360111376309</v>
      </c>
      <c r="Q112" s="20">
        <f t="shared" si="107"/>
        <v>717.74703386064709</v>
      </c>
      <c r="R112" s="59">
        <f t="shared" si="55"/>
        <v>1011.0803671939805</v>
      </c>
      <c r="S112" s="59">
        <f ca="1">AVERAGE(OFFSET($R$3,0,0,'Données projet'!$E$9+1,1))-AVERAGE(OFFSET($H$3,0,0,'Données projet'!$E$9+1,1))</f>
        <v>436.4497226650281</v>
      </c>
      <c r="T112" s="59">
        <f t="shared" si="88"/>
        <v>611.43967996341871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2.2113431885609458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2.2113431885609458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630</v>
      </c>
      <c r="AJ112" s="13">
        <f>AI112*VLOOKUP('Données projet'!$B$10,Paramètres!$A$1:$I$89,3,0)*VLOOKUP('Données projet'!$B$10,Paramètres!$A$1:$I$89,5,0)</f>
        <v>550.36800000000005</v>
      </c>
      <c r="AK112" s="13">
        <f t="shared" si="89"/>
        <v>121.67271812244785</v>
      </c>
      <c r="AL112" s="20">
        <f t="shared" si="58"/>
        <v>1170.4709173965966</v>
      </c>
      <c r="AM112" s="59">
        <f t="shared" si="59"/>
        <v>1463.8042507299299</v>
      </c>
      <c r="AN112" s="59">
        <f ca="1">AVERAGE(OFFSET($AM$3,0,0,'Données projet'!$E$10+1,1))-AVERAGE(OFFSET($H$3,0,0,'Données projet'!$E$10+1,1))</f>
        <v>662.13838733542616</v>
      </c>
      <c r="AO112" s="59">
        <f t="shared" si="90"/>
        <v>1194.915361841041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4.7800000000008822</v>
      </c>
      <c r="BE112" s="13">
        <f>BD112*VLOOKUP('Données projet'!$B$11,Paramètres!$A$1:$I$89,3,0)*VLOOKUP('Données projet'!$B$11,Paramètres!$A$1:$I$89,5,0)</f>
        <v>2.2370400000004129</v>
      </c>
      <c r="BF112" s="13">
        <f t="shared" si="91"/>
        <v>0.9386934556823372</v>
      </c>
      <c r="BG112" s="20">
        <f t="shared" si="61"/>
        <v>5.5310691019807896</v>
      </c>
      <c r="BH112" s="59">
        <f t="shared" si="62"/>
        <v>298.8644024353141</v>
      </c>
      <c r="BI112" s="59">
        <f ca="1">AVERAGE(OFFSET($BH$3,0,0,'Données projet'!$E$11+1,1))-AVERAGE(OFFSET($H$3,0,0,'Données projet'!$E$11+1,1))</f>
        <v>321.82962838167799</v>
      </c>
      <c r="BJ112" s="59">
        <f t="shared" si="92"/>
        <v>243.43396255104295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280.14021362517167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280.14021362517167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187.80389738728508</v>
      </c>
      <c r="CE112" s="59">
        <f t="shared" si="94"/>
        <v>439.28159165815265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25.836515105656932</v>
      </c>
      <c r="CL112" s="21">
        <f>EXP(-LN(2)/25)*CL111+(1-EXP(-LN(2)/25))/(LN(2)/25)*Calculateur!CG112*Calculateur!CI112*VLOOKUP('Données projet'!$B$12,Paramètres!$A$1:$I$89,3,0)*0.475*44/12</f>
        <v>1.6085065678367467</v>
      </c>
      <c r="CM112" s="21">
        <f>EXP(-LN(2)/2)*CM111+(1-EXP(-LN(2)/2))/(LN(2)/2)*CG112*CJ112*VLOOKUP('Données projet'!$B$12,Paramètres!$A$1:$I$89,3,0)*0.475*44/12</f>
        <v>5.7831019767321447E-14</v>
      </c>
      <c r="CN112" s="22">
        <f t="shared" si="66"/>
        <v>27.445021673493734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8.2550000000000008</v>
      </c>
      <c r="CT112" s="12">
        <f>IF('Données projet'!$A$140&gt;35,CT111+CS112-DB111,IF(A112&lt;'Données projet'!$A$140,$CQ$205^A112,IF(A112='Données projet'!$A$140,'Données projet'!$B$140,CT111+CS112-DB111)))</f>
        <v>383.2850000000002</v>
      </c>
      <c r="CU112" s="17">
        <f>CT112*VLOOKUP('Données projet'!$B$13,Paramètres!$A$1:$I$89,3,0)*VLOOKUP('Données projet'!$B$13,Paramètres!$A$1:$I$89,5,0)</f>
        <v>436.48495800000029</v>
      </c>
      <c r="CV112" s="13">
        <f t="shared" si="95"/>
        <v>99.135436294176316</v>
      </c>
      <c r="CW112" s="20">
        <f t="shared" si="67"/>
        <v>932.87218672902407</v>
      </c>
      <c r="CX112" s="59">
        <f t="shared" si="68"/>
        <v>1226.2055200623574</v>
      </c>
      <c r="CY112" s="59">
        <f ca="1">AVERAGE(OFFSET($CX$3,0,0,'Données projet'!$E$13+1,1))-AVERAGE(OFFSET($H$3,0,0,'Données projet'!$E$13+1,1))</f>
        <v>770.11410336045037</v>
      </c>
      <c r="CZ112" s="59">
        <f t="shared" si="96"/>
        <v>227.12611049004596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120.07955567318417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120.07955567318417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10.060000000000002</v>
      </c>
      <c r="DO112" s="12">
        <f>IF('Données projet'!$A$166&gt;35,DO111+DN112-DW111,IF(A112&lt;'Données projet'!$A$166,$DL$205^A112,IF(A112='Données projet'!$A$166,'Données projet'!$B$166,DO111+DN112-DW111)))</f>
        <v>520.97999999999956</v>
      </c>
      <c r="DP112" s="17">
        <f>DO112*VLOOKUP('Données projet'!$B$14,Paramètres!$A$1:$I$89,3,0)*VLOOKUP('Données projet'!$B$14,Paramètres!$A$1:$I$89,5,0)</f>
        <v>528.27371999999957</v>
      </c>
      <c r="DQ112" s="13">
        <f t="shared" si="97"/>
        <v>117.34653840990889</v>
      </c>
      <c r="DR112" s="20">
        <f t="shared" si="70"/>
        <v>1124.4552833972573</v>
      </c>
      <c r="DS112" s="59">
        <f t="shared" si="71"/>
        <v>1417.7886167305905</v>
      </c>
      <c r="DT112" s="59">
        <f ca="1">AVERAGE(OFFSET($DS$3,0,0,'Données projet'!$E$14+1,1))-AVERAGE(OFFSET($H$3,0,0,'Données projet'!$E$14+1,1))</f>
        <v>778.88878505968955</v>
      </c>
      <c r="DU112" s="59">
        <f t="shared" si="98"/>
        <v>279.20782832611059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133.97088615271338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133.97088615271338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369.00000000000011</v>
      </c>
      <c r="O113" s="13">
        <f>N113*VLOOKUP('Données projet'!$B$9,Paramètres!$A$1:$I$89,3,0)*VLOOKUP('Données projet'!$B$9,Paramètres!$A$1:$I$89,5,0)</f>
        <v>333.87120000000004</v>
      </c>
      <c r="P113" s="13">
        <f t="shared" si="87"/>
        <v>78.232360111376309</v>
      </c>
      <c r="Q113" s="20">
        <f t="shared" si="107"/>
        <v>717.74703386064709</v>
      </c>
      <c r="R113" s="59">
        <f t="shared" si="55"/>
        <v>1011.0803671939805</v>
      </c>
      <c r="S113" s="59">
        <f ca="1">AVERAGE(OFFSET($R$3,0,0,'Données projet'!$E$9+1,1))-AVERAGE(OFFSET($H$3,0,0,'Données projet'!$E$9+1,1))</f>
        <v>436.4497226650281</v>
      </c>
      <c r="T113" s="59">
        <f t="shared" si="88"/>
        <v>611.43967996341871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2.167980097419429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2.167980097419429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630</v>
      </c>
      <c r="AJ113" s="13">
        <f>AI113*VLOOKUP('Données projet'!$B$10,Paramètres!$A$1:$I$89,3,0)*VLOOKUP('Données projet'!$B$10,Paramètres!$A$1:$I$89,5,0)</f>
        <v>550.36800000000005</v>
      </c>
      <c r="AK113" s="13">
        <f t="shared" si="89"/>
        <v>121.67271812244785</v>
      </c>
      <c r="AL113" s="20">
        <f t="shared" si="58"/>
        <v>1170.4709173965966</v>
      </c>
      <c r="AM113" s="59">
        <f t="shared" si="59"/>
        <v>1463.8042507299299</v>
      </c>
      <c r="AN113" s="59">
        <f ca="1">AVERAGE(OFFSET($AM$3,0,0,'Données projet'!$E$10+1,1))-AVERAGE(OFFSET($H$3,0,0,'Données projet'!$E$10+1,1))</f>
        <v>662.13838733542616</v>
      </c>
      <c r="AO113" s="59">
        <f t="shared" si="90"/>
        <v>1194.915361841041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4.7800000000008822</v>
      </c>
      <c r="BE113" s="13">
        <f>BD113*VLOOKUP('Données projet'!$B$11,Paramètres!$A$1:$I$89,3,0)*VLOOKUP('Données projet'!$B$11,Paramètres!$A$1:$I$89,5,0)</f>
        <v>2.2370400000004129</v>
      </c>
      <c r="BF113" s="13">
        <f t="shared" si="91"/>
        <v>0.9386934556823372</v>
      </c>
      <c r="BG113" s="20">
        <f t="shared" si="61"/>
        <v>5.5310691019807896</v>
      </c>
      <c r="BH113" s="59">
        <f t="shared" si="62"/>
        <v>298.8644024353141</v>
      </c>
      <c r="BI113" s="59">
        <f ca="1">AVERAGE(OFFSET($BH$3,0,0,'Données projet'!$E$11+1,1))-AVERAGE(OFFSET($H$3,0,0,'Données projet'!$E$11+1,1))</f>
        <v>321.82962838167799</v>
      </c>
      <c r="BJ113" s="59">
        <f t="shared" si="92"/>
        <v>243.43396255104295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274.64683490464046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274.64683490464046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187.80389738728508</v>
      </c>
      <c r="CE113" s="59">
        <f t="shared" si="94"/>
        <v>439.28159165815265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25.329876803153169</v>
      </c>
      <c r="CL113" s="21">
        <f>EXP(-LN(2)/25)*CL112+(1-EXP(-LN(2)/25))/(LN(2)/25)*Calculateur!CG113*Calculateur!CI113*VLOOKUP('Données projet'!$B$12,Paramètres!$A$1:$I$89,3,0)*0.475*44/12</f>
        <v>1.5645218711515667</v>
      </c>
      <c r="CM113" s="21">
        <f>EXP(-LN(2)/2)*CM112+(1-EXP(-LN(2)/2))/(LN(2)/2)*CG113*CJ113*VLOOKUP('Données projet'!$B$12,Paramètres!$A$1:$I$89,3,0)*0.475*44/12</f>
        <v>4.0892706240406271E-14</v>
      </c>
      <c r="CN113" s="22">
        <f t="shared" si="66"/>
        <v>26.894398674304778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8.2550000000000008</v>
      </c>
      <c r="CT113" s="12">
        <f>IF('Données projet'!$A$140&gt;35,CT112+CS113-DB112,IF(A113&lt;'Données projet'!$A$140,$CQ$205^A113,IF(A113='Données projet'!$A$140,'Données projet'!$B$140,CT112+CS113-DB112)))</f>
        <v>391.54000000000019</v>
      </c>
      <c r="CU113" s="17">
        <f>CT113*VLOOKUP('Données projet'!$B$13,Paramètres!$A$1:$I$89,3,0)*VLOOKUP('Données projet'!$B$13,Paramètres!$A$1:$I$89,5,0)</f>
        <v>445.8857520000002</v>
      </c>
      <c r="CV113" s="13">
        <f t="shared" si="95"/>
        <v>101.0196904474937</v>
      </c>
      <c r="CW113" s="20">
        <f t="shared" si="67"/>
        <v>952.52697892938522</v>
      </c>
      <c r="CX113" s="59">
        <f t="shared" si="68"/>
        <v>1245.8603122627185</v>
      </c>
      <c r="CY113" s="59">
        <f ca="1">AVERAGE(OFFSET($CX$3,0,0,'Données projet'!$E$13+1,1))-AVERAGE(OFFSET($H$3,0,0,'Données projet'!$E$13+1,1))</f>
        <v>770.11410336045037</v>
      </c>
      <c r="CZ113" s="59">
        <f t="shared" si="96"/>
        <v>227.12611049004596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117.72486882773002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117.72486882773002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531.04</v>
      </c>
      <c r="DM113" s="12">
        <f>VLOOKUP(A113,'Données projet'!$A$165:$I$185,9,0)</f>
        <v>10.060000000000002</v>
      </c>
      <c r="DN113" s="12">
        <f t="array" ref="DN113">INDEX(DM:DM,MIN(IF(ISNUMBER(DM113:DM309),ROW(DM113:DM309),"")))</f>
        <v>10.060000000000002</v>
      </c>
      <c r="DO113" s="12">
        <f>IF('Données projet'!$A$166&gt;35,DO112+DN113-DW112,IF(A113&lt;'Données projet'!$A$166,$DL$205^A113,IF(A113='Données projet'!$A$166,'Données projet'!$B$166,DO112+DN113-DW112)))</f>
        <v>531.03999999999951</v>
      </c>
      <c r="DP113" s="17">
        <f>DO113*VLOOKUP('Données projet'!$B$14,Paramètres!$A$1:$I$89,3,0)*VLOOKUP('Données projet'!$B$14,Paramètres!$A$1:$I$89,5,0)</f>
        <v>538.47455999999954</v>
      </c>
      <c r="DQ113" s="13">
        <f t="shared" si="97"/>
        <v>119.34648339095945</v>
      </c>
      <c r="DR113" s="20">
        <f t="shared" si="70"/>
        <v>1145.7049839059202</v>
      </c>
      <c r="DS113" s="59">
        <f t="shared" si="71"/>
        <v>1439.0383172392535</v>
      </c>
      <c r="DT113" s="59">
        <f ca="1">AVERAGE(OFFSET($DS$3,0,0,'Données projet'!$E$14+1,1))-AVERAGE(OFFSET($H$3,0,0,'Données projet'!$E$14+1,1))</f>
        <v>778.88878505968955</v>
      </c>
      <c r="DU113" s="59">
        <f t="shared" si="98"/>
        <v>279.20782832611059</v>
      </c>
      <c r="DV113" s="15">
        <f>IF(ISNA(VLOOKUP(A113,'Données projet'!$A$165:$I$185,3,0)),0,VLOOKUP(A113,'Données projet'!$A$165:$I$185,3,0))</f>
        <v>10</v>
      </c>
      <c r="DW113" s="15">
        <f>IF(ISNA(VLOOKUP(A113,'Données projet'!$A$165:$I$185,4,0)),0,VLOOKUP(A113,'Données projet'!$A$165:$I$185,4,0))</f>
        <v>67.22</v>
      </c>
      <c r="DX113" s="16">
        <f>IF(ISNA(VLOOKUP(A113,'Données projet'!$A$165:$I$185,5,0)),0%,VLOOKUP(A113,'Données projet'!$A$165:$I$185,5,0)*VLOOKUP('Données projet'!$B$14,Paramètres!$A$1:$I$89,7,0))</f>
        <v>0.43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163.7443224295302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163.7443224295302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369.00000000000011</v>
      </c>
      <c r="O114" s="13">
        <f>N114*VLOOKUP('Données projet'!$B$9,Paramètres!$A$1:$I$89,3,0)*VLOOKUP('Données projet'!$B$9,Paramètres!$A$1:$I$89,5,0)</f>
        <v>333.87120000000004</v>
      </c>
      <c r="P114" s="13">
        <f t="shared" si="87"/>
        <v>78.232360111376309</v>
      </c>
      <c r="Q114" s="20">
        <f t="shared" si="107"/>
        <v>717.74703386064709</v>
      </c>
      <c r="R114" s="59">
        <f t="shared" si="55"/>
        <v>1011.0803671939805</v>
      </c>
      <c r="S114" s="59">
        <f ca="1">AVERAGE(OFFSET($R$3,0,0,'Données projet'!$E$9+1,1))-AVERAGE(OFFSET($H$3,0,0,'Données projet'!$E$9+1,1))</f>
        <v>436.4497226650281</v>
      </c>
      <c r="T114" s="59">
        <f t="shared" si="88"/>
        <v>611.43967996341871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2.1254673300463236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2.1254673300463236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630</v>
      </c>
      <c r="AJ114" s="13">
        <f>AI114*VLOOKUP('Données projet'!$B$10,Paramètres!$A$1:$I$89,3,0)*VLOOKUP('Données projet'!$B$10,Paramètres!$A$1:$I$89,5,0)</f>
        <v>550.36800000000005</v>
      </c>
      <c r="AK114" s="13">
        <f t="shared" si="89"/>
        <v>121.67271812244785</v>
      </c>
      <c r="AL114" s="20">
        <f t="shared" si="58"/>
        <v>1170.4709173965966</v>
      </c>
      <c r="AM114" s="59">
        <f t="shared" si="59"/>
        <v>1463.8042507299299</v>
      </c>
      <c r="AN114" s="59">
        <f ca="1">AVERAGE(OFFSET($AM$3,0,0,'Données projet'!$E$10+1,1))-AVERAGE(OFFSET($H$3,0,0,'Données projet'!$E$10+1,1))</f>
        <v>662.13838733542616</v>
      </c>
      <c r="AO114" s="59">
        <f t="shared" si="90"/>
        <v>1194.915361841041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4.7800000000008822</v>
      </c>
      <c r="BE114" s="13">
        <f>BD114*VLOOKUP('Données projet'!$B$11,Paramètres!$A$1:$I$89,3,0)*VLOOKUP('Données projet'!$B$11,Paramètres!$A$1:$I$89,5,0)</f>
        <v>2.2370400000004129</v>
      </c>
      <c r="BF114" s="13">
        <f t="shared" si="91"/>
        <v>0.9386934556823372</v>
      </c>
      <c r="BG114" s="20">
        <f t="shared" si="61"/>
        <v>5.5310691019807896</v>
      </c>
      <c r="BH114" s="59">
        <f t="shared" si="62"/>
        <v>298.8644024353141</v>
      </c>
      <c r="BI114" s="59">
        <f ca="1">AVERAGE(OFFSET($BH$3,0,0,'Données projet'!$E$11+1,1))-AVERAGE(OFFSET($H$3,0,0,'Données projet'!$E$11+1,1))</f>
        <v>321.82962838167799</v>
      </c>
      <c r="BJ114" s="59">
        <f t="shared" si="92"/>
        <v>243.43396255104295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269.26117799018874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269.26117799018874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187.80389738728508</v>
      </c>
      <c r="CE114" s="59">
        <f t="shared" si="94"/>
        <v>439.28159165815265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24.833173368742653</v>
      </c>
      <c r="CL114" s="21">
        <f>EXP(-LN(2)/25)*CL113+(1-EXP(-LN(2)/25))/(LN(2)/25)*Calculateur!CG114*Calculateur!CI114*VLOOKUP('Données projet'!$B$12,Paramètres!$A$1:$I$89,3,0)*0.475*44/12</f>
        <v>1.5217399383102976</v>
      </c>
      <c r="CM114" s="21">
        <f>EXP(-LN(2)/2)*CM113+(1-EXP(-LN(2)/2))/(LN(2)/2)*CG114*CJ114*VLOOKUP('Données projet'!$B$12,Paramètres!$A$1:$I$89,3,0)*0.475*44/12</f>
        <v>2.8915509883660724E-14</v>
      </c>
      <c r="CN114" s="22">
        <f t="shared" si="66"/>
        <v>26.354913307052978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8.2550000000000008</v>
      </c>
      <c r="CT114" s="12">
        <f>IF('Données projet'!$A$140&gt;35,CT113+CS114-DB113,IF(A114&lt;'Données projet'!$A$140,$CQ$205^A114,IF(A114='Données projet'!$A$140,'Données projet'!$B$140,CT113+CS114-DB113)))</f>
        <v>399.79500000000019</v>
      </c>
      <c r="CU114" s="17">
        <f>CT114*VLOOKUP('Données projet'!$B$13,Paramètres!$A$1:$I$89,3,0)*VLOOKUP('Données projet'!$B$13,Paramètres!$A$1:$I$89,5,0)</f>
        <v>455.28654600000016</v>
      </c>
      <c r="CV114" s="13">
        <f t="shared" si="95"/>
        <v>102.89932574272208</v>
      </c>
      <c r="CW114" s="20">
        <f t="shared" si="67"/>
        <v>972.17372661857451</v>
      </c>
      <c r="CX114" s="59">
        <f t="shared" si="68"/>
        <v>1265.5070599519079</v>
      </c>
      <c r="CY114" s="59">
        <f ca="1">AVERAGE(OFFSET($CX$3,0,0,'Données projet'!$E$13+1,1))-AVERAGE(OFFSET($H$3,0,0,'Données projet'!$E$13+1,1))</f>
        <v>770.11410336045037</v>
      </c>
      <c r="CZ114" s="59">
        <f t="shared" si="96"/>
        <v>227.12611049004596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115.41635595509806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115.41635595509806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10.118000000000006</v>
      </c>
      <c r="DO114" s="12">
        <f>IF('Données projet'!$A$166&gt;35,DO113+DN114-DW113,IF(A114&lt;'Données projet'!$A$166,$DL$205^A114,IF(A114='Données projet'!$A$166,'Données projet'!$B$166,DO113+DN114-DW113)))</f>
        <v>473.93799999999953</v>
      </c>
      <c r="DP114" s="17">
        <f>DO114*VLOOKUP('Données projet'!$B$14,Paramètres!$A$1:$I$89,3,0)*VLOOKUP('Données projet'!$B$14,Paramètres!$A$1:$I$89,5,0)</f>
        <v>480.57313199999953</v>
      </c>
      <c r="DQ114" s="13">
        <f t="shared" si="97"/>
        <v>107.93312393757081</v>
      </c>
      <c r="DR114" s="20">
        <f t="shared" si="70"/>
        <v>1024.9817290912683</v>
      </c>
      <c r="DS114" s="59">
        <f t="shared" si="71"/>
        <v>1318.3150624246016</v>
      </c>
      <c r="DT114" s="59">
        <f ca="1">AVERAGE(OFFSET($DS$3,0,0,'Données projet'!$E$14+1,1))-AVERAGE(OFFSET($H$3,0,0,'Données projet'!$E$14+1,1))</f>
        <v>778.88878505968955</v>
      </c>
      <c r="DU114" s="59">
        <f t="shared" si="98"/>
        <v>279.20782832611059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160.53339614086204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160.53339614086204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369.00000000000011</v>
      </c>
      <c r="O115" s="13">
        <f>N115*VLOOKUP('Données projet'!$B$9,Paramètres!$A$1:$I$89,3,0)*VLOOKUP('Données projet'!$B$9,Paramètres!$A$1:$I$89,5,0)</f>
        <v>333.87120000000004</v>
      </c>
      <c r="P115" s="13">
        <f t="shared" si="87"/>
        <v>78.232360111376309</v>
      </c>
      <c r="Q115" s="20">
        <f t="shared" si="107"/>
        <v>717.74703386064709</v>
      </c>
      <c r="R115" s="59">
        <f t="shared" si="55"/>
        <v>1011.0803671939805</v>
      </c>
      <c r="S115" s="59">
        <f ca="1">AVERAGE(OFFSET($R$3,0,0,'Données projet'!$E$9+1,1))-AVERAGE(OFFSET($H$3,0,0,'Données projet'!$E$9+1,1))</f>
        <v>436.4497226650281</v>
      </c>
      <c r="T115" s="59">
        <f t="shared" si="88"/>
        <v>611.43967996341871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2.0837882121111768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2.0837882121111768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630</v>
      </c>
      <c r="AJ115" s="13">
        <f>AI115*VLOOKUP('Données projet'!$B$10,Paramètres!$A$1:$I$89,3,0)*VLOOKUP('Données projet'!$B$10,Paramètres!$A$1:$I$89,5,0)</f>
        <v>550.36800000000005</v>
      </c>
      <c r="AK115" s="13">
        <f t="shared" si="89"/>
        <v>121.67271812244785</v>
      </c>
      <c r="AL115" s="20">
        <f t="shared" si="58"/>
        <v>1170.4709173965966</v>
      </c>
      <c r="AM115" s="59">
        <f t="shared" si="59"/>
        <v>1463.8042507299299</v>
      </c>
      <c r="AN115" s="59">
        <f ca="1">AVERAGE(OFFSET($AM$3,0,0,'Données projet'!$E$10+1,1))-AVERAGE(OFFSET($H$3,0,0,'Données projet'!$E$10+1,1))</f>
        <v>662.13838733542616</v>
      </c>
      <c r="AO115" s="59">
        <f t="shared" si="90"/>
        <v>1194.915361841041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4.7800000000008822</v>
      </c>
      <c r="BE115" s="13">
        <f>BD115*VLOOKUP('Données projet'!$B$11,Paramètres!$A$1:$I$89,3,0)*VLOOKUP('Données projet'!$B$11,Paramètres!$A$1:$I$89,5,0)</f>
        <v>2.2370400000004129</v>
      </c>
      <c r="BF115" s="13">
        <f t="shared" si="91"/>
        <v>0.9386934556823372</v>
      </c>
      <c r="BG115" s="20">
        <f t="shared" si="61"/>
        <v>5.5310691019807896</v>
      </c>
      <c r="BH115" s="59">
        <f t="shared" si="62"/>
        <v>298.8644024353141</v>
      </c>
      <c r="BI115" s="59">
        <f ca="1">AVERAGE(OFFSET($BH$3,0,0,'Données projet'!$E$11+1,1))-AVERAGE(OFFSET($H$3,0,0,'Données projet'!$E$11+1,1))</f>
        <v>321.82962838167799</v>
      </c>
      <c r="BJ115" s="59">
        <f t="shared" si="92"/>
        <v>243.43396255104295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263.98113052290302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263.98113052290302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187.80389738728508</v>
      </c>
      <c r="CE115" s="59">
        <f t="shared" si="94"/>
        <v>439.28159165815265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24.34620998572175</v>
      </c>
      <c r="CL115" s="21">
        <f>EXP(-LN(2)/25)*CL114+(1-EXP(-LN(2)/25))/(LN(2)/25)*Calculateur!CG115*Calculateur!CI115*VLOOKUP('Données projet'!$B$12,Paramètres!$A$1:$I$89,3,0)*0.475*44/12</f>
        <v>1.4801278796723771</v>
      </c>
      <c r="CM115" s="21">
        <f>EXP(-LN(2)/2)*CM114+(1-EXP(-LN(2)/2))/(LN(2)/2)*CG115*CJ115*VLOOKUP('Données projet'!$B$12,Paramètres!$A$1:$I$89,3,0)*0.475*44/12</f>
        <v>2.0446353120203136E-14</v>
      </c>
      <c r="CN115" s="22">
        <f t="shared" si="66"/>
        <v>25.826337865394148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8.2550000000000008</v>
      </c>
      <c r="CT115" s="12">
        <f>IF('Données projet'!$A$140&gt;35,CT114+CS115-DB114,IF(A115&lt;'Données projet'!$A$140,$CQ$205^A115,IF(A115='Données projet'!$A$140,'Données projet'!$B$140,CT114+CS115-DB114)))</f>
        <v>408.05000000000018</v>
      </c>
      <c r="CU115" s="17">
        <f>CT115*VLOOKUP('Données projet'!$B$13,Paramètres!$A$1:$I$89,3,0)*VLOOKUP('Données projet'!$B$13,Paramètres!$A$1:$I$89,5,0)</f>
        <v>464.68734000000023</v>
      </c>
      <c r="CV115" s="13">
        <f t="shared" si="95"/>
        <v>104.77444853896704</v>
      </c>
      <c r="CW115" s="20">
        <f t="shared" si="67"/>
        <v>991.81261503870144</v>
      </c>
      <c r="CX115" s="59">
        <f t="shared" si="68"/>
        <v>1285.1459483720348</v>
      </c>
      <c r="CY115" s="59">
        <f ca="1">AVERAGE(OFFSET($CX$3,0,0,'Données projet'!$E$13+1,1))-AVERAGE(OFFSET($H$3,0,0,'Données projet'!$E$13+1,1))</f>
        <v>770.11410336045037</v>
      </c>
      <c r="CZ115" s="59">
        <f t="shared" si="96"/>
        <v>227.12611049004596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113.15311161184458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113.15311161184458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10.118000000000006</v>
      </c>
      <c r="DO115" s="12">
        <f>IF('Données projet'!$A$166&gt;35,DO114+DN115-DW114,IF(A115&lt;'Données projet'!$A$166,$DL$205^A115,IF(A115='Données projet'!$A$166,'Données projet'!$B$166,DO114+DN115-DW114)))</f>
        <v>484.05599999999953</v>
      </c>
      <c r="DP115" s="17">
        <f>DO115*VLOOKUP('Données projet'!$B$14,Paramètres!$A$1:$I$89,3,0)*VLOOKUP('Données projet'!$B$14,Paramètres!$A$1:$I$89,5,0)</f>
        <v>490.83278399999955</v>
      </c>
      <c r="DQ115" s="13">
        <f t="shared" si="97"/>
        <v>109.96664135371806</v>
      </c>
      <c r="DR115" s="20">
        <f t="shared" si="70"/>
        <v>1046.3923324910581</v>
      </c>
      <c r="DS115" s="59">
        <f t="shared" si="71"/>
        <v>1339.7256658243914</v>
      </c>
      <c r="DT115" s="59">
        <f ca="1">AVERAGE(OFFSET($DS$3,0,0,'Données projet'!$E$14+1,1))-AVERAGE(OFFSET($H$3,0,0,'Données projet'!$E$14+1,1))</f>
        <v>778.88878505968955</v>
      </c>
      <c r="DU115" s="59">
        <f t="shared" si="98"/>
        <v>279.20782832611059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157.38543415824302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157.38543415824302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369.00000000000011</v>
      </c>
      <c r="O116" s="13">
        <f>N116*VLOOKUP('Données projet'!$B$9,Paramètres!$A$1:$I$89,3,0)*VLOOKUP('Données projet'!$B$9,Paramètres!$A$1:$I$89,5,0)</f>
        <v>333.87120000000004</v>
      </c>
      <c r="P116" s="13">
        <f t="shared" si="87"/>
        <v>78.232360111376309</v>
      </c>
      <c r="Q116" s="20">
        <f t="shared" si="107"/>
        <v>717.74703386064709</v>
      </c>
      <c r="R116" s="59">
        <f t="shared" si="55"/>
        <v>1011.0803671939805</v>
      </c>
      <c r="S116" s="59">
        <f ca="1">AVERAGE(OFFSET($R$3,0,0,'Données projet'!$E$9+1,1))-AVERAGE(OFFSET($H$3,0,0,'Données projet'!$E$9+1,1))</f>
        <v>436.4497226650281</v>
      </c>
      <c r="T116" s="59">
        <f t="shared" si="88"/>
        <v>611.43967996341871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2.0429263962569868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2.0429263962569868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630</v>
      </c>
      <c r="AJ116" s="13">
        <f>AI116*VLOOKUP('Données projet'!$B$10,Paramètres!$A$1:$I$89,3,0)*VLOOKUP('Données projet'!$B$10,Paramètres!$A$1:$I$89,5,0)</f>
        <v>550.36800000000005</v>
      </c>
      <c r="AK116" s="13">
        <f t="shared" si="89"/>
        <v>121.67271812244785</v>
      </c>
      <c r="AL116" s="20">
        <f t="shared" si="58"/>
        <v>1170.4709173965966</v>
      </c>
      <c r="AM116" s="59">
        <f t="shared" si="59"/>
        <v>1463.8042507299299</v>
      </c>
      <c r="AN116" s="59">
        <f ca="1">AVERAGE(OFFSET($AM$3,0,0,'Données projet'!$E$10+1,1))-AVERAGE(OFFSET($H$3,0,0,'Données projet'!$E$10+1,1))</f>
        <v>662.13838733542616</v>
      </c>
      <c r="AO116" s="59">
        <f t="shared" si="90"/>
        <v>1194.915361841041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4.7800000000008822</v>
      </c>
      <c r="BE116" s="13">
        <f>BD116*VLOOKUP('Données projet'!$B$11,Paramètres!$A$1:$I$89,3,0)*VLOOKUP('Données projet'!$B$11,Paramètres!$A$1:$I$89,5,0)</f>
        <v>2.2370400000004129</v>
      </c>
      <c r="BF116" s="13">
        <f t="shared" si="91"/>
        <v>0.9386934556823372</v>
      </c>
      <c r="BG116" s="20">
        <f t="shared" si="61"/>
        <v>5.5310691019807896</v>
      </c>
      <c r="BH116" s="59">
        <f t="shared" si="62"/>
        <v>298.8644024353141</v>
      </c>
      <c r="BI116" s="59">
        <f ca="1">AVERAGE(OFFSET($BH$3,0,0,'Données projet'!$E$11+1,1))-AVERAGE(OFFSET($H$3,0,0,'Données projet'!$E$11+1,1))</f>
        <v>321.82962838167799</v>
      </c>
      <c r="BJ116" s="59">
        <f t="shared" si="92"/>
        <v>243.43396255104295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258.80462156593984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258.80462156593984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187.80389738728508</v>
      </c>
      <c r="CE116" s="59">
        <f t="shared" si="94"/>
        <v>439.28159165815265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23.868795657623551</v>
      </c>
      <c r="CL116" s="21">
        <f>EXP(-LN(2)/25)*CL115+(1-EXP(-LN(2)/25))/(LN(2)/25)*Calculateur!CG116*Calculateur!CI116*VLOOKUP('Données projet'!$B$12,Paramètres!$A$1:$I$89,3,0)*0.475*44/12</f>
        <v>1.4396537049661937</v>
      </c>
      <c r="CM116" s="21">
        <f>EXP(-LN(2)/2)*CM115+(1-EXP(-LN(2)/2))/(LN(2)/2)*CG116*CJ116*VLOOKUP('Données projet'!$B$12,Paramètres!$A$1:$I$89,3,0)*0.475*44/12</f>
        <v>1.4457754941830362E-14</v>
      </c>
      <c r="CN116" s="22">
        <f t="shared" si="66"/>
        <v>25.308449362589759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8.2550000000000008</v>
      </c>
      <c r="CT116" s="12">
        <f>IF('Données projet'!$A$140&gt;35,CT115+CS116-DB115,IF(A116&lt;'Données projet'!$A$140,$CQ$205^A116,IF(A116='Données projet'!$A$140,'Données projet'!$B$140,CT115+CS116-DB115)))</f>
        <v>416.30500000000018</v>
      </c>
      <c r="CU116" s="17">
        <f>CT116*VLOOKUP('Données projet'!$B$13,Paramètres!$A$1:$I$89,3,0)*VLOOKUP('Données projet'!$B$13,Paramètres!$A$1:$I$89,5,0)</f>
        <v>474.0881340000002</v>
      </c>
      <c r="CV116" s="13">
        <f t="shared" si="95"/>
        <v>106.64516064593805</v>
      </c>
      <c r="CW116" s="20">
        <f t="shared" si="67"/>
        <v>1011.4438215083425</v>
      </c>
      <c r="CX116" s="59">
        <f t="shared" si="68"/>
        <v>1304.7771548416758</v>
      </c>
      <c r="CY116" s="59">
        <f ca="1">AVERAGE(OFFSET($CX$3,0,0,'Données projet'!$E$13+1,1))-AVERAGE(OFFSET($H$3,0,0,'Données projet'!$E$13+1,1))</f>
        <v>770.11410336045037</v>
      </c>
      <c r="CZ116" s="59">
        <f t="shared" si="96"/>
        <v>227.12611049004596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110.93424810971958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110.93424810971958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10.118000000000006</v>
      </c>
      <c r="DO116" s="12">
        <f>IF('Données projet'!$A$166&gt;35,DO115+DN116-DW115,IF(A116&lt;'Données projet'!$A$166,$DL$205^A116,IF(A116='Données projet'!$A$166,'Données projet'!$B$166,DO115+DN116-DW115)))</f>
        <v>494.17399999999952</v>
      </c>
      <c r="DP116" s="17">
        <f>DO116*VLOOKUP('Données projet'!$B$14,Paramètres!$A$1:$I$89,3,0)*VLOOKUP('Données projet'!$B$14,Paramètres!$A$1:$I$89,5,0)</f>
        <v>501.09243599999957</v>
      </c>
      <c r="DQ116" s="13">
        <f t="shared" si="97"/>
        <v>111.99521674245825</v>
      </c>
      <c r="DR116" s="20">
        <f t="shared" si="70"/>
        <v>1067.7943285264473</v>
      </c>
      <c r="DS116" s="59">
        <f t="shared" si="71"/>
        <v>1361.1276618597806</v>
      </c>
      <c r="DT116" s="59">
        <f ca="1">AVERAGE(OFFSET($DS$3,0,0,'Données projet'!$E$14+1,1))-AVERAGE(OFFSET($H$3,0,0,'Données projet'!$E$14+1,1))</f>
        <v>778.88878505968955</v>
      </c>
      <c r="DU116" s="59">
        <f t="shared" si="98"/>
        <v>279.20782832611059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154.29920179003594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154.29920179003594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369.00000000000011</v>
      </c>
      <c r="O117" s="13">
        <f>N117*VLOOKUP('Données projet'!$B$9,Paramètres!$A$1:$I$89,3,0)*VLOOKUP('Données projet'!$B$9,Paramètres!$A$1:$I$89,5,0)</f>
        <v>333.87120000000004</v>
      </c>
      <c r="P117" s="13">
        <f t="shared" si="87"/>
        <v>78.232360111376309</v>
      </c>
      <c r="Q117" s="20">
        <f t="shared" si="107"/>
        <v>717.74703386064709</v>
      </c>
      <c r="R117" s="59">
        <f t="shared" si="55"/>
        <v>1011.0803671939805</v>
      </c>
      <c r="S117" s="59">
        <f ca="1">AVERAGE(OFFSET($R$3,0,0,'Données projet'!$E$9+1,1))-AVERAGE(OFFSET($H$3,0,0,'Données projet'!$E$9+1,1))</f>
        <v>436.4497226650281</v>
      </c>
      <c r="T117" s="59">
        <f t="shared" si="88"/>
        <v>611.43967996341871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2.0028658556884507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2.0028658556884507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630</v>
      </c>
      <c r="AJ117" s="13">
        <f>AI117*VLOOKUP('Données projet'!$B$10,Paramètres!$A$1:$I$89,3,0)*VLOOKUP('Données projet'!$B$10,Paramètres!$A$1:$I$89,5,0)</f>
        <v>550.36800000000005</v>
      </c>
      <c r="AK117" s="13">
        <f t="shared" si="89"/>
        <v>121.67271812244785</v>
      </c>
      <c r="AL117" s="20">
        <f t="shared" si="58"/>
        <v>1170.4709173965966</v>
      </c>
      <c r="AM117" s="59">
        <f t="shared" si="59"/>
        <v>1463.8042507299299</v>
      </c>
      <c r="AN117" s="59">
        <f ca="1">AVERAGE(OFFSET($AM$3,0,0,'Données projet'!$E$10+1,1))-AVERAGE(OFFSET($H$3,0,0,'Données projet'!$E$10+1,1))</f>
        <v>662.13838733542616</v>
      </c>
      <c r="AO117" s="59">
        <f t="shared" si="90"/>
        <v>1194.915361841041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4.7800000000008822</v>
      </c>
      <c r="BE117" s="13">
        <f>BD117*VLOOKUP('Données projet'!$B$11,Paramètres!$A$1:$I$89,3,0)*VLOOKUP('Données projet'!$B$11,Paramètres!$A$1:$I$89,5,0)</f>
        <v>2.2370400000004129</v>
      </c>
      <c r="BF117" s="13">
        <f t="shared" si="91"/>
        <v>0.9386934556823372</v>
      </c>
      <c r="BG117" s="20">
        <f t="shared" si="61"/>
        <v>5.5310691019807896</v>
      </c>
      <c r="BH117" s="59">
        <f t="shared" si="62"/>
        <v>298.8644024353141</v>
      </c>
      <c r="BI117" s="59">
        <f ca="1">AVERAGE(OFFSET($BH$3,0,0,'Données projet'!$E$11+1,1))-AVERAGE(OFFSET($H$3,0,0,'Données projet'!$E$11+1,1))</f>
        <v>321.82962838167799</v>
      </c>
      <c r="BJ117" s="59">
        <f t="shared" si="92"/>
        <v>243.43396255104295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253.729620792264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253.729620792264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187.80389738728508</v>
      </c>
      <c r="CE117" s="59">
        <f t="shared" si="94"/>
        <v>439.28159165815265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23.400743133305369</v>
      </c>
      <c r="CL117" s="21">
        <f>EXP(-LN(2)/25)*CL116+(1-EXP(-LN(2)/25))/(LN(2)/25)*Calculateur!CG117*Calculateur!CI117*VLOOKUP('Données projet'!$B$12,Paramètres!$A$1:$I$89,3,0)*0.475*44/12</f>
        <v>1.4002862986957951</v>
      </c>
      <c r="CM117" s="21">
        <f>EXP(-LN(2)/2)*CM116+(1-EXP(-LN(2)/2))/(LN(2)/2)*CG117*CJ117*VLOOKUP('Données projet'!$B$12,Paramètres!$A$1:$I$89,3,0)*0.475*44/12</f>
        <v>1.0223176560101568E-14</v>
      </c>
      <c r="CN117" s="22">
        <f t="shared" si="66"/>
        <v>24.801029432001176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8.2550000000000008</v>
      </c>
      <c r="CS117" s="12">
        <f t="array" ref="CS117">INDEX(CR:CR,MIN(IF(ISNUMBER(CR117:CR313),ROW(CR117:CR313),"")))</f>
        <v>8.2550000000000008</v>
      </c>
      <c r="CT117" s="12">
        <f>IF('Données projet'!$A$140&gt;35,CT116+CS117-DB116,IF(A117&lt;'Données projet'!$A$140,$CQ$205^A117,IF(A117='Données projet'!$A$140,'Données projet'!$B$140,CT116+CS117-DB116)))</f>
        <v>424.56000000000017</v>
      </c>
      <c r="CU117" s="17">
        <f>CT117*VLOOKUP('Données projet'!$B$13,Paramètres!$A$1:$I$89,3,0)*VLOOKUP('Données projet'!$B$13,Paramètres!$A$1:$I$89,5,0)</f>
        <v>483.48892800000021</v>
      </c>
      <c r="CV117" s="13">
        <f t="shared" si="95"/>
        <v>108.51155960483104</v>
      </c>
      <c r="CW117" s="20">
        <f t="shared" si="67"/>
        <v>1031.0675159117477</v>
      </c>
      <c r="CX117" s="59">
        <f t="shared" si="68"/>
        <v>1324.400849245081</v>
      </c>
      <c r="CY117" s="59">
        <f ca="1">AVERAGE(OFFSET($CX$3,0,0,'Données projet'!$E$13+1,1))-AVERAGE(OFFSET($H$3,0,0,'Données projet'!$E$13+1,1))</f>
        <v>770.11410336045037</v>
      </c>
      <c r="CZ117" s="59">
        <f t="shared" si="96"/>
        <v>227.12611049004596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0.43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139.11133315905926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139.11133315905926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10.118000000000006</v>
      </c>
      <c r="DO117" s="12">
        <f>IF('Données projet'!$A$166&gt;35,DO116+DN117-DW116,IF(A117&lt;'Données projet'!$A$166,$DL$205^A117,IF(A117='Données projet'!$A$166,'Données projet'!$B$166,DO116+DN117-DW116)))</f>
        <v>504.29199999999952</v>
      </c>
      <c r="DP117" s="17">
        <f>DO117*VLOOKUP('Données projet'!$B$14,Paramètres!$A$1:$I$89,3,0)*VLOOKUP('Données projet'!$B$14,Paramètres!$A$1:$I$89,5,0)</f>
        <v>511.35208799999953</v>
      </c>
      <c r="DQ117" s="13">
        <f t="shared" si="97"/>
        <v>114.01896294912574</v>
      </c>
      <c r="DR117" s="20">
        <f t="shared" si="70"/>
        <v>1089.1879137363931</v>
      </c>
      <c r="DS117" s="59">
        <f t="shared" si="71"/>
        <v>1382.5212470697263</v>
      </c>
      <c r="DT117" s="59">
        <f ca="1">AVERAGE(OFFSET($DS$3,0,0,'Données projet'!$E$14+1,1))-AVERAGE(OFFSET($H$3,0,0,'Données projet'!$E$14+1,1))</f>
        <v>778.88878505968955</v>
      </c>
      <c r="DU117" s="59">
        <f t="shared" si="98"/>
        <v>279.20782832611059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151.27348855615352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151.27348855615352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369.00000000000011</v>
      </c>
      <c r="O118" s="13">
        <f>N118*VLOOKUP('Données projet'!$B$9,Paramètres!$A$1:$I$89,3,0)*VLOOKUP('Données projet'!$B$9,Paramètres!$A$1:$I$89,5,0)</f>
        <v>333.87120000000004</v>
      </c>
      <c r="P118" s="13">
        <f t="shared" si="87"/>
        <v>78.232360111376309</v>
      </c>
      <c r="Q118" s="20">
        <f t="shared" si="107"/>
        <v>717.74703386064709</v>
      </c>
      <c r="R118" s="59">
        <f t="shared" si="55"/>
        <v>1011.0803671939805</v>
      </c>
      <c r="S118" s="59">
        <f ca="1">AVERAGE(OFFSET($R$3,0,0,'Données projet'!$E$9+1,1))-AVERAGE(OFFSET($H$3,0,0,'Données projet'!$E$9+1,1))</f>
        <v>436.4497226650281</v>
      </c>
      <c r="T118" s="59">
        <f t="shared" si="88"/>
        <v>611.43967996341871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1.9635908778859463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1.9635908778859463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630</v>
      </c>
      <c r="AJ118" s="13">
        <f>AI118*VLOOKUP('Données projet'!$B$10,Paramètres!$A$1:$I$89,3,0)*VLOOKUP('Données projet'!$B$10,Paramètres!$A$1:$I$89,5,0)</f>
        <v>550.36800000000005</v>
      </c>
      <c r="AK118" s="13">
        <f t="shared" si="89"/>
        <v>121.67271812244785</v>
      </c>
      <c r="AL118" s="20">
        <f t="shared" si="58"/>
        <v>1170.4709173965966</v>
      </c>
      <c r="AM118" s="59">
        <f t="shared" si="59"/>
        <v>1463.8042507299299</v>
      </c>
      <c r="AN118" s="59">
        <f ca="1">AVERAGE(OFFSET($AM$3,0,0,'Données projet'!$E$10+1,1))-AVERAGE(OFFSET($H$3,0,0,'Données projet'!$E$10+1,1))</f>
        <v>662.13838733542616</v>
      </c>
      <c r="AO118" s="59">
        <f t="shared" si="90"/>
        <v>1194.915361841041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4.7800000000008822</v>
      </c>
      <c r="BE118" s="13">
        <f>BD118*VLOOKUP('Données projet'!$B$11,Paramètres!$A$1:$I$89,3,0)*VLOOKUP('Données projet'!$B$11,Paramètres!$A$1:$I$89,5,0)</f>
        <v>2.2370400000004129</v>
      </c>
      <c r="BF118" s="13">
        <f t="shared" si="91"/>
        <v>0.9386934556823372</v>
      </c>
      <c r="BG118" s="20">
        <f t="shared" si="61"/>
        <v>5.5310691019807896</v>
      </c>
      <c r="BH118" s="59">
        <f t="shared" si="62"/>
        <v>298.8644024353141</v>
      </c>
      <c r="BI118" s="59">
        <f ca="1">AVERAGE(OFFSET($BH$3,0,0,'Données projet'!$E$11+1,1))-AVERAGE(OFFSET($H$3,0,0,'Données projet'!$E$11+1,1))</f>
        <v>321.82962838167799</v>
      </c>
      <c r="BJ118" s="59">
        <f t="shared" si="92"/>
        <v>243.43396255104295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248.75413768831513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248.75413768831513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187.80389738728508</v>
      </c>
      <c r="CE118" s="59">
        <f t="shared" si="94"/>
        <v>439.28159165815265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22.941868833505215</v>
      </c>
      <c r="CL118" s="21">
        <f>EXP(-LN(2)/25)*CL117+(1-EXP(-LN(2)/25))/(LN(2)/25)*Calculateur!CG118*Calculateur!CI118*VLOOKUP('Données projet'!$B$12,Paramètres!$A$1:$I$89,3,0)*0.475*44/12</f>
        <v>1.3619953962201026</v>
      </c>
      <c r="CM118" s="21">
        <f>EXP(-LN(2)/2)*CM117+(1-EXP(-LN(2)/2))/(LN(2)/2)*CG118*CJ118*VLOOKUP('Données projet'!$B$12,Paramètres!$A$1:$I$89,3,0)*0.475*44/12</f>
        <v>7.2288774709151809E-15</v>
      </c>
      <c r="CN118" s="22">
        <f t="shared" si="66"/>
        <v>24.303864229725324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8.3369999999999997</v>
      </c>
      <c r="CT118" s="12">
        <f>IF('Données projet'!$A$140&gt;35,CT117+CS118-DB117,IF(A118&lt;'Données projet'!$A$140,$CQ$205^A118,IF(A118='Données projet'!$A$140,'Données projet'!$B$140,CT117+CS118-DB117)))</f>
        <v>376.82700000000017</v>
      </c>
      <c r="CU118" s="17">
        <f>CT118*VLOOKUP('Données projet'!$B$13,Paramètres!$A$1:$I$89,3,0)*VLOOKUP('Données projet'!$B$13,Paramètres!$A$1:$I$89,5,0)</f>
        <v>429.13058760000018</v>
      </c>
      <c r="CV118" s="13">
        <f t="shared" si="95"/>
        <v>97.658066531096011</v>
      </c>
      <c r="CW118" s="20">
        <f t="shared" si="67"/>
        <v>917.49023927832593</v>
      </c>
      <c r="CX118" s="59">
        <f t="shared" si="68"/>
        <v>1210.8235726116593</v>
      </c>
      <c r="CY118" s="59">
        <f ca="1">AVERAGE(OFFSET($CX$3,0,0,'Données projet'!$E$13+1,1))-AVERAGE(OFFSET($H$3,0,0,'Données projet'!$E$13+1,1))</f>
        <v>770.11410336045037</v>
      </c>
      <c r="CZ118" s="59">
        <f t="shared" si="96"/>
        <v>227.12611049004596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136.38344476534513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136.38344476534513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10.118000000000006</v>
      </c>
      <c r="DO118" s="12">
        <f>IF('Données projet'!$A$166&gt;35,DO117+DN118-DW117,IF(A118&lt;'Données projet'!$A$166,$DL$205^A118,IF(A118='Données projet'!$A$166,'Données projet'!$B$166,DO117+DN118-DW117)))</f>
        <v>514.40999999999951</v>
      </c>
      <c r="DP118" s="17">
        <f>DO118*VLOOKUP('Données projet'!$B$14,Paramètres!$A$1:$I$89,3,0)*VLOOKUP('Données projet'!$B$14,Paramètres!$A$1:$I$89,5,0)</f>
        <v>521.61173999999949</v>
      </c>
      <c r="DQ118" s="13">
        <f t="shared" si="97"/>
        <v>116.03798803193443</v>
      </c>
      <c r="DR118" s="20">
        <f t="shared" si="70"/>
        <v>1110.573276322285</v>
      </c>
      <c r="DS118" s="59">
        <f t="shared" si="71"/>
        <v>1403.9066096556182</v>
      </c>
      <c r="DT118" s="59">
        <f ca="1">AVERAGE(OFFSET($DS$3,0,0,'Données projet'!$E$14+1,1))-AVERAGE(OFFSET($H$3,0,0,'Données projet'!$E$14+1,1))</f>
        <v>778.88878505968955</v>
      </c>
      <c r="DU118" s="59">
        <f t="shared" si="98"/>
        <v>279.20782832611059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148.30710771328469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148.30710771328469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369.00000000000011</v>
      </c>
      <c r="O119" s="13">
        <f>N119*VLOOKUP('Données projet'!$B$9,Paramètres!$A$1:$I$89,3,0)*VLOOKUP('Données projet'!$B$9,Paramètres!$A$1:$I$89,5,0)</f>
        <v>333.87120000000004</v>
      </c>
      <c r="P119" s="13">
        <f t="shared" si="87"/>
        <v>78.232360111376309</v>
      </c>
      <c r="Q119" s="20">
        <f t="shared" si="107"/>
        <v>717.74703386064709</v>
      </c>
      <c r="R119" s="59">
        <f t="shared" si="55"/>
        <v>1011.0803671939805</v>
      </c>
      <c r="S119" s="59">
        <f ca="1">AVERAGE(OFFSET($R$3,0,0,'Données projet'!$E$9+1,1))-AVERAGE(OFFSET($H$3,0,0,'Données projet'!$E$9+1,1))</f>
        <v>436.4497226650281</v>
      </c>
      <c r="T119" s="59">
        <f t="shared" si="88"/>
        <v>611.43967996341871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1.925086058442778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1.925086058442778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630</v>
      </c>
      <c r="AJ119" s="13">
        <f>AI119*VLOOKUP('Données projet'!$B$10,Paramètres!$A$1:$I$89,3,0)*VLOOKUP('Données projet'!$B$10,Paramètres!$A$1:$I$89,5,0)</f>
        <v>550.36800000000005</v>
      </c>
      <c r="AK119" s="13">
        <f t="shared" si="89"/>
        <v>121.67271812244785</v>
      </c>
      <c r="AL119" s="20">
        <f t="shared" si="58"/>
        <v>1170.4709173965966</v>
      </c>
      <c r="AM119" s="59">
        <f t="shared" si="59"/>
        <v>1463.8042507299299</v>
      </c>
      <c r="AN119" s="59">
        <f ca="1">AVERAGE(OFFSET($AM$3,0,0,'Données projet'!$E$10+1,1))-AVERAGE(OFFSET($H$3,0,0,'Données projet'!$E$10+1,1))</f>
        <v>662.13838733542616</v>
      </c>
      <c r="AO119" s="59">
        <f t="shared" si="90"/>
        <v>1194.915361841041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4.7800000000008822</v>
      </c>
      <c r="BE119" s="13">
        <f>BD119*VLOOKUP('Données projet'!$B$11,Paramètres!$A$1:$I$89,3,0)*VLOOKUP('Données projet'!$B$11,Paramètres!$A$1:$I$89,5,0)</f>
        <v>2.2370400000004129</v>
      </c>
      <c r="BF119" s="13">
        <f t="shared" si="91"/>
        <v>0.9386934556823372</v>
      </c>
      <c r="BG119" s="20">
        <f t="shared" si="61"/>
        <v>5.5310691019807896</v>
      </c>
      <c r="BH119" s="59">
        <f t="shared" si="62"/>
        <v>298.8644024353141</v>
      </c>
      <c r="BI119" s="59">
        <f ca="1">AVERAGE(OFFSET($BH$3,0,0,'Données projet'!$E$11+1,1))-AVERAGE(OFFSET($H$3,0,0,'Données projet'!$E$11+1,1))</f>
        <v>321.82962838167799</v>
      </c>
      <c r="BJ119" s="59">
        <f t="shared" si="92"/>
        <v>243.43396255104295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243.87622077328965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243.87622077328965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187.80389738728508</v>
      </c>
      <c r="CE119" s="59">
        <f t="shared" si="94"/>
        <v>439.28159165815265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22.491992778838455</v>
      </c>
      <c r="CL119" s="21">
        <f>EXP(-LN(2)/25)*CL118+(1-EXP(-LN(2)/25))/(LN(2)/25)*Calculateur!CG119*Calculateur!CI119*VLOOKUP('Données projet'!$B$12,Paramètres!$A$1:$I$89,3,0)*0.475*44/12</f>
        <v>1.3247515604862388</v>
      </c>
      <c r="CM119" s="21">
        <f>EXP(-LN(2)/2)*CM118+(1-EXP(-LN(2)/2))/(LN(2)/2)*CG119*CJ119*VLOOKUP('Données projet'!$B$12,Paramètres!$A$1:$I$89,3,0)*0.475*44/12</f>
        <v>5.1115882800507839E-15</v>
      </c>
      <c r="CN119" s="22">
        <f t="shared" si="66"/>
        <v>23.816744339324696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8.3369999999999997</v>
      </c>
      <c r="CT119" s="12">
        <f>IF('Données projet'!$A$140&gt;35,CT118+CS119-DB118,IF(A119&lt;'Données projet'!$A$140,$CQ$205^A119,IF(A119='Données projet'!$A$140,'Données projet'!$B$140,CT118+CS119-DB118)))</f>
        <v>385.16400000000016</v>
      </c>
      <c r="CU119" s="17">
        <f>CT119*VLOOKUP('Données projet'!$B$13,Paramètres!$A$1:$I$89,3,0)*VLOOKUP('Données projet'!$B$13,Paramètres!$A$1:$I$89,5,0)</f>
        <v>438.62476320000019</v>
      </c>
      <c r="CV119" s="13">
        <f t="shared" si="95"/>
        <v>99.564741230711235</v>
      </c>
      <c r="CW119" s="20">
        <f t="shared" si="67"/>
        <v>937.34672021682229</v>
      </c>
      <c r="CX119" s="59">
        <f t="shared" si="68"/>
        <v>1230.6800535501557</v>
      </c>
      <c r="CY119" s="59">
        <f ca="1">AVERAGE(OFFSET($CX$3,0,0,'Données projet'!$E$13+1,1))-AVERAGE(OFFSET($H$3,0,0,'Données projet'!$E$13+1,1))</f>
        <v>770.11410336045037</v>
      </c>
      <c r="CZ119" s="59">
        <f t="shared" si="96"/>
        <v>227.12611049004596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133.70904859918411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133.70904859918411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10.118000000000006</v>
      </c>
      <c r="DO119" s="12">
        <f>IF('Données projet'!$A$166&gt;35,DO118+DN119-DW118,IF(A119&lt;'Données projet'!$A$166,$DL$205^A119,IF(A119='Données projet'!$A$166,'Données projet'!$B$166,DO118+DN119-DW118)))</f>
        <v>524.52799999999957</v>
      </c>
      <c r="DP119" s="17">
        <f>DO119*VLOOKUP('Données projet'!$B$14,Paramètres!$A$1:$I$89,3,0)*VLOOKUP('Données projet'!$B$14,Paramètres!$A$1:$I$89,5,0)</f>
        <v>531.87139199999956</v>
      </c>
      <c r="DQ119" s="13">
        <f t="shared" si="97"/>
        <v>118.05239555515372</v>
      </c>
      <c r="DR119" s="20">
        <f t="shared" si="70"/>
        <v>1131.9505966585587</v>
      </c>
      <c r="DS119" s="59">
        <f t="shared" si="71"/>
        <v>1425.2839299918919</v>
      </c>
      <c r="DT119" s="59">
        <f ca="1">AVERAGE(OFFSET($DS$3,0,0,'Données projet'!$E$14+1,1))-AVERAGE(OFFSET($H$3,0,0,'Données projet'!$E$14+1,1))</f>
        <v>778.88878505968955</v>
      </c>
      <c r="DU119" s="59">
        <f t="shared" si="98"/>
        <v>279.20782832611059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145.39889578943087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145.39889578943087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369.00000000000011</v>
      </c>
      <c r="O120" s="13">
        <f>N120*VLOOKUP('Données projet'!$B$9,Paramètres!$A$1:$I$89,3,0)*VLOOKUP('Données projet'!$B$9,Paramètres!$A$1:$I$89,5,0)</f>
        <v>333.87120000000004</v>
      </c>
      <c r="P120" s="13">
        <f t="shared" si="87"/>
        <v>78.232360111376309</v>
      </c>
      <c r="Q120" s="20">
        <f t="shared" si="107"/>
        <v>717.74703386064709</v>
      </c>
      <c r="R120" s="59">
        <f t="shared" si="55"/>
        <v>1011.0803671939805</v>
      </c>
      <c r="S120" s="59">
        <f ca="1">AVERAGE(OFFSET($R$3,0,0,'Données projet'!$E$9+1,1))-AVERAGE(OFFSET($H$3,0,0,'Données projet'!$E$9+1,1))</f>
        <v>436.4497226650281</v>
      </c>
      <c r="T120" s="59">
        <f t="shared" si="88"/>
        <v>611.43967996341871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1.8873362950232695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1.8873362950232695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630</v>
      </c>
      <c r="AJ120" s="13">
        <f>AI120*VLOOKUP('Données projet'!$B$10,Paramètres!$A$1:$I$89,3,0)*VLOOKUP('Données projet'!$B$10,Paramètres!$A$1:$I$89,5,0)</f>
        <v>550.36800000000005</v>
      </c>
      <c r="AK120" s="13">
        <f t="shared" si="89"/>
        <v>121.67271812244785</v>
      </c>
      <c r="AL120" s="20">
        <f t="shared" si="58"/>
        <v>1170.4709173965966</v>
      </c>
      <c r="AM120" s="59">
        <f t="shared" si="59"/>
        <v>1463.8042507299299</v>
      </c>
      <c r="AN120" s="59">
        <f ca="1">AVERAGE(OFFSET($AM$3,0,0,'Données projet'!$E$10+1,1))-AVERAGE(OFFSET($H$3,0,0,'Données projet'!$E$10+1,1))</f>
        <v>662.13838733542616</v>
      </c>
      <c r="AO120" s="59">
        <f t="shared" si="90"/>
        <v>1194.915361841041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4.7800000000008822</v>
      </c>
      <c r="BE120" s="13">
        <f>BD120*VLOOKUP('Données projet'!$B$11,Paramètres!$A$1:$I$89,3,0)*VLOOKUP('Données projet'!$B$11,Paramètres!$A$1:$I$89,5,0)</f>
        <v>2.2370400000004129</v>
      </c>
      <c r="BF120" s="13">
        <f t="shared" si="91"/>
        <v>0.9386934556823372</v>
      </c>
      <c r="BG120" s="20">
        <f t="shared" si="61"/>
        <v>5.5310691019807896</v>
      </c>
      <c r="BH120" s="59">
        <f t="shared" si="62"/>
        <v>298.8644024353141</v>
      </c>
      <c r="BI120" s="59">
        <f ca="1">AVERAGE(OFFSET($BH$3,0,0,'Données projet'!$E$11+1,1))-AVERAGE(OFFSET($H$3,0,0,'Données projet'!$E$11+1,1))</f>
        <v>321.82962838167799</v>
      </c>
      <c r="BJ120" s="59">
        <f t="shared" si="92"/>
        <v>243.43396255104295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239.09395683373228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239.09395683373228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187.80389738728508</v>
      </c>
      <c r="CE120" s="59">
        <f t="shared" si="94"/>
        <v>439.28159165815265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22.050938519206412</v>
      </c>
      <c r="CL120" s="21">
        <f>EXP(-LN(2)/25)*CL119+(1-EXP(-LN(2)/25))/(LN(2)/25)*Calculateur!CG120*Calculateur!CI120*VLOOKUP('Données projet'!$B$12,Paramètres!$A$1:$I$89,3,0)*0.475*44/12</f>
        <v>1.2885261593990858</v>
      </c>
      <c r="CM120" s="21">
        <f>EXP(-LN(2)/2)*CM119+(1-EXP(-LN(2)/2))/(LN(2)/2)*CG120*CJ120*VLOOKUP('Données projet'!$B$12,Paramètres!$A$1:$I$89,3,0)*0.475*44/12</f>
        <v>3.6144387354575905E-15</v>
      </c>
      <c r="CN120" s="22">
        <f t="shared" si="66"/>
        <v>23.339464678605502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8.3369999999999997</v>
      </c>
      <c r="CT120" s="12">
        <f>IF('Données projet'!$A$140&gt;35,CT119+CS120-DB119,IF(A120&lt;'Données projet'!$A$140,$CQ$205^A120,IF(A120='Données projet'!$A$140,'Données projet'!$B$140,CT119+CS120-DB119)))</f>
        <v>393.50100000000015</v>
      </c>
      <c r="CU120" s="17">
        <f>CT120*VLOOKUP('Données projet'!$B$13,Paramètres!$A$1:$I$89,3,0)*VLOOKUP('Données projet'!$B$13,Paramètres!$A$1:$I$89,5,0)</f>
        <v>448.11893880000014</v>
      </c>
      <c r="CV120" s="13">
        <f t="shared" si="95"/>
        <v>101.46661768385107</v>
      </c>
      <c r="CW120" s="20">
        <f t="shared" si="67"/>
        <v>957.19484420937408</v>
      </c>
      <c r="CX120" s="59">
        <f t="shared" si="68"/>
        <v>1250.5281775427075</v>
      </c>
      <c r="CY120" s="59">
        <f ca="1">AVERAGE(OFFSET($CX$3,0,0,'Données projet'!$E$13+1,1))-AVERAGE(OFFSET($H$3,0,0,'Données projet'!$E$13+1,1))</f>
        <v>770.11410336045037</v>
      </c>
      <c r="CZ120" s="59">
        <f t="shared" si="96"/>
        <v>227.12611049004596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131.08709571062093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131.08709571062093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10.118000000000006</v>
      </c>
      <c r="DO120" s="12">
        <f>IF('Données projet'!$A$166&gt;35,DO119+DN120-DW119,IF(A120&lt;'Données projet'!$A$166,$DL$205^A120,IF(A120='Données projet'!$A$166,'Données projet'!$B$166,DO119+DN120-DW119)))</f>
        <v>534.64599999999962</v>
      </c>
      <c r="DP120" s="17">
        <f>DO120*VLOOKUP('Données projet'!$B$14,Paramètres!$A$1:$I$89,3,0)*VLOOKUP('Données projet'!$B$14,Paramètres!$A$1:$I$89,5,0)</f>
        <v>542.13104399999963</v>
      </c>
      <c r="DQ120" s="13">
        <f t="shared" si="97"/>
        <v>120.06228485902324</v>
      </c>
      <c r="DR120" s="20">
        <f t="shared" si="70"/>
        <v>1153.3200477627981</v>
      </c>
      <c r="DS120" s="59">
        <f t="shared" si="71"/>
        <v>1446.6533810961314</v>
      </c>
      <c r="DT120" s="59">
        <f ca="1">AVERAGE(OFFSET($DS$3,0,0,'Données projet'!$E$14+1,1))-AVERAGE(OFFSET($H$3,0,0,'Données projet'!$E$14+1,1))</f>
        <v>778.88878505968955</v>
      </c>
      <c r="DU120" s="59">
        <f t="shared" si="98"/>
        <v>279.20782832611059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142.5477121275697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142.5477121275697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369.00000000000011</v>
      </c>
      <c r="O121" s="13">
        <f>N121*VLOOKUP('Données projet'!$B$9,Paramètres!$A$1:$I$89,3,0)*VLOOKUP('Données projet'!$B$9,Paramètres!$A$1:$I$89,5,0)</f>
        <v>333.87120000000004</v>
      </c>
      <c r="P121" s="13">
        <f t="shared" si="87"/>
        <v>78.232360111376309</v>
      </c>
      <c r="Q121" s="20">
        <f t="shared" si="107"/>
        <v>717.74703386064709</v>
      </c>
      <c r="R121" s="59">
        <f t="shared" si="55"/>
        <v>1011.0803671939805</v>
      </c>
      <c r="S121" s="59">
        <f ca="1">AVERAGE(OFFSET($R$3,0,0,'Données projet'!$E$9+1,1))-AVERAGE(OFFSET($H$3,0,0,'Données projet'!$E$9+1,1))</f>
        <v>436.4497226650281</v>
      </c>
      <c r="T121" s="59">
        <f t="shared" si="88"/>
        <v>611.43967996341871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1.8503267814393354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1.8503267814393354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630</v>
      </c>
      <c r="AJ121" s="13">
        <f>AI121*VLOOKUP('Données projet'!$B$10,Paramètres!$A$1:$I$89,3,0)*VLOOKUP('Données projet'!$B$10,Paramètres!$A$1:$I$89,5,0)</f>
        <v>550.36800000000005</v>
      </c>
      <c r="AK121" s="13">
        <f t="shared" si="89"/>
        <v>121.67271812244785</v>
      </c>
      <c r="AL121" s="20">
        <f t="shared" si="58"/>
        <v>1170.4709173965966</v>
      </c>
      <c r="AM121" s="59">
        <f t="shared" si="59"/>
        <v>1463.8042507299299</v>
      </c>
      <c r="AN121" s="59">
        <f ca="1">AVERAGE(OFFSET($AM$3,0,0,'Données projet'!$E$10+1,1))-AVERAGE(OFFSET($H$3,0,0,'Données projet'!$E$10+1,1))</f>
        <v>662.13838733542616</v>
      </c>
      <c r="AO121" s="59">
        <f t="shared" si="90"/>
        <v>1194.915361841041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4.7800000000008822</v>
      </c>
      <c r="BE121" s="13">
        <f>BD121*VLOOKUP('Données projet'!$B$11,Paramètres!$A$1:$I$89,3,0)*VLOOKUP('Données projet'!$B$11,Paramètres!$A$1:$I$89,5,0)</f>
        <v>2.2370400000004129</v>
      </c>
      <c r="BF121" s="13">
        <f t="shared" si="91"/>
        <v>0.9386934556823372</v>
      </c>
      <c r="BG121" s="20">
        <f t="shared" si="61"/>
        <v>5.5310691019807896</v>
      </c>
      <c r="BH121" s="59">
        <f t="shared" si="62"/>
        <v>298.8644024353141</v>
      </c>
      <c r="BI121" s="59">
        <f ca="1">AVERAGE(OFFSET($BH$3,0,0,'Données projet'!$E$11+1,1))-AVERAGE(OFFSET($H$3,0,0,'Données projet'!$E$11+1,1))</f>
        <v>321.82962838167799</v>
      </c>
      <c r="BJ121" s="59">
        <f t="shared" si="92"/>
        <v>243.43396255104295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234.40547017313665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234.40547017313665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187.80389738728508</v>
      </c>
      <c r="CE121" s="59">
        <f t="shared" si="94"/>
        <v>439.28159165815265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21.618533064589219</v>
      </c>
      <c r="CL121" s="21">
        <f>EXP(-LN(2)/25)*CL120+(1-EXP(-LN(2)/25))/(LN(2)/25)*Calculateur!CG121*Calculateur!CI121*VLOOKUP('Données projet'!$B$12,Paramètres!$A$1:$I$89,3,0)*0.475*44/12</f>
        <v>1.253291343809672</v>
      </c>
      <c r="CM121" s="21">
        <f>EXP(-LN(2)/2)*CM120+(1-EXP(-LN(2)/2))/(LN(2)/2)*CG121*CJ121*VLOOKUP('Données projet'!$B$12,Paramètres!$A$1:$I$89,3,0)*0.475*44/12</f>
        <v>2.555794140025392E-15</v>
      </c>
      <c r="CN121" s="22">
        <f t="shared" si="66"/>
        <v>22.871824408398894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8.3369999999999997</v>
      </c>
      <c r="CT121" s="12">
        <f>IF('Données projet'!$A$140&gt;35,CT120+CS121-DB120,IF(A121&lt;'Données projet'!$A$140,$CQ$205^A121,IF(A121='Données projet'!$A$140,'Données projet'!$B$140,CT120+CS121-DB120)))</f>
        <v>401.83800000000014</v>
      </c>
      <c r="CU121" s="17">
        <f>CT121*VLOOKUP('Données projet'!$B$13,Paramètres!$A$1:$I$89,3,0)*VLOOKUP('Données projet'!$B$13,Paramètres!$A$1:$I$89,5,0)</f>
        <v>457.61311440000014</v>
      </c>
      <c r="CV121" s="13">
        <f t="shared" si="95"/>
        <v>103.3638092600997</v>
      </c>
      <c r="CW121" s="20">
        <f t="shared" si="67"/>
        <v>977.03480870800706</v>
      </c>
      <c r="CX121" s="59">
        <f t="shared" si="68"/>
        <v>1270.3681420413404</v>
      </c>
      <c r="CY121" s="59">
        <f ca="1">AVERAGE(OFFSET($CX$3,0,0,'Données projet'!$E$13+1,1))-AVERAGE(OFFSET($H$3,0,0,'Données projet'!$E$13+1,1))</f>
        <v>770.11410336045037</v>
      </c>
      <c r="CZ121" s="59">
        <f t="shared" si="96"/>
        <v>227.12611049004596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128.51655771896912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128.51655771896912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10.118000000000006</v>
      </c>
      <c r="DO121" s="12">
        <f>IF('Données projet'!$A$166&gt;35,DO120+DN121-DW120,IF(A121&lt;'Données projet'!$A$166,$DL$205^A121,IF(A121='Données projet'!$A$166,'Données projet'!$B$166,DO120+DN121-DW120)))</f>
        <v>544.76399999999967</v>
      </c>
      <c r="DP121" s="17">
        <f>DO121*VLOOKUP('Données projet'!$B$14,Paramètres!$A$1:$I$89,3,0)*VLOOKUP('Données projet'!$B$14,Paramètres!$A$1:$I$89,5,0)</f>
        <v>552.39069599999971</v>
      </c>
      <c r="DQ121" s="13">
        <f t="shared" si="97"/>
        <v>122.0677513086581</v>
      </c>
      <c r="DR121" s="20">
        <f t="shared" si="70"/>
        <v>1174.6817957292456</v>
      </c>
      <c r="DS121" s="59">
        <f t="shared" si="71"/>
        <v>1468.0151290625788</v>
      </c>
      <c r="DT121" s="59">
        <f ca="1">AVERAGE(OFFSET($DS$3,0,0,'Données projet'!$E$14+1,1))-AVERAGE(OFFSET($H$3,0,0,'Données projet'!$E$14+1,1))</f>
        <v>778.88878505968955</v>
      </c>
      <c r="DU121" s="59">
        <f t="shared" si="98"/>
        <v>279.20782832611059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139.75243843826729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139.75243843826729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369.00000000000011</v>
      </c>
      <c r="O122" s="13">
        <f>N122*VLOOKUP('Données projet'!$B$9,Paramètres!$A$1:$I$89,3,0)*VLOOKUP('Données projet'!$B$9,Paramètres!$A$1:$I$89,5,0)</f>
        <v>333.87120000000004</v>
      </c>
      <c r="P122" s="13">
        <f t="shared" si="87"/>
        <v>78.232360111376309</v>
      </c>
      <c r="Q122" s="20">
        <f t="shared" si="107"/>
        <v>717.74703386064709</v>
      </c>
      <c r="R122" s="59">
        <f t="shared" si="55"/>
        <v>1011.0803671939805</v>
      </c>
      <c r="S122" s="59">
        <f ca="1">AVERAGE(OFFSET($R$3,0,0,'Données projet'!$E$9+1,1))-AVERAGE(OFFSET($H$3,0,0,'Données projet'!$E$9+1,1))</f>
        <v>436.4497226650281</v>
      </c>
      <c r="T122" s="59">
        <f t="shared" si="88"/>
        <v>611.43967996341871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1.8140430018432079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1.8140430018432079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630</v>
      </c>
      <c r="AJ122" s="13">
        <f>AI122*VLOOKUP('Données projet'!$B$10,Paramètres!$A$1:$I$89,3,0)*VLOOKUP('Données projet'!$B$10,Paramètres!$A$1:$I$89,5,0)</f>
        <v>550.36800000000005</v>
      </c>
      <c r="AK122" s="13">
        <f t="shared" si="89"/>
        <v>121.67271812244785</v>
      </c>
      <c r="AL122" s="20">
        <f t="shared" si="58"/>
        <v>1170.4709173965966</v>
      </c>
      <c r="AM122" s="59">
        <f t="shared" si="59"/>
        <v>1463.8042507299299</v>
      </c>
      <c r="AN122" s="59">
        <f ca="1">AVERAGE(OFFSET($AM$3,0,0,'Données projet'!$E$10+1,1))-AVERAGE(OFFSET($H$3,0,0,'Données projet'!$E$10+1,1))</f>
        <v>662.13838733542616</v>
      </c>
      <c r="AO122" s="59">
        <f t="shared" si="90"/>
        <v>1194.915361841041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4.7800000000008822</v>
      </c>
      <c r="BE122" s="13">
        <f>BD122*VLOOKUP('Données projet'!$B$11,Paramètres!$A$1:$I$89,3,0)*VLOOKUP('Données projet'!$B$11,Paramètres!$A$1:$I$89,5,0)</f>
        <v>2.2370400000004129</v>
      </c>
      <c r="BF122" s="13">
        <f t="shared" si="91"/>
        <v>0.9386934556823372</v>
      </c>
      <c r="BG122" s="20">
        <f t="shared" si="61"/>
        <v>5.5310691019807896</v>
      </c>
      <c r="BH122" s="59">
        <f t="shared" si="62"/>
        <v>298.8644024353141</v>
      </c>
      <c r="BI122" s="59">
        <f ca="1">AVERAGE(OFFSET($BH$3,0,0,'Données projet'!$E$11+1,1))-AVERAGE(OFFSET($H$3,0,0,'Données projet'!$E$11+1,1))</f>
        <v>321.82962838167799</v>
      </c>
      <c r="BJ122" s="59">
        <f t="shared" si="92"/>
        <v>243.43396255104295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229.80892187626083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229.80892187626083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187.80389738728508</v>
      </c>
      <c r="CE122" s="59">
        <f t="shared" si="94"/>
        <v>439.28159165815265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21.194606817195783</v>
      </c>
      <c r="CL122" s="21">
        <f>EXP(-LN(2)/25)*CL121+(1-EXP(-LN(2)/25))/(LN(2)/25)*Calculateur!CG122*Calculateur!CI122*VLOOKUP('Données projet'!$B$12,Paramètres!$A$1:$I$89,3,0)*0.475*44/12</f>
        <v>1.2190200261054691</v>
      </c>
      <c r="CM122" s="21">
        <f>EXP(-LN(2)/2)*CM121+(1-EXP(-LN(2)/2))/(LN(2)/2)*CG122*CJ122*VLOOKUP('Données projet'!$B$12,Paramètres!$A$1:$I$89,3,0)*0.475*44/12</f>
        <v>1.8072193677287952E-15</v>
      </c>
      <c r="CN122" s="22">
        <f t="shared" si="66"/>
        <v>22.413626843301255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8.3369999999999997</v>
      </c>
      <c r="CT122" s="12">
        <f>IF('Données projet'!$A$140&gt;35,CT121+CS122-DB121,IF(A122&lt;'Données projet'!$A$140,$CQ$205^A122,IF(A122='Données projet'!$A$140,'Données projet'!$B$140,CT121+CS122-DB121)))</f>
        <v>410.17500000000013</v>
      </c>
      <c r="CU122" s="17">
        <f>CT122*VLOOKUP('Données projet'!$B$13,Paramètres!$A$1:$I$89,3,0)*VLOOKUP('Données projet'!$B$13,Paramètres!$A$1:$I$89,5,0)</f>
        <v>467.10729000000009</v>
      </c>
      <c r="CV122" s="13">
        <f t="shared" si="95"/>
        <v>105.2564243559966</v>
      </c>
      <c r="CW122" s="20">
        <f t="shared" si="67"/>
        <v>996.86680250336076</v>
      </c>
      <c r="CX122" s="59">
        <f t="shared" si="68"/>
        <v>1290.200135836694</v>
      </c>
      <c r="CY122" s="59">
        <f ca="1">AVERAGE(OFFSET($CX$3,0,0,'Données projet'!$E$13+1,1))-AVERAGE(OFFSET($H$3,0,0,'Données projet'!$E$13+1,1))</f>
        <v>770.11410336045037</v>
      </c>
      <c r="CZ122" s="59">
        <f t="shared" si="96"/>
        <v>227.12611049004596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125.99642640946024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125.99642640946024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10.118000000000006</v>
      </c>
      <c r="DO122" s="12">
        <f>IF('Données projet'!$A$166&gt;35,DO121+DN122-DW121,IF(A122&lt;'Données projet'!$A$166,$DL$205^A122,IF(A122='Données projet'!$A$166,'Données projet'!$B$166,DO121+DN122-DW121)))</f>
        <v>554.88199999999972</v>
      </c>
      <c r="DP122" s="17">
        <f>DO122*VLOOKUP('Données projet'!$B$14,Paramètres!$A$1:$I$89,3,0)*VLOOKUP('Données projet'!$B$14,Paramètres!$A$1:$I$89,5,0)</f>
        <v>562.65034799999978</v>
      </c>
      <c r="DQ122" s="13">
        <f t="shared" si="97"/>
        <v>124.06888652393931</v>
      </c>
      <c r="DR122" s="20">
        <f t="shared" si="70"/>
        <v>1196.036000129194</v>
      </c>
      <c r="DS122" s="59">
        <f t="shared" si="71"/>
        <v>1489.3693334625273</v>
      </c>
      <c r="DT122" s="59">
        <f ca="1">AVERAGE(OFFSET($DS$3,0,0,'Données projet'!$E$14+1,1))-AVERAGE(OFFSET($H$3,0,0,'Données projet'!$E$14+1,1))</f>
        <v>778.88878505968955</v>
      </c>
      <c r="DU122" s="59">
        <f t="shared" si="98"/>
        <v>279.20782832611059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137.01197836106351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137.01197836106351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369.00000000000011</v>
      </c>
      <c r="O123" s="13">
        <f>N123*VLOOKUP('Données projet'!$B$9,Paramètres!$A$1:$I$89,3,0)*VLOOKUP('Données projet'!$B$9,Paramètres!$A$1:$I$89,5,0)</f>
        <v>333.87120000000004</v>
      </c>
      <c r="P123" s="13">
        <f t="shared" si="87"/>
        <v>78.232360111376309</v>
      </c>
      <c r="Q123" s="20">
        <f t="shared" si="107"/>
        <v>717.74703386064709</v>
      </c>
      <c r="R123" s="59">
        <f t="shared" si="55"/>
        <v>1011.0803671939805</v>
      </c>
      <c r="S123" s="59">
        <f ca="1">AVERAGE(OFFSET($R$3,0,0,'Données projet'!$E$9+1,1))-AVERAGE(OFFSET($H$3,0,0,'Données projet'!$E$9+1,1))</f>
        <v>436.4497226650281</v>
      </c>
      <c r="T123" s="59">
        <f t="shared" si="88"/>
        <v>611.43967996341871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1.7784707250340401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1.7784707250340401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630</v>
      </c>
      <c r="AJ123" s="13">
        <f>AI123*VLOOKUP('Données projet'!$B$10,Paramètres!$A$1:$I$89,3,0)*VLOOKUP('Données projet'!$B$10,Paramètres!$A$1:$I$89,5,0)</f>
        <v>550.36800000000005</v>
      </c>
      <c r="AK123" s="13">
        <f t="shared" si="89"/>
        <v>121.67271812244785</v>
      </c>
      <c r="AL123" s="20">
        <f t="shared" si="58"/>
        <v>1170.4709173965966</v>
      </c>
      <c r="AM123" s="59">
        <f t="shared" si="59"/>
        <v>1463.8042507299299</v>
      </c>
      <c r="AN123" s="59">
        <f ca="1">AVERAGE(OFFSET($AM$3,0,0,'Données projet'!$E$10+1,1))-AVERAGE(OFFSET($H$3,0,0,'Données projet'!$E$10+1,1))</f>
        <v>662.13838733542616</v>
      </c>
      <c r="AO123" s="59">
        <f t="shared" si="90"/>
        <v>1194.915361841041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4.7800000000008822</v>
      </c>
      <c r="BE123" s="13">
        <f>BD123*VLOOKUP('Données projet'!$B$11,Paramètres!$A$1:$I$89,3,0)*VLOOKUP('Données projet'!$B$11,Paramètres!$A$1:$I$89,5,0)</f>
        <v>2.2370400000004129</v>
      </c>
      <c r="BF123" s="13">
        <f t="shared" si="91"/>
        <v>0.9386934556823372</v>
      </c>
      <c r="BG123" s="20">
        <f t="shared" si="61"/>
        <v>5.5310691019807896</v>
      </c>
      <c r="BH123" s="59">
        <f t="shared" si="62"/>
        <v>298.8644024353141</v>
      </c>
      <c r="BI123" s="59">
        <f ca="1">AVERAGE(OFFSET($BH$3,0,0,'Données projet'!$E$11+1,1))-AVERAGE(OFFSET($H$3,0,0,'Données projet'!$E$11+1,1))</f>
        <v>321.82962838167799</v>
      </c>
      <c r="BJ123" s="59">
        <f t="shared" si="92"/>
        <v>243.43396255104295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225.30250908786908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225.30250908786908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187.80389738728508</v>
      </c>
      <c r="CE123" s="59">
        <f t="shared" si="94"/>
        <v>439.28159165815265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20.778993504944253</v>
      </c>
      <c r="CL123" s="21">
        <f>EXP(-LN(2)/25)*CL122+(1-EXP(-LN(2)/25))/(LN(2)/25)*Calculateur!CG123*Calculateur!CI123*VLOOKUP('Données projet'!$B$12,Paramètres!$A$1:$I$89,3,0)*0.475*44/12</f>
        <v>1.1856858593861379</v>
      </c>
      <c r="CM123" s="21">
        <f>EXP(-LN(2)/2)*CM122+(1-EXP(-LN(2)/2))/(LN(2)/2)*CG123*CJ123*VLOOKUP('Données projet'!$B$12,Paramètres!$A$1:$I$89,3,0)*0.475*44/12</f>
        <v>1.277897070012696E-15</v>
      </c>
      <c r="CN123" s="22">
        <f t="shared" si="66"/>
        <v>21.96467936433039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8.3369999999999997</v>
      </c>
      <c r="CT123" s="12">
        <f>IF('Données projet'!$A$140&gt;35,CT122+CS123-DB122,IF(A123&lt;'Données projet'!$A$140,$CQ$205^A123,IF(A123='Données projet'!$A$140,'Données projet'!$B$140,CT122+CS123-DB122)))</f>
        <v>418.51200000000011</v>
      </c>
      <c r="CU123" s="17">
        <f>CT123*VLOOKUP('Données projet'!$B$13,Paramètres!$A$1:$I$89,3,0)*VLOOKUP('Données projet'!$B$13,Paramètres!$A$1:$I$89,5,0)</f>
        <v>476.6014656000001</v>
      </c>
      <c r="CV123" s="13">
        <f t="shared" si="95"/>
        <v>107.14456670975576</v>
      </c>
      <c r="CW123" s="20">
        <f t="shared" si="67"/>
        <v>1016.6910062728247</v>
      </c>
      <c r="CX123" s="59">
        <f t="shared" si="68"/>
        <v>1310.024339606158</v>
      </c>
      <c r="CY123" s="59">
        <f ca="1">AVERAGE(OFFSET($CX$3,0,0,'Données projet'!$E$13+1,1))-AVERAGE(OFFSET($H$3,0,0,'Données projet'!$E$13+1,1))</f>
        <v>770.11410336045037</v>
      </c>
      <c r="CZ123" s="59">
        <f t="shared" si="96"/>
        <v>227.12611049004596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123.5257133378025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123.5257133378025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565</v>
      </c>
      <c r="DM123" s="12">
        <f>VLOOKUP(A123,'Données projet'!$A$165:$I$185,9,0)</f>
        <v>10.118000000000006</v>
      </c>
      <c r="DN123" s="12">
        <f t="array" ref="DN123">INDEX(DM:DM,MIN(IF(ISNUMBER(DM123:DM319),ROW(DM123:DM319),"")))</f>
        <v>10.118000000000006</v>
      </c>
      <c r="DO123" s="12">
        <f>IF('Données projet'!$A$166&gt;35,DO122+DN123-DW122,IF(A123&lt;'Données projet'!$A$166,$DL$205^A123,IF(A123='Données projet'!$A$166,'Données projet'!$B$166,DO122+DN123-DW122)))</f>
        <v>564.99999999999977</v>
      </c>
      <c r="DP123" s="17">
        <f>DO123*VLOOKUP('Données projet'!$B$14,Paramètres!$A$1:$I$89,3,0)*VLOOKUP('Données projet'!$B$14,Paramètres!$A$1:$I$89,5,0)</f>
        <v>572.90999999999985</v>
      </c>
      <c r="DQ123" s="13">
        <f t="shared" si="97"/>
        <v>126.06577859216152</v>
      </c>
      <c r="DR123" s="20">
        <f t="shared" si="70"/>
        <v>1217.3828143813478</v>
      </c>
      <c r="DS123" s="59">
        <f t="shared" si="71"/>
        <v>1510.716147714681</v>
      </c>
      <c r="DT123" s="59">
        <f ca="1">AVERAGE(OFFSET($DS$3,0,0,'Données projet'!$E$14+1,1))-AVERAGE(OFFSET($H$3,0,0,'Données projet'!$E$14+1,1))</f>
        <v>778.88878505968955</v>
      </c>
      <c r="DU123" s="59">
        <f t="shared" si="98"/>
        <v>279.20782832611059</v>
      </c>
      <c r="DV123" s="15">
        <f>IF(ISNA(VLOOKUP(A123,'Données projet'!$A$165:$I$185,3,0)),0,VLOOKUP(A123,'Données projet'!$A$165:$I$185,3,0))</f>
        <v>11</v>
      </c>
      <c r="DW123" s="15">
        <f>IF(ISNA(VLOOKUP(A123,'Données projet'!$A$165:$I$185,4,0)),0,VLOOKUP(A123,'Données projet'!$A$165:$I$185,4,0))</f>
        <v>60.46</v>
      </c>
      <c r="DX123" s="16">
        <f>IF(ISNA(VLOOKUP(A123,'Données projet'!$A$165:$I$185,5,0)),0%,VLOOKUP(A123,'Données projet'!$A$165:$I$185,5,0)*VLOOKUP('Données projet'!$B$14,Paramètres!$A$1:$I$89,7,0))</f>
        <v>0.43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163.46741203714214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163.46741203714214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369.00000000000011</v>
      </c>
      <c r="O124" s="13">
        <f>N124*VLOOKUP('Données projet'!$B$9,Paramètres!$A$1:$I$89,3,0)*VLOOKUP('Données projet'!$B$9,Paramètres!$A$1:$I$89,5,0)</f>
        <v>333.87120000000004</v>
      </c>
      <c r="P124" s="13">
        <f t="shared" si="87"/>
        <v>78.232360111376309</v>
      </c>
      <c r="Q124" s="20">
        <f t="shared" si="107"/>
        <v>717.74703386064709</v>
      </c>
      <c r="R124" s="59">
        <f t="shared" si="55"/>
        <v>1011.0803671939805</v>
      </c>
      <c r="S124" s="59">
        <f ca="1">AVERAGE(OFFSET($R$3,0,0,'Données projet'!$E$9+1,1))-AVERAGE(OFFSET($H$3,0,0,'Données projet'!$E$9+1,1))</f>
        <v>436.4497226650281</v>
      </c>
      <c r="T124" s="59">
        <f t="shared" si="88"/>
        <v>611.43967996341871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1.7435959988761538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1.7435959988761538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630</v>
      </c>
      <c r="AJ124" s="13">
        <f>AI124*VLOOKUP('Données projet'!$B$10,Paramètres!$A$1:$I$89,3,0)*VLOOKUP('Données projet'!$B$10,Paramètres!$A$1:$I$89,5,0)</f>
        <v>550.36800000000005</v>
      </c>
      <c r="AK124" s="13">
        <f t="shared" si="89"/>
        <v>121.67271812244785</v>
      </c>
      <c r="AL124" s="20">
        <f t="shared" si="58"/>
        <v>1170.4709173965966</v>
      </c>
      <c r="AM124" s="59">
        <f t="shared" si="59"/>
        <v>1463.8042507299299</v>
      </c>
      <c r="AN124" s="59">
        <f ca="1">AVERAGE(OFFSET($AM$3,0,0,'Données projet'!$E$10+1,1))-AVERAGE(OFFSET($H$3,0,0,'Données projet'!$E$10+1,1))</f>
        <v>662.13838733542616</v>
      </c>
      <c r="AO124" s="59">
        <f t="shared" si="90"/>
        <v>1194.915361841041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4.7800000000008822</v>
      </c>
      <c r="BE124" s="13">
        <f>BD124*VLOOKUP('Données projet'!$B$11,Paramètres!$A$1:$I$89,3,0)*VLOOKUP('Données projet'!$B$11,Paramètres!$A$1:$I$89,5,0)</f>
        <v>2.2370400000004129</v>
      </c>
      <c r="BF124" s="13">
        <f t="shared" si="91"/>
        <v>0.9386934556823372</v>
      </c>
      <c r="BG124" s="20">
        <f t="shared" si="61"/>
        <v>5.5310691019807896</v>
      </c>
      <c r="BH124" s="59">
        <f t="shared" si="62"/>
        <v>298.8644024353141</v>
      </c>
      <c r="BI124" s="59">
        <f ca="1">AVERAGE(OFFSET($BH$3,0,0,'Données projet'!$E$11+1,1))-AVERAGE(OFFSET($H$3,0,0,'Données projet'!$E$11+1,1))</f>
        <v>321.82962838167799</v>
      </c>
      <c r="BJ124" s="59">
        <f t="shared" si="92"/>
        <v>243.43396255104295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220.88446430561731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220.88446430561731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187.80389738728508</v>
      </c>
      <c r="CE124" s="59">
        <f t="shared" si="94"/>
        <v>439.28159165815265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20.371530116246888</v>
      </c>
      <c r="CL124" s="21">
        <f>EXP(-LN(2)/25)*CL123+(1-EXP(-LN(2)/25))/(LN(2)/25)*Calculateur!CG124*Calculateur!CI124*VLOOKUP('Données projet'!$B$12,Paramètres!$A$1:$I$89,3,0)*0.475*44/12</f>
        <v>1.1532632172087145</v>
      </c>
      <c r="CM124" s="21">
        <f>EXP(-LN(2)/2)*CM123+(1-EXP(-LN(2)/2))/(LN(2)/2)*CG124*CJ124*VLOOKUP('Données projet'!$B$12,Paramètres!$A$1:$I$89,3,0)*0.475*44/12</f>
        <v>9.0360968386439761E-16</v>
      </c>
      <c r="CN124" s="22">
        <f t="shared" si="66"/>
        <v>21.524793333455602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8.3369999999999997</v>
      </c>
      <c r="CT124" s="12">
        <f>IF('Données projet'!$A$140&gt;35,CT123+CS124-DB123,IF(A124&lt;'Données projet'!$A$140,$CQ$205^A124,IF(A124='Données projet'!$A$140,'Données projet'!$B$140,CT123+CS124-DB123)))</f>
        <v>426.8490000000001</v>
      </c>
      <c r="CU124" s="17">
        <f>CT124*VLOOKUP('Données projet'!$B$13,Paramètres!$A$1:$I$89,3,0)*VLOOKUP('Données projet'!$B$13,Paramètres!$A$1:$I$89,5,0)</f>
        <v>486.09564120000016</v>
      </c>
      <c r="CV124" s="13">
        <f t="shared" si="95"/>
        <v>109.02833569019732</v>
      </c>
      <c r="CW124" s="20">
        <f t="shared" si="67"/>
        <v>1036.5075930837606</v>
      </c>
      <c r="CX124" s="59">
        <f t="shared" si="68"/>
        <v>1329.8409264170939</v>
      </c>
      <c r="CY124" s="59">
        <f ca="1">AVERAGE(OFFSET($CX$3,0,0,'Données projet'!$E$13+1,1))-AVERAGE(OFFSET($H$3,0,0,'Données projet'!$E$13+1,1))</f>
        <v>770.11410336045037</v>
      </c>
      <c r="CZ124" s="59">
        <f t="shared" si="96"/>
        <v>227.12611049004596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121.1034494424938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121.1034494424938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10.186999999999994</v>
      </c>
      <c r="DO124" s="12">
        <f>IF('Données projet'!$A$166&gt;35,DO123+DN124-DW123,IF(A124&lt;'Données projet'!$A$166,$DL$205^A124,IF(A124='Données projet'!$A$166,'Données projet'!$B$166,DO123+DN124-DW123)))</f>
        <v>514.72699999999975</v>
      </c>
      <c r="DP124" s="17">
        <f>DO124*VLOOKUP('Données projet'!$B$14,Paramètres!$A$1:$I$89,3,0)*VLOOKUP('Données projet'!$B$14,Paramètres!$A$1:$I$89,5,0)</f>
        <v>521.93317799999977</v>
      </c>
      <c r="DQ124" s="13">
        <f t="shared" si="97"/>
        <v>116.10116956856342</v>
      </c>
      <c r="DR124" s="20">
        <f t="shared" si="70"/>
        <v>1111.2431553485806</v>
      </c>
      <c r="DS124" s="59">
        <f t="shared" si="71"/>
        <v>1404.5764886819138</v>
      </c>
      <c r="DT124" s="59">
        <f ca="1">AVERAGE(OFFSET($DS$3,0,0,'Données projet'!$E$14+1,1))-AVERAGE(OFFSET($H$3,0,0,'Données projet'!$E$14+1,1))</f>
        <v>778.88878505968955</v>
      </c>
      <c r="DU124" s="59">
        <f t="shared" si="98"/>
        <v>279.20782832611059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160.26191579237005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160.26191579237005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369.00000000000011</v>
      </c>
      <c r="O125" s="13">
        <f>N125*VLOOKUP('Données projet'!$B$9,Paramètres!$A$1:$I$89,3,0)*VLOOKUP('Données projet'!$B$9,Paramètres!$A$1:$I$89,5,0)</f>
        <v>333.87120000000004</v>
      </c>
      <c r="P125" s="13">
        <f t="shared" si="87"/>
        <v>78.232360111376309</v>
      </c>
      <c r="Q125" s="20">
        <f t="shared" si="107"/>
        <v>717.74703386064709</v>
      </c>
      <c r="R125" s="59">
        <f t="shared" si="55"/>
        <v>1011.0803671939805</v>
      </c>
      <c r="S125" s="59">
        <f ca="1">AVERAGE(OFFSET($R$3,0,0,'Données projet'!$E$9+1,1))-AVERAGE(OFFSET($H$3,0,0,'Données projet'!$E$9+1,1))</f>
        <v>436.4497226650281</v>
      </c>
      <c r="T125" s="59">
        <f t="shared" si="88"/>
        <v>611.43967996341871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1.7094051448267409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1.7094051448267409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630</v>
      </c>
      <c r="AJ125" s="13">
        <f>AI125*VLOOKUP('Données projet'!$B$10,Paramètres!$A$1:$I$89,3,0)*VLOOKUP('Données projet'!$B$10,Paramètres!$A$1:$I$89,5,0)</f>
        <v>550.36800000000005</v>
      </c>
      <c r="AK125" s="13">
        <f t="shared" si="89"/>
        <v>121.67271812244785</v>
      </c>
      <c r="AL125" s="20">
        <f t="shared" si="58"/>
        <v>1170.4709173965966</v>
      </c>
      <c r="AM125" s="59">
        <f t="shared" si="59"/>
        <v>1463.8042507299299</v>
      </c>
      <c r="AN125" s="59">
        <f ca="1">AVERAGE(OFFSET($AM$3,0,0,'Données projet'!$E$10+1,1))-AVERAGE(OFFSET($H$3,0,0,'Données projet'!$E$10+1,1))</f>
        <v>662.13838733542616</v>
      </c>
      <c r="AO125" s="59">
        <f t="shared" si="90"/>
        <v>1194.915361841041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4.7800000000008822</v>
      </c>
      <c r="BE125" s="13">
        <f>BD125*VLOOKUP('Données projet'!$B$11,Paramètres!$A$1:$I$89,3,0)*VLOOKUP('Données projet'!$B$11,Paramètres!$A$1:$I$89,5,0)</f>
        <v>2.2370400000004129</v>
      </c>
      <c r="BF125" s="13">
        <f t="shared" si="91"/>
        <v>0.9386934556823372</v>
      </c>
      <c r="BG125" s="20">
        <f t="shared" si="61"/>
        <v>5.5310691019807896</v>
      </c>
      <c r="BH125" s="59">
        <f t="shared" si="62"/>
        <v>298.8644024353141</v>
      </c>
      <c r="BI125" s="59">
        <f ca="1">AVERAGE(OFFSET($BH$3,0,0,'Données projet'!$E$11+1,1))-AVERAGE(OFFSET($H$3,0,0,'Données projet'!$E$11+1,1))</f>
        <v>321.82962838167799</v>
      </c>
      <c r="BJ125" s="59">
        <f t="shared" si="92"/>
        <v>243.43396255104295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216.55305468680427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216.55305468680427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187.80389738728508</v>
      </c>
      <c r="CE125" s="59">
        <f t="shared" si="94"/>
        <v>439.28159165815265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19.972056836073751</v>
      </c>
      <c r="CL125" s="21">
        <f>EXP(-LN(2)/25)*CL124+(1-EXP(-LN(2)/25))/(LN(2)/25)*Calculateur!CG125*Calculateur!CI125*VLOOKUP('Données projet'!$B$12,Paramètres!$A$1:$I$89,3,0)*0.475*44/12</f>
        <v>1.1217271738866654</v>
      </c>
      <c r="CM125" s="21">
        <f>EXP(-LN(2)/2)*CM124+(1-EXP(-LN(2)/2))/(LN(2)/2)*CG125*CJ125*VLOOKUP('Données projet'!$B$12,Paramètres!$A$1:$I$89,3,0)*0.475*44/12</f>
        <v>6.3894853500634799E-16</v>
      </c>
      <c r="CN125" s="22">
        <f t="shared" si="66"/>
        <v>21.093784009960416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8.3369999999999997</v>
      </c>
      <c r="CT125" s="12">
        <f>IF('Données projet'!$A$140&gt;35,CT124+CS125-DB124,IF(A125&lt;'Données projet'!$A$140,$CQ$205^A125,IF(A125='Données projet'!$A$140,'Données projet'!$B$140,CT124+CS125-DB124)))</f>
        <v>435.18600000000009</v>
      </c>
      <c r="CU125" s="17">
        <f>CT125*VLOOKUP('Données projet'!$B$13,Paramètres!$A$1:$I$89,3,0)*VLOOKUP('Données projet'!$B$13,Paramètres!$A$1:$I$89,5,0)</f>
        <v>495.58981680000016</v>
      </c>
      <c r="CV125" s="13">
        <f t="shared" si="95"/>
        <v>110.90782656246975</v>
      </c>
      <c r="CW125" s="20">
        <f t="shared" si="67"/>
        <v>1056.3167288563018</v>
      </c>
      <c r="CX125" s="59">
        <f t="shared" si="68"/>
        <v>1349.650062189635</v>
      </c>
      <c r="CY125" s="59">
        <f ca="1">AVERAGE(OFFSET($CX$3,0,0,'Données projet'!$E$13+1,1))-AVERAGE(OFFSET($H$3,0,0,'Données projet'!$E$13+1,1))</f>
        <v>770.11410336045037</v>
      </c>
      <c r="CZ125" s="59">
        <f t="shared" si="96"/>
        <v>227.12611049004596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118.72868466473702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118.72868466473702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10.186999999999994</v>
      </c>
      <c r="DO125" s="12">
        <f>IF('Données projet'!$A$166&gt;35,DO124+DN125-DW124,IF(A125&lt;'Données projet'!$A$166,$DL$205^A125,IF(A125='Données projet'!$A$166,'Données projet'!$B$166,DO124+DN125-DW124)))</f>
        <v>524.91399999999976</v>
      </c>
      <c r="DP125" s="17">
        <f>DO125*VLOOKUP('Données projet'!$B$14,Paramètres!$A$1:$I$89,3,0)*VLOOKUP('Données projet'!$B$14,Paramètres!$A$1:$I$89,5,0)</f>
        <v>532.26279599999987</v>
      </c>
      <c r="DQ125" s="13">
        <f t="shared" si="97"/>
        <v>118.12915477357124</v>
      </c>
      <c r="DR125" s="20">
        <f t="shared" si="70"/>
        <v>1132.7659809306363</v>
      </c>
      <c r="DS125" s="59">
        <f t="shared" si="71"/>
        <v>1426.0993142639695</v>
      </c>
      <c r="DT125" s="59">
        <f ca="1">AVERAGE(OFFSET($DS$3,0,0,'Données projet'!$E$14+1,1))-AVERAGE(OFFSET($H$3,0,0,'Données projet'!$E$14+1,1))</f>
        <v>778.88878505968955</v>
      </c>
      <c r="DU125" s="59">
        <f t="shared" si="98"/>
        <v>279.20782832611059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157.11927737379827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157.11927737379827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369.00000000000011</v>
      </c>
      <c r="O126" s="13">
        <f>N126*VLOOKUP('Données projet'!$B$9,Paramètres!$A$1:$I$89,3,0)*VLOOKUP('Données projet'!$B$9,Paramètres!$A$1:$I$89,5,0)</f>
        <v>333.87120000000004</v>
      </c>
      <c r="P126" s="13">
        <f t="shared" si="87"/>
        <v>78.232360111376309</v>
      </c>
      <c r="Q126" s="20">
        <f t="shared" si="107"/>
        <v>717.74703386064709</v>
      </c>
      <c r="R126" s="59">
        <f t="shared" si="55"/>
        <v>1011.0803671939805</v>
      </c>
      <c r="S126" s="59">
        <f ca="1">AVERAGE(OFFSET($R$3,0,0,'Données projet'!$E$9+1,1))-AVERAGE(OFFSET($H$3,0,0,'Données projet'!$E$9+1,1))</f>
        <v>436.4497226650281</v>
      </c>
      <c r="T126" s="59">
        <f t="shared" si="88"/>
        <v>611.43967996341871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1.6758847525708753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1.6758847525708753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630</v>
      </c>
      <c r="AJ126" s="13">
        <f>AI126*VLOOKUP('Données projet'!$B$10,Paramètres!$A$1:$I$89,3,0)*VLOOKUP('Données projet'!$B$10,Paramètres!$A$1:$I$89,5,0)</f>
        <v>550.36800000000005</v>
      </c>
      <c r="AK126" s="13">
        <f t="shared" si="89"/>
        <v>121.67271812244785</v>
      </c>
      <c r="AL126" s="20">
        <f t="shared" si="58"/>
        <v>1170.4709173965966</v>
      </c>
      <c r="AM126" s="59">
        <f t="shared" si="59"/>
        <v>1463.8042507299299</v>
      </c>
      <c r="AN126" s="59">
        <f ca="1">AVERAGE(OFFSET($AM$3,0,0,'Données projet'!$E$10+1,1))-AVERAGE(OFFSET($H$3,0,0,'Données projet'!$E$10+1,1))</f>
        <v>662.13838733542616</v>
      </c>
      <c r="AO126" s="59">
        <f t="shared" si="90"/>
        <v>1194.915361841041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4.7800000000008822</v>
      </c>
      <c r="BE126" s="13">
        <f>BD126*VLOOKUP('Données projet'!$B$11,Paramètres!$A$1:$I$89,3,0)*VLOOKUP('Données projet'!$B$11,Paramètres!$A$1:$I$89,5,0)</f>
        <v>2.2370400000004129</v>
      </c>
      <c r="BF126" s="13">
        <f t="shared" si="91"/>
        <v>0.9386934556823372</v>
      </c>
      <c r="BG126" s="20">
        <f t="shared" si="61"/>
        <v>5.5310691019807896</v>
      </c>
      <c r="BH126" s="59">
        <f t="shared" si="62"/>
        <v>298.8644024353141</v>
      </c>
      <c r="BI126" s="59">
        <f ca="1">AVERAGE(OFFSET($BH$3,0,0,'Données projet'!$E$11+1,1))-AVERAGE(OFFSET($H$3,0,0,'Données projet'!$E$11+1,1))</f>
        <v>321.82962838167799</v>
      </c>
      <c r="BJ126" s="59">
        <f t="shared" si="92"/>
        <v>243.43396255104295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212.30658136871716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212.30658136871716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187.80389738728508</v>
      </c>
      <c r="CE126" s="59">
        <f t="shared" si="94"/>
        <v>439.28159165815265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19.580416983270165</v>
      </c>
      <c r="CL126" s="21">
        <f>EXP(-LN(2)/25)*CL125+(1-EXP(-LN(2)/25))/(LN(2)/25)*Calculateur!CG126*Calculateur!CI126*VLOOKUP('Données projet'!$B$12,Paramètres!$A$1:$I$89,3,0)*0.475*44/12</f>
        <v>1.0910534853276663</v>
      </c>
      <c r="CM126" s="21">
        <f>EXP(-LN(2)/2)*CM125+(1-EXP(-LN(2)/2))/(LN(2)/2)*CG126*CJ126*VLOOKUP('Données projet'!$B$12,Paramètres!$A$1:$I$89,3,0)*0.475*44/12</f>
        <v>4.5180484193219881E-16</v>
      </c>
      <c r="CN126" s="22">
        <f t="shared" si="66"/>
        <v>20.671470468597832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8.3369999999999997</v>
      </c>
      <c r="CT126" s="12">
        <f>IF('Données projet'!$A$140&gt;35,CT125+CS126-DB125,IF(A126&lt;'Données projet'!$A$140,$CQ$205^A126,IF(A126='Données projet'!$A$140,'Données projet'!$B$140,CT125+CS126-DB125)))</f>
        <v>443.52300000000008</v>
      </c>
      <c r="CU126" s="17">
        <f>CT126*VLOOKUP('Données projet'!$B$13,Paramètres!$A$1:$I$89,3,0)*VLOOKUP('Données projet'!$B$13,Paramètres!$A$1:$I$89,5,0)</f>
        <v>505.08399240000011</v>
      </c>
      <c r="CV126" s="13">
        <f t="shared" si="95"/>
        <v>112.78313073283364</v>
      </c>
      <c r="CW126" s="20">
        <f t="shared" si="67"/>
        <v>1076.1185727896852</v>
      </c>
      <c r="CX126" s="59">
        <f t="shared" si="68"/>
        <v>1369.4519061230185</v>
      </c>
      <c r="CY126" s="59">
        <f ca="1">AVERAGE(OFFSET($CX$3,0,0,'Données projet'!$E$13+1,1))-AVERAGE(OFFSET($H$3,0,0,'Données projet'!$E$13+1,1))</f>
        <v>770.11410336045037</v>
      </c>
      <c r="CZ126" s="59">
        <f t="shared" si="96"/>
        <v>227.12611049004596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116.40048757580855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116.40048757580855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10.186999999999994</v>
      </c>
      <c r="DO126" s="12">
        <f>IF('Données projet'!$A$166&gt;35,DO125+DN126-DW125,IF(A126&lt;'Données projet'!$A$166,$DL$205^A126,IF(A126='Données projet'!$A$166,'Données projet'!$B$166,DO125+DN126-DW125)))</f>
        <v>535.10099999999977</v>
      </c>
      <c r="DP126" s="17">
        <f>DO126*VLOOKUP('Données projet'!$B$14,Paramètres!$A$1:$I$89,3,0)*VLOOKUP('Données projet'!$B$14,Paramètres!$A$1:$I$89,5,0)</f>
        <v>542.59241399999985</v>
      </c>
      <c r="DQ126" s="13">
        <f t="shared" si="97"/>
        <v>120.15256368060827</v>
      </c>
      <c r="DR126" s="20">
        <f t="shared" si="70"/>
        <v>1154.280836127059</v>
      </c>
      <c r="DS126" s="59">
        <f t="shared" si="71"/>
        <v>1447.6141694603923</v>
      </c>
      <c r="DT126" s="59">
        <f ca="1">AVERAGE(OFFSET($DS$3,0,0,'Données projet'!$E$14+1,1))-AVERAGE(OFFSET($H$3,0,0,'Données projet'!$E$14+1,1))</f>
        <v>778.88878505968955</v>
      </c>
      <c r="DU126" s="59">
        <f t="shared" si="98"/>
        <v>279.20782832611059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154.03826417779453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154.03826417779453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369.00000000000011</v>
      </c>
      <c r="O127" s="13">
        <f>N127*VLOOKUP('Données projet'!$B$9,Paramètres!$A$1:$I$89,3,0)*VLOOKUP('Données projet'!$B$9,Paramètres!$A$1:$I$89,5,0)</f>
        <v>333.87120000000004</v>
      </c>
      <c r="P127" s="13">
        <f t="shared" si="87"/>
        <v>78.232360111376309</v>
      </c>
      <c r="Q127" s="20">
        <f t="shared" si="107"/>
        <v>717.74703386064709</v>
      </c>
      <c r="R127" s="59">
        <f t="shared" si="55"/>
        <v>1011.0803671939805</v>
      </c>
      <c r="S127" s="59">
        <f ca="1">AVERAGE(OFFSET($R$3,0,0,'Données projet'!$E$9+1,1))-AVERAGE(OFFSET($H$3,0,0,'Données projet'!$E$9+1,1))</f>
        <v>436.4497226650281</v>
      </c>
      <c r="T127" s="59">
        <f t="shared" si="88"/>
        <v>611.43967996341871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1.6430216747617268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1.6430216747617268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630</v>
      </c>
      <c r="AJ127" s="13">
        <f>AI127*VLOOKUP('Données projet'!$B$10,Paramètres!$A$1:$I$89,3,0)*VLOOKUP('Données projet'!$B$10,Paramètres!$A$1:$I$89,5,0)</f>
        <v>550.36800000000005</v>
      </c>
      <c r="AK127" s="13">
        <f t="shared" si="89"/>
        <v>121.67271812244785</v>
      </c>
      <c r="AL127" s="20">
        <f t="shared" si="58"/>
        <v>1170.4709173965966</v>
      </c>
      <c r="AM127" s="59">
        <f t="shared" si="59"/>
        <v>1463.8042507299299</v>
      </c>
      <c r="AN127" s="59">
        <f ca="1">AVERAGE(OFFSET($AM$3,0,0,'Données projet'!$E$10+1,1))-AVERAGE(OFFSET($H$3,0,0,'Données projet'!$E$10+1,1))</f>
        <v>662.13838733542616</v>
      </c>
      <c r="AO127" s="59">
        <f t="shared" si="90"/>
        <v>1194.915361841041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4.7800000000008822</v>
      </c>
      <c r="BE127" s="13">
        <f>BD127*VLOOKUP('Données projet'!$B$11,Paramètres!$A$1:$I$89,3,0)*VLOOKUP('Données projet'!$B$11,Paramètres!$A$1:$I$89,5,0)</f>
        <v>2.2370400000004129</v>
      </c>
      <c r="BF127" s="13">
        <f t="shared" si="91"/>
        <v>0.9386934556823372</v>
      </c>
      <c r="BG127" s="20">
        <f t="shared" si="61"/>
        <v>5.5310691019807896</v>
      </c>
      <c r="BH127" s="59">
        <f t="shared" si="62"/>
        <v>298.8644024353141</v>
      </c>
      <c r="BI127" s="59">
        <f ca="1">AVERAGE(OFFSET($BH$3,0,0,'Données projet'!$E$11+1,1))-AVERAGE(OFFSET($H$3,0,0,'Données projet'!$E$11+1,1))</f>
        <v>321.82962838167799</v>
      </c>
      <c r="BJ127" s="59">
        <f t="shared" si="92"/>
        <v>243.43396255104295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208.14337880230477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208.14337880230477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187.80389738728508</v>
      </c>
      <c r="CE127" s="59">
        <f t="shared" si="94"/>
        <v>439.28159165815265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19.196456949103336</v>
      </c>
      <c r="CL127" s="21">
        <f>EXP(-LN(2)/25)*CL126+(1-EXP(-LN(2)/25))/(LN(2)/25)*Calculateur!CG127*Calculateur!CI127*VLOOKUP('Données projet'!$B$12,Paramètres!$A$1:$I$89,3,0)*0.475*44/12</f>
        <v>1.061218570395372</v>
      </c>
      <c r="CM127" s="21">
        <f>EXP(-LN(2)/2)*CM126+(1-EXP(-LN(2)/2))/(LN(2)/2)*CG127*CJ127*VLOOKUP('Données projet'!$B$12,Paramètres!$A$1:$I$89,3,0)*0.475*44/12</f>
        <v>3.1947426750317399E-16</v>
      </c>
      <c r="CN127" s="22">
        <f t="shared" si="66"/>
        <v>20.257675519498708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8.3369999999999997</v>
      </c>
      <c r="CS127" s="12">
        <f t="array" ref="CS127">INDEX(CR:CR,MIN(IF(ISNUMBER(CR127:CR323),ROW(CR127:CR323),"")))</f>
        <v>8.3369999999999997</v>
      </c>
      <c r="CT127" s="12">
        <f>IF('Données projet'!$A$140&gt;35,CT126+CS127-DB126,IF(A127&lt;'Données projet'!$A$140,$CQ$205^A127,IF(A127='Données projet'!$A$140,'Données projet'!$B$140,CT126+CS127-DB126)))</f>
        <v>451.86000000000007</v>
      </c>
      <c r="CU127" s="17">
        <f>CT127*VLOOKUP('Données projet'!$B$13,Paramètres!$A$1:$I$89,3,0)*VLOOKUP('Données projet'!$B$13,Paramètres!$A$1:$I$89,5,0)</f>
        <v>514.57816800000012</v>
      </c>
      <c r="CV127" s="13">
        <f t="shared" si="95"/>
        <v>114.65433597451953</v>
      </c>
      <c r="CW127" s="20">
        <f t="shared" si="67"/>
        <v>1095.9132777556217</v>
      </c>
      <c r="CX127" s="59">
        <f t="shared" si="68"/>
        <v>1389.246611088955</v>
      </c>
      <c r="CY127" s="59">
        <f ca="1">AVERAGE(OFFSET($CX$3,0,0,'Données projet'!$E$13+1,1))-AVERAGE(OFFSET($H$3,0,0,'Données projet'!$E$13+1,1))</f>
        <v>770.11410336045037</v>
      </c>
      <c r="CZ127" s="59">
        <f t="shared" si="96"/>
        <v>227.12611049004596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0.43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142.5540707063426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142.5540707063426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10.186999999999994</v>
      </c>
      <c r="DO127" s="12">
        <f>IF('Données projet'!$A$166&gt;35,DO126+DN127-DW126,IF(A127&lt;'Données projet'!$A$166,$DL$205^A127,IF(A127='Données projet'!$A$166,'Données projet'!$B$166,DO126+DN127-DW126)))</f>
        <v>545.28799999999978</v>
      </c>
      <c r="DP127" s="17">
        <f>DO127*VLOOKUP('Données projet'!$B$14,Paramètres!$A$1:$I$89,3,0)*VLOOKUP('Données projet'!$B$14,Paramètres!$A$1:$I$89,5,0)</f>
        <v>552.92203199999983</v>
      </c>
      <c r="DQ127" s="13">
        <f t="shared" si="97"/>
        <v>122.17149345615866</v>
      </c>
      <c r="DR127" s="20">
        <f t="shared" si="70"/>
        <v>1175.787890169476</v>
      </c>
      <c r="DS127" s="59">
        <f t="shared" si="71"/>
        <v>1469.1212235028092</v>
      </c>
      <c r="DT127" s="59">
        <f ca="1">AVERAGE(OFFSET($DS$3,0,0,'Données projet'!$E$14+1,1))-AVERAGE(OFFSET($H$3,0,0,'Données projet'!$E$14+1,1))</f>
        <v>778.88878505968955</v>
      </c>
      <c r="DU127" s="59">
        <f t="shared" si="98"/>
        <v>279.20782832611059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151.01766777133193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151.01766777133193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369.00000000000011</v>
      </c>
      <c r="O128" s="13">
        <f>N128*VLOOKUP('Données projet'!$B$9,Paramètres!$A$1:$I$89,3,0)*VLOOKUP('Données projet'!$B$9,Paramètres!$A$1:$I$89,5,0)</f>
        <v>333.87120000000004</v>
      </c>
      <c r="P128" s="13">
        <f t="shared" si="87"/>
        <v>78.232360111376309</v>
      </c>
      <c r="Q128" s="20">
        <f t="shared" si="107"/>
        <v>717.74703386064709</v>
      </c>
      <c r="R128" s="59">
        <f t="shared" si="55"/>
        <v>1011.0803671939805</v>
      </c>
      <c r="S128" s="59">
        <f ca="1">AVERAGE(OFFSET($R$3,0,0,'Données projet'!$E$9+1,1))-AVERAGE(OFFSET($H$3,0,0,'Données projet'!$E$9+1,1))</f>
        <v>436.4497226650281</v>
      </c>
      <c r="T128" s="59">
        <f t="shared" si="88"/>
        <v>611.43967996341871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1.6108030218639173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1.6108030218639173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630</v>
      </c>
      <c r="AJ128" s="13">
        <f>AI128*VLOOKUP('Données projet'!$B$10,Paramètres!$A$1:$I$89,3,0)*VLOOKUP('Données projet'!$B$10,Paramètres!$A$1:$I$89,5,0)</f>
        <v>550.36800000000005</v>
      </c>
      <c r="AK128" s="13">
        <f t="shared" si="89"/>
        <v>121.67271812244785</v>
      </c>
      <c r="AL128" s="20">
        <f t="shared" si="58"/>
        <v>1170.4709173965966</v>
      </c>
      <c r="AM128" s="59">
        <f t="shared" si="59"/>
        <v>1463.8042507299299</v>
      </c>
      <c r="AN128" s="59">
        <f ca="1">AVERAGE(OFFSET($AM$3,0,0,'Données projet'!$E$10+1,1))-AVERAGE(OFFSET($H$3,0,0,'Données projet'!$E$10+1,1))</f>
        <v>662.13838733542616</v>
      </c>
      <c r="AO128" s="59">
        <f t="shared" si="90"/>
        <v>1194.915361841041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4.7800000000008822</v>
      </c>
      <c r="BE128" s="13">
        <f>BD128*VLOOKUP('Données projet'!$B$11,Paramètres!$A$1:$I$89,3,0)*VLOOKUP('Données projet'!$B$11,Paramètres!$A$1:$I$89,5,0)</f>
        <v>2.2370400000004129</v>
      </c>
      <c r="BF128" s="13">
        <f t="shared" si="91"/>
        <v>0.9386934556823372</v>
      </c>
      <c r="BG128" s="20">
        <f t="shared" si="61"/>
        <v>5.5310691019807896</v>
      </c>
      <c r="BH128" s="59">
        <f t="shared" si="62"/>
        <v>298.8644024353141</v>
      </c>
      <c r="BI128" s="59">
        <f ca="1">AVERAGE(OFFSET($BH$3,0,0,'Données projet'!$E$11+1,1))-AVERAGE(OFFSET($H$3,0,0,'Données projet'!$E$11+1,1))</f>
        <v>321.82962838167799</v>
      </c>
      <c r="BJ128" s="59">
        <f t="shared" si="92"/>
        <v>243.43396255104295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204.06181409891687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204.06181409891687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187.80389738728508</v>
      </c>
      <c r="CE128" s="59">
        <f t="shared" si="94"/>
        <v>439.28159165815265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18.820026137014022</v>
      </c>
      <c r="CL128" s="21">
        <f>EXP(-LN(2)/25)*CL127+(1-EXP(-LN(2)/25))/(LN(2)/25)*Calculateur!CG128*Calculateur!CI128*VLOOKUP('Données projet'!$B$12,Paramètres!$A$1:$I$89,3,0)*0.475*44/12</f>
        <v>1.0321994927808513</v>
      </c>
      <c r="CM128" s="21">
        <f>EXP(-LN(2)/2)*CM127+(1-EXP(-LN(2)/2))/(LN(2)/2)*CG128*CJ128*VLOOKUP('Données projet'!$B$12,Paramètres!$A$1:$I$89,3,0)*0.475*44/12</f>
        <v>2.259024209660994E-16</v>
      </c>
      <c r="CN128" s="22">
        <f t="shared" si="66"/>
        <v>19.852225629794873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8.4949999999999939</v>
      </c>
      <c r="CT128" s="12">
        <f>IF('Données projet'!$A$140&gt;35,CT127+CS128-DB127,IF(A128&lt;'Données projet'!$A$140,$CQ$205^A128,IF(A128='Données projet'!$A$140,'Données projet'!$B$140,CT127+CS128-DB127)))</f>
        <v>407.82500000000005</v>
      </c>
      <c r="CU128" s="17">
        <f>CT128*VLOOKUP('Données projet'!$B$13,Paramètres!$A$1:$I$89,3,0)*VLOOKUP('Données projet'!$B$13,Paramètres!$A$1:$I$89,5,0)</f>
        <v>464.4311100000001</v>
      </c>
      <c r="CV128" s="13">
        <f t="shared" si="95"/>
        <v>104.72339872466219</v>
      </c>
      <c r="CW128" s="20">
        <f t="shared" si="67"/>
        <v>991.27743602878684</v>
      </c>
      <c r="CX128" s="59">
        <f t="shared" si="68"/>
        <v>1284.6107693621202</v>
      </c>
      <c r="CY128" s="59">
        <f ca="1">AVERAGE(OFFSET($CX$3,0,0,'Données projet'!$E$13+1,1))-AVERAGE(OFFSET($H$3,0,0,'Données projet'!$E$13+1,1))</f>
        <v>770.11410336045037</v>
      </c>
      <c r="CZ128" s="59">
        <f t="shared" si="96"/>
        <v>227.12611049004596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139.75867232918881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139.75867232918881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10.186999999999994</v>
      </c>
      <c r="DO128" s="12">
        <f>IF('Données projet'!$A$166&gt;35,DO127+DN128-DW127,IF(A128&lt;'Données projet'!$A$166,$DL$205^A128,IF(A128='Données projet'!$A$166,'Données projet'!$B$166,DO127+DN128-DW127)))</f>
        <v>555.4749999999998</v>
      </c>
      <c r="DP128" s="17">
        <f>DO128*VLOOKUP('Données projet'!$B$14,Paramètres!$A$1:$I$89,3,0)*VLOOKUP('Données projet'!$B$14,Paramètres!$A$1:$I$89,5,0)</f>
        <v>563.25164999999981</v>
      </c>
      <c r="DQ128" s="13">
        <f t="shared" si="97"/>
        <v>124.18603742841287</v>
      </c>
      <c r="DR128" s="20">
        <f t="shared" si="70"/>
        <v>1197.2873056044853</v>
      </c>
      <c r="DS128" s="59">
        <f t="shared" si="71"/>
        <v>1490.6206389378185</v>
      </c>
      <c r="DT128" s="59">
        <f ca="1">AVERAGE(OFFSET($DS$3,0,0,'Données projet'!$E$14+1,1))-AVERAGE(OFFSET($H$3,0,0,'Données projet'!$E$14+1,1))</f>
        <v>778.88878505968955</v>
      </c>
      <c r="DU128" s="59">
        <f t="shared" si="98"/>
        <v>279.20782832611059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148.05630341801819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148.05630341801819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369.00000000000011</v>
      </c>
      <c r="O129" s="13">
        <f>N129*VLOOKUP('Données projet'!$B$9,Paramètres!$A$1:$I$89,3,0)*VLOOKUP('Données projet'!$B$9,Paramètres!$A$1:$I$89,5,0)</f>
        <v>333.87120000000004</v>
      </c>
      <c r="P129" s="13">
        <f t="shared" si="87"/>
        <v>78.232360111376309</v>
      </c>
      <c r="Q129" s="20">
        <f t="shared" si="107"/>
        <v>717.74703386064709</v>
      </c>
      <c r="R129" s="59">
        <f t="shared" si="55"/>
        <v>1011.0803671939805</v>
      </c>
      <c r="S129" s="59">
        <f ca="1">AVERAGE(OFFSET($R$3,0,0,'Données projet'!$E$9+1,1))-AVERAGE(OFFSET($H$3,0,0,'Données projet'!$E$9+1,1))</f>
        <v>436.4497226650281</v>
      </c>
      <c r="T129" s="59">
        <f t="shared" si="88"/>
        <v>611.43967996341871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1.5792161570979961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1.5792161570979961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630</v>
      </c>
      <c r="AJ129" s="13">
        <f>AI129*VLOOKUP('Données projet'!$B$10,Paramètres!$A$1:$I$89,3,0)*VLOOKUP('Données projet'!$B$10,Paramètres!$A$1:$I$89,5,0)</f>
        <v>550.36800000000005</v>
      </c>
      <c r="AK129" s="13">
        <f t="shared" si="89"/>
        <v>121.67271812244785</v>
      </c>
      <c r="AL129" s="20">
        <f t="shared" si="58"/>
        <v>1170.4709173965966</v>
      </c>
      <c r="AM129" s="59">
        <f t="shared" si="59"/>
        <v>1463.8042507299299</v>
      </c>
      <c r="AN129" s="59">
        <f ca="1">AVERAGE(OFFSET($AM$3,0,0,'Données projet'!$E$10+1,1))-AVERAGE(OFFSET($H$3,0,0,'Données projet'!$E$10+1,1))</f>
        <v>662.13838733542616</v>
      </c>
      <c r="AO129" s="59">
        <f t="shared" si="90"/>
        <v>1194.915361841041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4.7800000000008822</v>
      </c>
      <c r="BE129" s="13">
        <f>BD129*VLOOKUP('Données projet'!$B$11,Paramètres!$A$1:$I$89,3,0)*VLOOKUP('Données projet'!$B$11,Paramètres!$A$1:$I$89,5,0)</f>
        <v>2.2370400000004129</v>
      </c>
      <c r="BF129" s="13">
        <f t="shared" si="91"/>
        <v>0.9386934556823372</v>
      </c>
      <c r="BG129" s="20">
        <f t="shared" si="61"/>
        <v>5.5310691019807896</v>
      </c>
      <c r="BH129" s="59">
        <f t="shared" si="62"/>
        <v>298.8644024353141</v>
      </c>
      <c r="BI129" s="59">
        <f ca="1">AVERAGE(OFFSET($BH$3,0,0,'Données projet'!$E$11+1,1))-AVERAGE(OFFSET($H$3,0,0,'Données projet'!$E$11+1,1))</f>
        <v>321.82962838167799</v>
      </c>
      <c r="BJ129" s="59">
        <f t="shared" si="92"/>
        <v>243.43396255104295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200.06028638985376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200.06028638985376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187.80389738728508</v>
      </c>
      <c r="CE129" s="59">
        <f t="shared" si="94"/>
        <v>439.28159165815265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18.450976903549655</v>
      </c>
      <c r="CL129" s="21">
        <f>EXP(-LN(2)/25)*CL128+(1-EXP(-LN(2)/25))/(LN(2)/25)*Calculateur!CG129*Calculateur!CI129*VLOOKUP('Données projet'!$B$12,Paramètres!$A$1:$I$89,3,0)*0.475*44/12</f>
        <v>1.0039739433697468</v>
      </c>
      <c r="CM129" s="21">
        <f>EXP(-LN(2)/2)*CM128+(1-EXP(-LN(2)/2))/(LN(2)/2)*CG129*CJ129*VLOOKUP('Données projet'!$B$12,Paramètres!$A$1:$I$89,3,0)*0.475*44/12</f>
        <v>1.59737133751587E-16</v>
      </c>
      <c r="CN129" s="22">
        <f t="shared" si="66"/>
        <v>19.454950846919402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8.4949999999999939</v>
      </c>
      <c r="CT129" s="12">
        <f>IF('Données projet'!$A$140&gt;35,CT128+CS129-DB128,IF(A129&lt;'Données projet'!$A$140,$CQ$205^A129,IF(A129='Données projet'!$A$140,'Données projet'!$B$140,CT128+CS129-DB128)))</f>
        <v>416.32000000000005</v>
      </c>
      <c r="CU129" s="17">
        <f>CT129*VLOOKUP('Données projet'!$B$13,Paramètres!$A$1:$I$89,3,0)*VLOOKUP('Données projet'!$B$13,Paramètres!$A$1:$I$89,5,0)</f>
        <v>474.10521600000004</v>
      </c>
      <c r="CV129" s="13">
        <f t="shared" si="95"/>
        <v>106.64855592582933</v>
      </c>
      <c r="CW129" s="20">
        <f t="shared" si="67"/>
        <v>1011.4794861041528</v>
      </c>
      <c r="CX129" s="59">
        <f t="shared" si="68"/>
        <v>1304.812819437486</v>
      </c>
      <c r="CY129" s="59">
        <f ca="1">AVERAGE(OFFSET($CX$3,0,0,'Données projet'!$E$13+1,1))-AVERAGE(OFFSET($H$3,0,0,'Données projet'!$E$13+1,1))</f>
        <v>770.11410336045037</v>
      </c>
      <c r="CZ129" s="59">
        <f t="shared" si="96"/>
        <v>227.12611049004596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137.01809000918635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137.01809000918635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10.186999999999994</v>
      </c>
      <c r="DO129" s="12">
        <f>IF('Données projet'!$A$166&gt;35,DO128+DN129-DW128,IF(A129&lt;'Données projet'!$A$166,$DL$205^A129,IF(A129='Données projet'!$A$166,'Données projet'!$B$166,DO128+DN129-DW128)))</f>
        <v>565.66199999999981</v>
      </c>
      <c r="DP129" s="17">
        <f>DO129*VLOOKUP('Données projet'!$B$14,Paramètres!$A$1:$I$89,3,0)*VLOOKUP('Données projet'!$B$14,Paramètres!$A$1:$I$89,5,0)</f>
        <v>573.5812679999998</v>
      </c>
      <c r="DQ129" s="13">
        <f t="shared" si="97"/>
        <v>126.19628530645126</v>
      </c>
      <c r="DR129" s="20">
        <f t="shared" si="70"/>
        <v>1218.7792386754024</v>
      </c>
      <c r="DS129" s="59">
        <f t="shared" si="71"/>
        <v>1512.1125720087357</v>
      </c>
      <c r="DT129" s="59">
        <f ca="1">AVERAGE(OFFSET($DS$3,0,0,'Données projet'!$E$14+1,1))-AVERAGE(OFFSET($H$3,0,0,'Données projet'!$E$14+1,1))</f>
        <v>778.88878505968955</v>
      </c>
      <c r="DU129" s="59">
        <f t="shared" si="98"/>
        <v>279.20782832611059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145.15300961341902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145.15300961341902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369.00000000000011</v>
      </c>
      <c r="O130" s="13">
        <f>N130*VLOOKUP('Données projet'!$B$9,Paramètres!$A$1:$I$89,3,0)*VLOOKUP('Données projet'!$B$9,Paramètres!$A$1:$I$89,5,0)</f>
        <v>333.87120000000004</v>
      </c>
      <c r="P130" s="13">
        <f t="shared" si="87"/>
        <v>78.232360111376309</v>
      </c>
      <c r="Q130" s="20">
        <f t="shared" si="107"/>
        <v>717.74703386064709</v>
      </c>
      <c r="R130" s="59">
        <f t="shared" si="55"/>
        <v>1011.0803671939805</v>
      </c>
      <c r="S130" s="59">
        <f ca="1">AVERAGE(OFFSET($R$3,0,0,'Données projet'!$E$9+1,1))-AVERAGE(OFFSET($H$3,0,0,'Données projet'!$E$9+1,1))</f>
        <v>436.4497226650281</v>
      </c>
      <c r="T130" s="59">
        <f t="shared" si="88"/>
        <v>611.43967996341871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1.5482486914840494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1.5482486914840494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630</v>
      </c>
      <c r="AJ130" s="13">
        <f>AI130*VLOOKUP('Données projet'!$B$10,Paramètres!$A$1:$I$89,3,0)*VLOOKUP('Données projet'!$B$10,Paramètres!$A$1:$I$89,5,0)</f>
        <v>550.36800000000005</v>
      </c>
      <c r="AK130" s="13">
        <f t="shared" si="89"/>
        <v>121.67271812244785</v>
      </c>
      <c r="AL130" s="20">
        <f t="shared" si="58"/>
        <v>1170.4709173965966</v>
      </c>
      <c r="AM130" s="59">
        <f t="shared" si="59"/>
        <v>1463.8042507299299</v>
      </c>
      <c r="AN130" s="59">
        <f ca="1">AVERAGE(OFFSET($AM$3,0,0,'Données projet'!$E$10+1,1))-AVERAGE(OFFSET($H$3,0,0,'Données projet'!$E$10+1,1))</f>
        <v>662.13838733542616</v>
      </c>
      <c r="AO130" s="59">
        <f t="shared" si="90"/>
        <v>1194.915361841041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4.7800000000008822</v>
      </c>
      <c r="BE130" s="13">
        <f>BD130*VLOOKUP('Données projet'!$B$11,Paramètres!$A$1:$I$89,3,0)*VLOOKUP('Données projet'!$B$11,Paramètres!$A$1:$I$89,5,0)</f>
        <v>2.2370400000004129</v>
      </c>
      <c r="BF130" s="13">
        <f t="shared" si="91"/>
        <v>0.9386934556823372</v>
      </c>
      <c r="BG130" s="20">
        <f t="shared" si="61"/>
        <v>5.5310691019807896</v>
      </c>
      <c r="BH130" s="59">
        <f t="shared" si="62"/>
        <v>298.8644024353141</v>
      </c>
      <c r="BI130" s="59">
        <f ca="1">AVERAGE(OFFSET($BH$3,0,0,'Données projet'!$E$11+1,1))-AVERAGE(OFFSET($H$3,0,0,'Données projet'!$E$11+1,1))</f>
        <v>321.82962838167799</v>
      </c>
      <c r="BJ130" s="59">
        <f t="shared" si="92"/>
        <v>243.43396255104295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196.13722619847448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196.13722619847448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187.80389738728508</v>
      </c>
      <c r="CE130" s="59">
        <f t="shared" si="94"/>
        <v>439.28159165815265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18.08916450045572</v>
      </c>
      <c r="CL130" s="21">
        <f>EXP(-LN(2)/25)*CL129+(1-EXP(-LN(2)/25))/(LN(2)/25)*Calculateur!CG130*Calculateur!CI130*VLOOKUP('Données projet'!$B$12,Paramètres!$A$1:$I$89,3,0)*0.475*44/12</f>
        <v>0.97652022309160602</v>
      </c>
      <c r="CM130" s="21">
        <f>EXP(-LN(2)/2)*CM129+(1-EXP(-LN(2)/2))/(LN(2)/2)*CG130*CJ130*VLOOKUP('Données projet'!$B$12,Paramètres!$A$1:$I$89,3,0)*0.475*44/12</f>
        <v>1.129512104830497E-16</v>
      </c>
      <c r="CN130" s="22">
        <f t="shared" si="66"/>
        <v>19.065684723547324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8.4949999999999939</v>
      </c>
      <c r="CT130" s="12">
        <f>IF('Données projet'!$A$140&gt;35,CT129+CS130-DB129,IF(A130&lt;'Données projet'!$A$140,$CQ$205^A130,IF(A130='Données projet'!$A$140,'Données projet'!$B$140,CT129+CS130-DB129)))</f>
        <v>424.81500000000005</v>
      </c>
      <c r="CU130" s="17">
        <f>CT130*VLOOKUP('Données projet'!$B$13,Paramètres!$A$1:$I$89,3,0)*VLOOKUP('Données projet'!$B$13,Paramètres!$A$1:$I$89,5,0)</f>
        <v>483.77932200000004</v>
      </c>
      <c r="CV130" s="13">
        <f t="shared" si="95"/>
        <v>108.56914570129055</v>
      </c>
      <c r="CW130" s="20">
        <f t="shared" si="67"/>
        <v>1031.6735812464144</v>
      </c>
      <c r="CX130" s="59">
        <f t="shared" si="68"/>
        <v>1325.0069145797477</v>
      </c>
      <c r="CY130" s="59">
        <f ca="1">AVERAGE(OFFSET($CX$3,0,0,'Données projet'!$E$13+1,1))-AVERAGE(OFFSET($H$3,0,0,'Données projet'!$E$13+1,1))</f>
        <v>770.11410336045037</v>
      </c>
      <c r="CZ130" s="59">
        <f t="shared" si="96"/>
        <v>227.12611049004596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134.33124883688899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134.33124883688899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10.186999999999994</v>
      </c>
      <c r="DO130" s="12">
        <f>IF('Données projet'!$A$166&gt;35,DO129+DN130-DW129,IF(A130&lt;'Données projet'!$A$166,$DL$205^A130,IF(A130='Données projet'!$A$166,'Données projet'!$B$166,DO129+DN130-DW129)))</f>
        <v>575.84899999999982</v>
      </c>
      <c r="DP130" s="17">
        <f>DO130*VLOOKUP('Données projet'!$B$14,Paramètres!$A$1:$I$89,3,0)*VLOOKUP('Données projet'!$B$14,Paramètres!$A$1:$I$89,5,0)</f>
        <v>583.91088599999989</v>
      </c>
      <c r="DQ130" s="13">
        <f t="shared" si="97"/>
        <v>128.20232338319073</v>
      </c>
      <c r="DR130" s="20">
        <f t="shared" si="70"/>
        <v>1240.2638396757236</v>
      </c>
      <c r="DS130" s="59">
        <f t="shared" si="71"/>
        <v>1533.5971730090569</v>
      </c>
      <c r="DT130" s="59">
        <f ca="1">AVERAGE(OFFSET($DS$3,0,0,'Données projet'!$E$14+1,1))-AVERAGE(OFFSET($H$3,0,0,'Données projet'!$E$14+1,1))</f>
        <v>778.88878505968955</v>
      </c>
      <c r="DU130" s="59">
        <f t="shared" si="98"/>
        <v>279.20782832611059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142.30664762949368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142.30664762949368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369.00000000000011</v>
      </c>
      <c r="O131" s="13">
        <f>N131*VLOOKUP('Données projet'!$B$9,Paramètres!$A$1:$I$89,3,0)*VLOOKUP('Données projet'!$B$9,Paramètres!$A$1:$I$89,5,0)</f>
        <v>333.87120000000004</v>
      </c>
      <c r="P131" s="13">
        <f t="shared" si="87"/>
        <v>78.232360111376309</v>
      </c>
      <c r="Q131" s="20">
        <f t="shared" ref="Q131:Q153" si="108">(O131+P131)*0.475*44/12</f>
        <v>717.74703386064709</v>
      </c>
      <c r="R131" s="59">
        <f t="shared" ref="R131:R194" si="109">Q131+(I131+J131)*44/12</f>
        <v>1011.0803671939805</v>
      </c>
      <c r="S131" s="59">
        <f ca="1">AVERAGE(OFFSET($R$3,0,0,'Données projet'!$E$9+1,1))-AVERAGE(OFFSET($H$3,0,0,'Données projet'!$E$9+1,1))</f>
        <v>436.4497226650281</v>
      </c>
      <c r="T131" s="59">
        <f t="shared" si="88"/>
        <v>611.43967996341871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1.5178884789825033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1.5178884789825033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630</v>
      </c>
      <c r="AJ131" s="13">
        <f>AI131*VLOOKUP('Données projet'!$B$10,Paramètres!$A$1:$I$89,3,0)*VLOOKUP('Données projet'!$B$10,Paramètres!$A$1:$I$89,5,0)</f>
        <v>550.36800000000005</v>
      </c>
      <c r="AK131" s="13">
        <f t="shared" si="89"/>
        <v>121.67271812244785</v>
      </c>
      <c r="AL131" s="20">
        <f t="shared" si="58"/>
        <v>1170.4709173965966</v>
      </c>
      <c r="AM131" s="59">
        <f t="shared" si="59"/>
        <v>1463.8042507299299</v>
      </c>
      <c r="AN131" s="59">
        <f ca="1">AVERAGE(OFFSET($AM$3,0,0,'Données projet'!$E$10+1,1))-AVERAGE(OFFSET($H$3,0,0,'Données projet'!$E$10+1,1))</f>
        <v>662.13838733542616</v>
      </c>
      <c r="AO131" s="59">
        <f t="shared" si="90"/>
        <v>1194.915361841041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4.7800000000008822</v>
      </c>
      <c r="BE131" s="13">
        <f>BD131*VLOOKUP('Données projet'!$B$11,Paramètres!$A$1:$I$89,3,0)*VLOOKUP('Données projet'!$B$11,Paramètres!$A$1:$I$89,5,0)</f>
        <v>2.2370400000004129</v>
      </c>
      <c r="BF131" s="13">
        <f t="shared" si="91"/>
        <v>0.9386934556823372</v>
      </c>
      <c r="BG131" s="20">
        <f t="shared" si="61"/>
        <v>5.5310691019807896</v>
      </c>
      <c r="BH131" s="59">
        <f t="shared" si="62"/>
        <v>298.8644024353141</v>
      </c>
      <c r="BI131" s="59">
        <f ca="1">AVERAGE(OFFSET($BH$3,0,0,'Données projet'!$E$11+1,1))-AVERAGE(OFFSET($H$3,0,0,'Données projet'!$E$11+1,1))</f>
        <v>321.82962838167799</v>
      </c>
      <c r="BJ131" s="59">
        <f t="shared" si="92"/>
        <v>243.43396255104295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192.29109482461772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192.29109482461772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187.80389738728508</v>
      </c>
      <c r="CE131" s="59">
        <f t="shared" si="94"/>
        <v>439.28159165815265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17.734447017902681</v>
      </c>
      <c r="CL131" s="21">
        <f>EXP(-LN(2)/25)*CL130+(1-EXP(-LN(2)/25))/(LN(2)/25)*Calculateur!CG131*Calculateur!CI131*VLOOKUP('Données projet'!$B$12,Paramètres!$A$1:$I$89,3,0)*0.475*44/12</f>
        <v>0.94981722623819942</v>
      </c>
      <c r="CM131" s="21">
        <f>EXP(-LN(2)/2)*CM130+(1-EXP(-LN(2)/2))/(LN(2)/2)*CG131*CJ131*VLOOKUP('Données projet'!$B$12,Paramètres!$A$1:$I$89,3,0)*0.475*44/12</f>
        <v>7.9868566875793499E-17</v>
      </c>
      <c r="CN131" s="22">
        <f t="shared" si="66"/>
        <v>18.684264244140881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8.4949999999999939</v>
      </c>
      <c r="CT131" s="12">
        <f>IF('Données projet'!$A$140&gt;35,CT130+CS131-DB130,IF(A131&lt;'Données projet'!$A$140,$CQ$205^A131,IF(A131='Données projet'!$A$140,'Données projet'!$B$140,CT130+CS131-DB130)))</f>
        <v>433.31000000000006</v>
      </c>
      <c r="CU131" s="17">
        <f>CT131*VLOOKUP('Données projet'!$B$13,Paramètres!$A$1:$I$89,3,0)*VLOOKUP('Données projet'!$B$13,Paramètres!$A$1:$I$89,5,0)</f>
        <v>493.45342800000003</v>
      </c>
      <c r="CV131" s="13">
        <f t="shared" si="95"/>
        <v>110.48526991204616</v>
      </c>
      <c r="CW131" s="20">
        <f t="shared" si="67"/>
        <v>1051.8598988634806</v>
      </c>
      <c r="CX131" s="59">
        <f t="shared" si="68"/>
        <v>1345.1932321968138</v>
      </c>
      <c r="CY131" s="59">
        <f ca="1">AVERAGE(OFFSET($CX$3,0,0,'Données projet'!$E$13+1,1))-AVERAGE(OFFSET($H$3,0,0,'Données projet'!$E$13+1,1))</f>
        <v>770.11410336045037</v>
      </c>
      <c r="CZ131" s="59">
        <f t="shared" si="96"/>
        <v>227.12611049004596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131.69709498116907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131.69709498116907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10.186999999999994</v>
      </c>
      <c r="DO131" s="12">
        <f>IF('Données projet'!$A$166&gt;35,DO130+DN131-DW130,IF(A131&lt;'Données projet'!$A$166,$DL$205^A131,IF(A131='Données projet'!$A$166,'Données projet'!$B$166,DO130+DN131-DW130)))</f>
        <v>586.03599999999983</v>
      </c>
      <c r="DP131" s="17">
        <f>DO131*VLOOKUP('Données projet'!$B$14,Paramètres!$A$1:$I$89,3,0)*VLOOKUP('Données projet'!$B$14,Paramètres!$A$1:$I$89,5,0)</f>
        <v>594.24050399999987</v>
      </c>
      <c r="DQ131" s="13">
        <f t="shared" si="97"/>
        <v>130.20423472356461</v>
      </c>
      <c r="DR131" s="20">
        <f t="shared" si="70"/>
        <v>1261.7412532768747</v>
      </c>
      <c r="DS131" s="59">
        <f t="shared" si="71"/>
        <v>1555.0745866102079</v>
      </c>
      <c r="DT131" s="59">
        <f ca="1">AVERAGE(OFFSET($DS$3,0,0,'Données projet'!$E$14+1,1))-AVERAGE(OFFSET($H$3,0,0,'Données projet'!$E$14+1,1))</f>
        <v>778.88878505968955</v>
      </c>
      <c r="DU131" s="59">
        <f t="shared" si="98"/>
        <v>279.20782832611059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139.51610106796372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139.51610106796372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369.00000000000011</v>
      </c>
      <c r="O132" s="13">
        <f>N132*VLOOKUP('Données projet'!$B$9,Paramètres!$A$1:$I$89,3,0)*VLOOKUP('Données projet'!$B$9,Paramètres!$A$1:$I$89,5,0)</f>
        <v>333.87120000000004</v>
      </c>
      <c r="P132" s="13">
        <f t="shared" si="87"/>
        <v>78.232360111376309</v>
      </c>
      <c r="Q132" s="20">
        <f t="shared" si="108"/>
        <v>717.74703386064709</v>
      </c>
      <c r="R132" s="59">
        <f t="shared" si="109"/>
        <v>1011.0803671939805</v>
      </c>
      <c r="S132" s="59">
        <f ca="1">AVERAGE(OFFSET($R$3,0,0,'Données projet'!$E$9+1,1))-AVERAGE(OFFSET($H$3,0,0,'Données projet'!$E$9+1,1))</f>
        <v>436.4497226650281</v>
      </c>
      <c r="T132" s="59">
        <f t="shared" si="88"/>
        <v>611.43967996341871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1.4881236117302115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1.4881236117302115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630</v>
      </c>
      <c r="AJ132" s="13">
        <f>AI132*VLOOKUP('Données projet'!$B$10,Paramètres!$A$1:$I$89,3,0)*VLOOKUP('Données projet'!$B$10,Paramètres!$A$1:$I$89,5,0)</f>
        <v>550.36800000000005</v>
      </c>
      <c r="AK132" s="13">
        <f t="shared" si="89"/>
        <v>121.67271812244785</v>
      </c>
      <c r="AL132" s="20">
        <f t="shared" ref="AL132:AL153" si="112">(AJ132+AK132)*0.475*44/12</f>
        <v>1170.4709173965966</v>
      </c>
      <c r="AM132" s="59">
        <f t="shared" ref="AM132:AM195" si="113">AL132+(AD132+AE132)*44/12</f>
        <v>1463.8042507299299</v>
      </c>
      <c r="AN132" s="59">
        <f ca="1">AVERAGE(OFFSET($AM$3,0,0,'Données projet'!$E$10+1,1))-AVERAGE(OFFSET($H$3,0,0,'Données projet'!$E$10+1,1))</f>
        <v>662.13838733542616</v>
      </c>
      <c r="AO132" s="59">
        <f t="shared" si="90"/>
        <v>1194.915361841041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4.7800000000008822</v>
      </c>
      <c r="BE132" s="13">
        <f>BD132*VLOOKUP('Données projet'!$B$11,Paramètres!$A$1:$I$89,3,0)*VLOOKUP('Données projet'!$B$11,Paramètres!$A$1:$I$89,5,0)</f>
        <v>2.2370400000004129</v>
      </c>
      <c r="BF132" s="13">
        <f t="shared" si="91"/>
        <v>0.9386934556823372</v>
      </c>
      <c r="BG132" s="20">
        <f t="shared" ref="BG132:BG153" si="115">(BE132+BF132)*0.475*44/12</f>
        <v>5.5310691019807896</v>
      </c>
      <c r="BH132" s="59">
        <f t="shared" ref="BH132:BH195" si="116">BG132+(AY132+AZ132)*44/12</f>
        <v>298.8644024353141</v>
      </c>
      <c r="BI132" s="59">
        <f ca="1">AVERAGE(OFFSET($BH$3,0,0,'Données projet'!$E$11+1,1))-AVERAGE(OFFSET($H$3,0,0,'Données projet'!$E$11+1,1))</f>
        <v>321.82962838167799</v>
      </c>
      <c r="BJ132" s="59">
        <f t="shared" si="92"/>
        <v>243.43396255104295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188.52038374109378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188.52038374109378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187.80389738728508</v>
      </c>
      <c r="CE132" s="59">
        <f t="shared" si="94"/>
        <v>439.28159165815265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17.386685328826207</v>
      </c>
      <c r="CL132" s="21">
        <f>EXP(-LN(2)/25)*CL131+(1-EXP(-LN(2)/25))/(LN(2)/25)*Calculateur!CG132*Calculateur!CI132*VLOOKUP('Données projet'!$B$12,Paramètres!$A$1:$I$89,3,0)*0.475*44/12</f>
        <v>0.92384442423799873</v>
      </c>
      <c r="CM132" s="21">
        <f>EXP(-LN(2)/2)*CM131+(1-EXP(-LN(2)/2))/(LN(2)/2)*CG132*CJ132*VLOOKUP('Données projet'!$B$12,Paramètres!$A$1:$I$89,3,0)*0.475*44/12</f>
        <v>5.6475605241524851E-17</v>
      </c>
      <c r="CN132" s="22">
        <f t="shared" ref="CN132:CN153" si="120">SUM(CK132:CM132)</f>
        <v>18.310529753064205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8.4949999999999939</v>
      </c>
      <c r="CT132" s="12">
        <f>IF('Données projet'!$A$140&gt;35,CT131+CS132-DB131,IF(A132&lt;'Données projet'!$A$140,$CQ$205^A132,IF(A132='Données projet'!$A$140,'Données projet'!$B$140,CT131+CS132-DB131)))</f>
        <v>441.80500000000006</v>
      </c>
      <c r="CU132" s="17">
        <f>CT132*VLOOKUP('Données projet'!$B$13,Paramètres!$A$1:$I$89,3,0)*VLOOKUP('Données projet'!$B$13,Paramètres!$A$1:$I$89,5,0)</f>
        <v>503.12753400000014</v>
      </c>
      <c r="CV132" s="13">
        <f t="shared" si="95"/>
        <v>112.39702619670631</v>
      </c>
      <c r="CW132" s="20">
        <f t="shared" ref="CW132:CW153" si="121">(CU132+CV132)*0.475*44/12</f>
        <v>1072.0386090092638</v>
      </c>
      <c r="CX132" s="59">
        <f t="shared" ref="CX132:CX195" si="122">CW132+(CO132+CP132)*44/12</f>
        <v>1365.3719423425971</v>
      </c>
      <c r="CY132" s="59">
        <f ca="1">AVERAGE(OFFSET($CX$3,0,0,'Données projet'!$E$13+1,1))-AVERAGE(OFFSET($H$3,0,0,'Données projet'!$E$13+1,1))</f>
        <v>770.11410336045037</v>
      </c>
      <c r="CZ132" s="59">
        <f t="shared" si="96"/>
        <v>227.12611049004596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129.11459527588462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129.11459527588462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10.186999999999994</v>
      </c>
      <c r="DO132" s="12">
        <f>IF('Données projet'!$A$166&gt;35,DO131+DN132-DW131,IF(A132&lt;'Données projet'!$A$166,$DL$205^A132,IF(A132='Données projet'!$A$166,'Données projet'!$B$166,DO131+DN132-DW131)))</f>
        <v>596.22299999999984</v>
      </c>
      <c r="DP132" s="17">
        <f>DO132*VLOOKUP('Données projet'!$B$14,Paramètres!$A$1:$I$89,3,0)*VLOOKUP('Données projet'!$B$14,Paramètres!$A$1:$I$89,5,0)</f>
        <v>604.57012199999986</v>
      </c>
      <c r="DQ132" s="13">
        <f t="shared" si="97"/>
        <v>132.20209933924718</v>
      </c>
      <c r="DR132" s="20">
        <f t="shared" ref="DR132:DR153" si="124">(DP132+DQ132)*0.475*44/12</f>
        <v>1283.2116188325219</v>
      </c>
      <c r="DS132" s="59">
        <f t="shared" ref="DS132:DS195" si="125">DR132+(DJ132+DK132)*44/12</f>
        <v>1576.5449521658552</v>
      </c>
      <c r="DT132" s="59">
        <f ca="1">AVERAGE(OFFSET($DS$3,0,0,'Données projet'!$E$14+1,1))-AVERAGE(OFFSET($H$3,0,0,'Données projet'!$E$14+1,1))</f>
        <v>778.88878505968955</v>
      </c>
      <c r="DU132" s="59">
        <f t="shared" si="98"/>
        <v>279.20782832611059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136.78027542244001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136.78027542244001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369.00000000000011</v>
      </c>
      <c r="O133" s="13">
        <f>N133*VLOOKUP('Données projet'!$B$9,Paramètres!$A$1:$I$89,3,0)*VLOOKUP('Données projet'!$B$9,Paramètres!$A$1:$I$89,5,0)</f>
        <v>333.87120000000004</v>
      </c>
      <c r="P133" s="13">
        <f t="shared" ref="P133:P196" si="141">EXP(-1.0587+0.8836*LN(O133)+0.284)</f>
        <v>78.232360111376309</v>
      </c>
      <c r="Q133" s="20">
        <f t="shared" si="108"/>
        <v>717.74703386064709</v>
      </c>
      <c r="R133" s="59">
        <f t="shared" si="109"/>
        <v>1011.0803671939805</v>
      </c>
      <c r="S133" s="59">
        <f ca="1">AVERAGE(OFFSET($R$3,0,0,'Données projet'!$E$9+1,1))-AVERAGE(OFFSET($H$3,0,0,'Données projet'!$E$9+1,1))</f>
        <v>436.4497226650281</v>
      </c>
      <c r="T133" s="59">
        <f t="shared" ref="T133:T196" si="142">$T$3</f>
        <v>611.43967996341871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1.4589424153699606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1.4589424153699606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630</v>
      </c>
      <c r="AJ133" s="13">
        <f>AI133*VLOOKUP('Données projet'!$B$10,Paramètres!$A$1:$I$89,3,0)*VLOOKUP('Données projet'!$B$10,Paramètres!$A$1:$I$89,5,0)</f>
        <v>550.36800000000005</v>
      </c>
      <c r="AK133" s="13">
        <f t="shared" ref="AK133:AK153" si="143">EXP(-1.0587+0.8836*LN(AJ133)+0.284)</f>
        <v>121.67271812244785</v>
      </c>
      <c r="AL133" s="20">
        <f t="shared" si="112"/>
        <v>1170.4709173965966</v>
      </c>
      <c r="AM133" s="59">
        <f t="shared" si="113"/>
        <v>1463.8042507299299</v>
      </c>
      <c r="AN133" s="59">
        <f ca="1">AVERAGE(OFFSET($AM$3,0,0,'Données projet'!$E$10+1,1))-AVERAGE(OFFSET($H$3,0,0,'Données projet'!$E$10+1,1))</f>
        <v>662.13838733542616</v>
      </c>
      <c r="AO133" s="59">
        <f t="shared" ref="AO133:AO196" si="144">$AO$3</f>
        <v>1194.915361841041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4.7800000000008822</v>
      </c>
      <c r="BE133" s="13">
        <f>BD133*VLOOKUP('Données projet'!$B$11,Paramètres!$A$1:$I$89,3,0)*VLOOKUP('Données projet'!$B$11,Paramètres!$A$1:$I$89,5,0)</f>
        <v>2.2370400000004129</v>
      </c>
      <c r="BF133" s="13">
        <f t="shared" ref="BF133:BF153" si="145">EXP(-1.0587+0.8836*LN(BE133)+0.284)</f>
        <v>0.9386934556823372</v>
      </c>
      <c r="BG133" s="20">
        <f t="shared" si="115"/>
        <v>5.5310691019807896</v>
      </c>
      <c r="BH133" s="59">
        <f t="shared" si="116"/>
        <v>298.8644024353141</v>
      </c>
      <c r="BI133" s="59">
        <f ca="1">AVERAGE(OFFSET($BH$3,0,0,'Données projet'!$E$11+1,1))-AVERAGE(OFFSET($H$3,0,0,'Données projet'!$E$11+1,1))</f>
        <v>321.82962838167799</v>
      </c>
      <c r="BJ133" s="59">
        <f t="shared" ref="BJ133:BJ196" si="146">$BJ$3</f>
        <v>243.43396255104295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184.82361400201108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184.82361400201108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187.80389738728508</v>
      </c>
      <c r="CE133" s="59">
        <f t="shared" ref="CE133:CE196" si="148">$CE$3</f>
        <v>439.28159165815265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17.045743034358836</v>
      </c>
      <c r="CL133" s="21">
        <f>EXP(-LN(2)/25)*CL132+(1-EXP(-LN(2)/25))/(LN(2)/25)*Calculateur!CG133*Calculateur!CI133*VLOOKUP('Données projet'!$B$12,Paramètres!$A$1:$I$89,3,0)*0.475*44/12</f>
        <v>0.89858184987434386</v>
      </c>
      <c r="CM133" s="21">
        <f>EXP(-LN(2)/2)*CM132+(1-EXP(-LN(2)/2))/(LN(2)/2)*CG133*CJ133*VLOOKUP('Données projet'!$B$12,Paramètres!$A$1:$I$89,3,0)*0.475*44/12</f>
        <v>3.9934283437896749E-17</v>
      </c>
      <c r="CN133" s="22">
        <f t="shared" si="120"/>
        <v>17.944324884233179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8.4949999999999939</v>
      </c>
      <c r="CT133" s="12">
        <f>IF('Données projet'!$A$140&gt;35,CT132+CS133-DB132,IF(A133&lt;'Données projet'!$A$140,$CQ$205^A133,IF(A133='Données projet'!$A$140,'Données projet'!$B$140,CT132+CS133-DB132)))</f>
        <v>450.30000000000007</v>
      </c>
      <c r="CU133" s="17">
        <f>CT133*VLOOKUP('Données projet'!$B$13,Paramètres!$A$1:$I$89,3,0)*VLOOKUP('Données projet'!$B$13,Paramètres!$A$1:$I$89,5,0)</f>
        <v>512.80164000000013</v>
      </c>
      <c r="CV133" s="13">
        <f t="shared" ref="CV133:CV153" si="149">EXP(-1.0587+0.8836*LN(CU133)+0.284)</f>
        <v>114.30450822428465</v>
      </c>
      <c r="CW133" s="20">
        <f t="shared" si="121"/>
        <v>1092.2098748239625</v>
      </c>
      <c r="CX133" s="59">
        <f t="shared" si="122"/>
        <v>1385.5432081572958</v>
      </c>
      <c r="CY133" s="59">
        <f ca="1">AVERAGE(OFFSET($CX$3,0,0,'Données projet'!$E$13+1,1))-AVERAGE(OFFSET($H$3,0,0,'Données projet'!$E$13+1,1))</f>
        <v>770.11410336045037</v>
      </c>
      <c r="CZ133" s="59">
        <f t="shared" ref="CZ133:CZ196" si="150">$CZ$3</f>
        <v>227.12611049004596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126.58273681465153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126.58273681465153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projet'!$A$165:$I$185,2,0)</f>
        <v>606.41</v>
      </c>
      <c r="DM133" s="12">
        <f>VLOOKUP(A133,'Données projet'!$A$165:$I$185,9,0)</f>
        <v>10.186999999999994</v>
      </c>
      <c r="DN133" s="12">
        <f t="array" ref="DN133">INDEX(DM:DM,MIN(IF(ISNUMBER(DM133:DM329),ROW(DM133:DM329),"")))</f>
        <v>10.186999999999994</v>
      </c>
      <c r="DO133" s="12">
        <f>IF('Données projet'!$A$166&gt;35,DO132+DN133-DW132,IF(A133&lt;'Données projet'!$A$166,$DL$205^A133,IF(A133='Données projet'!$A$166,'Données projet'!$B$166,DO132+DN133-DW132)))</f>
        <v>606.40999999999985</v>
      </c>
      <c r="DP133" s="17">
        <f>DO133*VLOOKUP('Données projet'!$B$14,Paramètres!$A$1:$I$89,3,0)*VLOOKUP('Données projet'!$B$14,Paramètres!$A$1:$I$89,5,0)</f>
        <v>614.89973999999995</v>
      </c>
      <c r="DQ133" s="13">
        <f t="shared" ref="DQ133:DQ153" si="151">EXP(-1.0587+0.8836*LN(DP133)+0.284)</f>
        <v>134.19599435109939</v>
      </c>
      <c r="DR133" s="20">
        <f t="shared" si="124"/>
        <v>1304.6750706614978</v>
      </c>
      <c r="DS133" s="59">
        <f t="shared" si="125"/>
        <v>1598.008403994831</v>
      </c>
      <c r="DT133" s="59">
        <f ca="1">AVERAGE(OFFSET($DS$3,0,0,'Données projet'!$E$14+1,1))-AVERAGE(OFFSET($H$3,0,0,'Données projet'!$E$14+1,1))</f>
        <v>778.88878505968955</v>
      </c>
      <c r="DU133" s="59">
        <f t="shared" ref="DU133:DU196" si="152">$DU$3</f>
        <v>279.20782832611059</v>
      </c>
      <c r="DV133" s="15">
        <f>IF(ISNA(VLOOKUP(A133,'Données projet'!$A$165:$I$185,3,0)),0,VLOOKUP(A133,'Données projet'!$A$165:$I$185,3,0))</f>
        <v>12</v>
      </c>
      <c r="DW133" s="15">
        <f>IF(ISNA(VLOOKUP(A133,'Données projet'!$A$165:$I$185,4,0)),0,VLOOKUP(A133,'Données projet'!$A$165:$I$185,4,0))</f>
        <v>69</v>
      </c>
      <c r="DX133" s="16">
        <f>IF(ISNA(VLOOKUP(A133,'Données projet'!$A$165:$I$185,5,0)),0%,VLOOKUP(A133,'Données projet'!$A$165:$I$185,5,0)*VLOOKUP('Données projet'!$B$14,Paramètres!$A$1:$I$89,7,0))</f>
        <v>0.43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167.35659409612921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167.35659409612921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369.00000000000011</v>
      </c>
      <c r="O134" s="13">
        <f>N134*VLOOKUP('Données projet'!$B$9,Paramètres!$A$1:$I$89,3,0)*VLOOKUP('Données projet'!$B$9,Paramètres!$A$1:$I$89,5,0)</f>
        <v>333.87120000000004</v>
      </c>
      <c r="P134" s="13">
        <f t="shared" si="141"/>
        <v>78.232360111376309</v>
      </c>
      <c r="Q134" s="20">
        <f t="shared" si="108"/>
        <v>717.74703386064709</v>
      </c>
      <c r="R134" s="59">
        <f t="shared" si="109"/>
        <v>1011.0803671939805</v>
      </c>
      <c r="S134" s="59">
        <f ca="1">AVERAGE(OFFSET($R$3,0,0,'Données projet'!$E$9+1,1))-AVERAGE(OFFSET($H$3,0,0,'Données projet'!$E$9+1,1))</f>
        <v>436.4497226650281</v>
      </c>
      <c r="T134" s="59">
        <f t="shared" si="142"/>
        <v>611.43967996341871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1.4303334444715621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1.4303334444715621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630</v>
      </c>
      <c r="AJ134" s="13">
        <f>AI134*VLOOKUP('Données projet'!$B$10,Paramètres!$A$1:$I$89,3,0)*VLOOKUP('Données projet'!$B$10,Paramètres!$A$1:$I$89,5,0)</f>
        <v>550.36800000000005</v>
      </c>
      <c r="AK134" s="13">
        <f t="shared" si="143"/>
        <v>121.67271812244785</v>
      </c>
      <c r="AL134" s="20">
        <f t="shared" si="112"/>
        <v>1170.4709173965966</v>
      </c>
      <c r="AM134" s="59">
        <f t="shared" si="113"/>
        <v>1463.8042507299299</v>
      </c>
      <c r="AN134" s="59">
        <f ca="1">AVERAGE(OFFSET($AM$3,0,0,'Données projet'!$E$10+1,1))-AVERAGE(OFFSET($H$3,0,0,'Données projet'!$E$10+1,1))</f>
        <v>662.13838733542616</v>
      </c>
      <c r="AO134" s="59">
        <f t="shared" si="144"/>
        <v>1194.915361841041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4.7800000000008822</v>
      </c>
      <c r="BE134" s="13">
        <f>BD134*VLOOKUP('Données projet'!$B$11,Paramètres!$A$1:$I$89,3,0)*VLOOKUP('Données projet'!$B$11,Paramètres!$A$1:$I$89,5,0)</f>
        <v>2.2370400000004129</v>
      </c>
      <c r="BF134" s="13">
        <f t="shared" si="145"/>
        <v>0.9386934556823372</v>
      </c>
      <c r="BG134" s="20">
        <f t="shared" si="115"/>
        <v>5.5310691019807896</v>
      </c>
      <c r="BH134" s="59">
        <f t="shared" si="116"/>
        <v>298.8644024353141</v>
      </c>
      <c r="BI134" s="59">
        <f ca="1">AVERAGE(OFFSET($BH$3,0,0,'Données projet'!$E$11+1,1))-AVERAGE(OFFSET($H$3,0,0,'Données projet'!$E$11+1,1))</f>
        <v>321.82962838167799</v>
      </c>
      <c r="BJ134" s="59">
        <f t="shared" si="146"/>
        <v>243.43396255104295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181.1993356627049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181.1993356627049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187.80389738728508</v>
      </c>
      <c r="CE134" s="59">
        <f t="shared" si="148"/>
        <v>439.28159165815265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16.711486410331702</v>
      </c>
      <c r="CL134" s="21">
        <f>EXP(-LN(2)/25)*CL133+(1-EXP(-LN(2)/25))/(LN(2)/25)*Calculateur!CG134*Calculateur!CI134*VLOOKUP('Données projet'!$B$12,Paramètres!$A$1:$I$89,3,0)*0.475*44/12</f>
        <v>0.87401008193516416</v>
      </c>
      <c r="CM134" s="21">
        <f>EXP(-LN(2)/2)*CM133+(1-EXP(-LN(2)/2))/(LN(2)/2)*CG134*CJ134*VLOOKUP('Données projet'!$B$12,Paramètres!$A$1:$I$89,3,0)*0.475*44/12</f>
        <v>2.8237802620762425E-17</v>
      </c>
      <c r="CN134" s="22">
        <f t="shared" si="120"/>
        <v>17.585496492266866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8.4949999999999939</v>
      </c>
      <c r="CT134" s="12">
        <f>IF('Données projet'!$A$140&gt;35,CT133+CS134-DB133,IF(A134&lt;'Données projet'!$A$140,$CQ$205^A134,IF(A134='Données projet'!$A$140,'Données projet'!$B$140,CT133+CS134-DB133)))</f>
        <v>458.79500000000007</v>
      </c>
      <c r="CU134" s="17">
        <f>CT134*VLOOKUP('Données projet'!$B$13,Paramètres!$A$1:$I$89,3,0)*VLOOKUP('Données projet'!$B$13,Paramètres!$A$1:$I$89,5,0)</f>
        <v>522.47574600000007</v>
      </c>
      <c r="CV134" s="13">
        <f t="shared" si="149"/>
        <v>116.2078059273753</v>
      </c>
      <c r="CW134" s="20">
        <f t="shared" si="121"/>
        <v>1112.3738529401787</v>
      </c>
      <c r="CX134" s="59">
        <f t="shared" si="122"/>
        <v>1405.707186273512</v>
      </c>
      <c r="CY134" s="59">
        <f ca="1">AVERAGE(OFFSET($CX$3,0,0,'Données projet'!$E$13+1,1))-AVERAGE(OFFSET($H$3,0,0,'Données projet'!$E$13+1,1))</f>
        <v>770.11410336045037</v>
      </c>
      <c r="CZ134" s="59">
        <f t="shared" si="150"/>
        <v>227.12611049004596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124.10052655356202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124.10052655356202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10.163999999999998</v>
      </c>
      <c r="DO134" s="12">
        <f>IF('Données projet'!$A$166&gt;35,DO133+DN134-DW133,IF(A134&lt;'Données projet'!$A$166,$DL$205^A134,IF(A134='Données projet'!$A$166,'Données projet'!$B$166,DO133+DN134-DW133)))</f>
        <v>547.57399999999984</v>
      </c>
      <c r="DP134" s="17">
        <f>DO134*VLOOKUP('Données projet'!$B$14,Paramètres!$A$1:$I$89,3,0)*VLOOKUP('Données projet'!$B$14,Paramètres!$A$1:$I$89,5,0)</f>
        <v>555.24003599999992</v>
      </c>
      <c r="DQ134" s="13">
        <f t="shared" si="151"/>
        <v>122.62394290545762</v>
      </c>
      <c r="DR134" s="20">
        <f t="shared" si="124"/>
        <v>1180.6130965936718</v>
      </c>
      <c r="DS134" s="59">
        <f t="shared" si="125"/>
        <v>1473.9464299270051</v>
      </c>
      <c r="DT134" s="59">
        <f ca="1">AVERAGE(OFFSET($DS$3,0,0,'Données projet'!$E$14+1,1))-AVERAGE(OFFSET($H$3,0,0,'Données projet'!$E$14+1,1))</f>
        <v>778.88878505968955</v>
      </c>
      <c r="DU134" s="59">
        <f t="shared" si="152"/>
        <v>279.20782832611059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164.07483336334721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164.07483336334721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369.00000000000011</v>
      </c>
      <c r="O135" s="13">
        <f>N135*VLOOKUP('Données projet'!$B$9,Paramètres!$A$1:$I$89,3,0)*VLOOKUP('Données projet'!$B$9,Paramètres!$A$1:$I$89,5,0)</f>
        <v>333.87120000000004</v>
      </c>
      <c r="P135" s="13">
        <f t="shared" si="141"/>
        <v>78.232360111376309</v>
      </c>
      <c r="Q135" s="20">
        <f t="shared" si="108"/>
        <v>717.74703386064709</v>
      </c>
      <c r="R135" s="59">
        <f t="shared" si="109"/>
        <v>1011.0803671939805</v>
      </c>
      <c r="S135" s="59">
        <f ca="1">AVERAGE(OFFSET($R$3,0,0,'Données projet'!$E$9+1,1))-AVERAGE(OFFSET($H$3,0,0,'Données projet'!$E$9+1,1))</f>
        <v>436.4497226650281</v>
      </c>
      <c r="T135" s="59">
        <f t="shared" si="142"/>
        <v>611.43967996341871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1.4022854780427318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1.4022854780427318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630</v>
      </c>
      <c r="AJ135" s="13">
        <f>AI135*VLOOKUP('Données projet'!$B$10,Paramètres!$A$1:$I$89,3,0)*VLOOKUP('Données projet'!$B$10,Paramètres!$A$1:$I$89,5,0)</f>
        <v>550.36800000000005</v>
      </c>
      <c r="AK135" s="13">
        <f t="shared" si="143"/>
        <v>121.67271812244785</v>
      </c>
      <c r="AL135" s="20">
        <f t="shared" si="112"/>
        <v>1170.4709173965966</v>
      </c>
      <c r="AM135" s="59">
        <f t="shared" si="113"/>
        <v>1463.8042507299299</v>
      </c>
      <c r="AN135" s="59">
        <f ca="1">AVERAGE(OFFSET($AM$3,0,0,'Données projet'!$E$10+1,1))-AVERAGE(OFFSET($H$3,0,0,'Données projet'!$E$10+1,1))</f>
        <v>662.13838733542616</v>
      </c>
      <c r="AO135" s="59">
        <f t="shared" si="144"/>
        <v>1194.915361841041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4.7800000000008822</v>
      </c>
      <c r="BE135" s="13">
        <f>BD135*VLOOKUP('Données projet'!$B$11,Paramètres!$A$1:$I$89,3,0)*VLOOKUP('Données projet'!$B$11,Paramètres!$A$1:$I$89,5,0)</f>
        <v>2.2370400000004129</v>
      </c>
      <c r="BF135" s="13">
        <f t="shared" si="145"/>
        <v>0.9386934556823372</v>
      </c>
      <c r="BG135" s="20">
        <f t="shared" si="115"/>
        <v>5.5310691019807896</v>
      </c>
      <c r="BH135" s="59">
        <f t="shared" si="116"/>
        <v>298.8644024353141</v>
      </c>
      <c r="BI135" s="59">
        <f ca="1">AVERAGE(OFFSET($BH$3,0,0,'Données projet'!$E$11+1,1))-AVERAGE(OFFSET($H$3,0,0,'Données projet'!$E$11+1,1))</f>
        <v>321.82962838167799</v>
      </c>
      <c r="BJ135" s="59">
        <f t="shared" si="146"/>
        <v>243.43396255104295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177.64612721104101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177.64612721104101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187.80389738728508</v>
      </c>
      <c r="CE135" s="59">
        <f t="shared" si="148"/>
        <v>439.28159165815265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16.383784354825334</v>
      </c>
      <c r="CL135" s="21">
        <f>EXP(-LN(2)/25)*CL134+(1-EXP(-LN(2)/25))/(LN(2)/25)*Calculateur!CG135*Calculateur!CI135*VLOOKUP('Données projet'!$B$12,Paramètres!$A$1:$I$89,3,0)*0.475*44/12</f>
        <v>0.85011023028245447</v>
      </c>
      <c r="CM135" s="21">
        <f>EXP(-LN(2)/2)*CM134+(1-EXP(-LN(2)/2))/(LN(2)/2)*CG135*CJ135*VLOOKUP('Données projet'!$B$12,Paramètres!$A$1:$I$89,3,0)*0.475*44/12</f>
        <v>1.9967141718948375E-17</v>
      </c>
      <c r="CN135" s="22">
        <f t="shared" si="120"/>
        <v>17.233894585107787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8.4949999999999939</v>
      </c>
      <c r="CT135" s="12">
        <f>IF('Données projet'!$A$140&gt;35,CT134+CS135-DB134,IF(A135&lt;'Données projet'!$A$140,$CQ$205^A135,IF(A135='Données projet'!$A$140,'Données projet'!$B$140,CT134+CS135-DB134)))</f>
        <v>467.29000000000008</v>
      </c>
      <c r="CU135" s="17">
        <f>CT135*VLOOKUP('Données projet'!$B$13,Paramètres!$A$1:$I$89,3,0)*VLOOKUP('Données projet'!$B$13,Paramètres!$A$1:$I$89,5,0)</f>
        <v>532.14985200000012</v>
      </c>
      <c r="CV135" s="13">
        <f t="shared" si="149"/>
        <v>118.10700571757326</v>
      </c>
      <c r="CW135" s="20">
        <f t="shared" si="121"/>
        <v>1132.5306938581068</v>
      </c>
      <c r="CX135" s="59">
        <f t="shared" si="122"/>
        <v>1425.8640271914401</v>
      </c>
      <c r="CY135" s="59">
        <f ca="1">AVERAGE(OFFSET($CX$3,0,0,'Données projet'!$E$13+1,1))-AVERAGE(OFFSET($H$3,0,0,'Données projet'!$E$13+1,1))</f>
        <v>770.11410336045037</v>
      </c>
      <c r="CZ135" s="59">
        <f t="shared" si="150"/>
        <v>227.12611049004596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121.66699092169372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121.66699092169372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10.163999999999998</v>
      </c>
      <c r="DO135" s="12">
        <f>IF('Données projet'!$A$166&gt;35,DO134+DN135-DW134,IF(A135&lt;'Données projet'!$A$166,$DL$205^A135,IF(A135='Données projet'!$A$166,'Données projet'!$B$166,DO134+DN135-DW134)))</f>
        <v>557.73799999999983</v>
      </c>
      <c r="DP135" s="17">
        <f>DO135*VLOOKUP('Données projet'!$B$14,Paramètres!$A$1:$I$89,3,0)*VLOOKUP('Données projet'!$B$14,Paramètres!$A$1:$I$89,5,0)</f>
        <v>565.54633199999978</v>
      </c>
      <c r="DQ135" s="13">
        <f t="shared" si="151"/>
        <v>124.63297378351579</v>
      </c>
      <c r="DR135" s="20">
        <f t="shared" si="124"/>
        <v>1202.0622909062897</v>
      </c>
      <c r="DS135" s="59">
        <f t="shared" si="125"/>
        <v>1495.395624239623</v>
      </c>
      <c r="DT135" s="59">
        <f ca="1">AVERAGE(OFFSET($DS$3,0,0,'Données projet'!$E$14+1,1))-AVERAGE(OFFSET($H$3,0,0,'Données projet'!$E$14+1,1))</f>
        <v>778.88878505968955</v>
      </c>
      <c r="DU135" s="59">
        <f t="shared" si="152"/>
        <v>279.20782832611059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160.85742595685866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160.85742595685866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369.00000000000011</v>
      </c>
      <c r="O136" s="13">
        <f>N136*VLOOKUP('Données projet'!$B$9,Paramètres!$A$1:$I$89,3,0)*VLOOKUP('Données projet'!$B$9,Paramètres!$A$1:$I$89,5,0)</f>
        <v>333.87120000000004</v>
      </c>
      <c r="P136" s="13">
        <f t="shared" si="141"/>
        <v>78.232360111376309</v>
      </c>
      <c r="Q136" s="20">
        <f t="shared" si="108"/>
        <v>717.74703386064709</v>
      </c>
      <c r="R136" s="59">
        <f t="shared" si="109"/>
        <v>1011.0803671939805</v>
      </c>
      <c r="S136" s="59">
        <f ca="1">AVERAGE(OFFSET($R$3,0,0,'Données projet'!$E$9+1,1))-AVERAGE(OFFSET($H$3,0,0,'Données projet'!$E$9+1,1))</f>
        <v>436.4497226650281</v>
      </c>
      <c r="T136" s="59">
        <f t="shared" si="142"/>
        <v>611.43967996341871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1.3747875151280007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1.3747875151280007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630</v>
      </c>
      <c r="AJ136" s="13">
        <f>AI136*VLOOKUP('Données projet'!$B$10,Paramètres!$A$1:$I$89,3,0)*VLOOKUP('Données projet'!$B$10,Paramètres!$A$1:$I$89,5,0)</f>
        <v>550.36800000000005</v>
      </c>
      <c r="AK136" s="13">
        <f t="shared" si="143"/>
        <v>121.67271812244785</v>
      </c>
      <c r="AL136" s="20">
        <f t="shared" si="112"/>
        <v>1170.4709173965966</v>
      </c>
      <c r="AM136" s="59">
        <f t="shared" si="113"/>
        <v>1463.8042507299299</v>
      </c>
      <c r="AN136" s="59">
        <f ca="1">AVERAGE(OFFSET($AM$3,0,0,'Données projet'!$E$10+1,1))-AVERAGE(OFFSET($H$3,0,0,'Données projet'!$E$10+1,1))</f>
        <v>662.13838733542616</v>
      </c>
      <c r="AO136" s="59">
        <f t="shared" si="144"/>
        <v>1194.915361841041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4.7800000000008822</v>
      </c>
      <c r="BE136" s="13">
        <f>BD136*VLOOKUP('Données projet'!$B$11,Paramètres!$A$1:$I$89,3,0)*VLOOKUP('Données projet'!$B$11,Paramètres!$A$1:$I$89,5,0)</f>
        <v>2.2370400000004129</v>
      </c>
      <c r="BF136" s="13">
        <f t="shared" si="145"/>
        <v>0.9386934556823372</v>
      </c>
      <c r="BG136" s="20">
        <f t="shared" si="115"/>
        <v>5.5310691019807896</v>
      </c>
      <c r="BH136" s="59">
        <f t="shared" si="116"/>
        <v>298.8644024353141</v>
      </c>
      <c r="BI136" s="59">
        <f ca="1">AVERAGE(OFFSET($BH$3,0,0,'Données projet'!$E$11+1,1))-AVERAGE(OFFSET($H$3,0,0,'Données projet'!$E$11+1,1))</f>
        <v>321.82962838167799</v>
      </c>
      <c r="BJ136" s="59">
        <f t="shared" si="146"/>
        <v>243.43396255104295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174.16259500987107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174.16259500987107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187.80389738728508</v>
      </c>
      <c r="CE136" s="59">
        <f t="shared" si="148"/>
        <v>439.28159165815265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16.062508336748927</v>
      </c>
      <c r="CL136" s="21">
        <f>EXP(-LN(2)/25)*CL135+(1-EXP(-LN(2)/25))/(LN(2)/25)*Calculateur!CG136*Calculateur!CI136*VLOOKUP('Données projet'!$B$12,Paramètres!$A$1:$I$89,3,0)*0.475*44/12</f>
        <v>0.82686392133002673</v>
      </c>
      <c r="CM136" s="21">
        <f>EXP(-LN(2)/2)*CM135+(1-EXP(-LN(2)/2))/(LN(2)/2)*CG136*CJ136*VLOOKUP('Données projet'!$B$12,Paramètres!$A$1:$I$89,3,0)*0.475*44/12</f>
        <v>1.4118901310381213E-17</v>
      </c>
      <c r="CN136" s="22">
        <f t="shared" si="120"/>
        <v>16.889372258078954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8.4949999999999939</v>
      </c>
      <c r="CT136" s="12">
        <f>IF('Données projet'!$A$140&gt;35,CT135+CS136-DB135,IF(A136&lt;'Données projet'!$A$140,$CQ$205^A136,IF(A136='Données projet'!$A$140,'Données projet'!$B$140,CT135+CS136-DB135)))</f>
        <v>475.78500000000008</v>
      </c>
      <c r="CU136" s="17">
        <f>CT136*VLOOKUP('Données projet'!$B$13,Paramètres!$A$1:$I$89,3,0)*VLOOKUP('Données projet'!$B$13,Paramètres!$A$1:$I$89,5,0)</f>
        <v>541.82395800000006</v>
      </c>
      <c r="CV136" s="13">
        <f t="shared" si="149"/>
        <v>120.00219068478486</v>
      </c>
      <c r="CW136" s="20">
        <f t="shared" si="121"/>
        <v>1152.680542292667</v>
      </c>
      <c r="CX136" s="59">
        <f t="shared" si="122"/>
        <v>1446.0138756260003</v>
      </c>
      <c r="CY136" s="59">
        <f ca="1">AVERAGE(OFFSET($CX$3,0,0,'Données projet'!$E$13+1,1))-AVERAGE(OFFSET($H$3,0,0,'Données projet'!$E$13+1,1))</f>
        <v>770.11410336045037</v>
      </c>
      <c r="CZ136" s="59">
        <f t="shared" si="150"/>
        <v>227.12611049004596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119.28117543925619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119.28117543925619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10.163999999999998</v>
      </c>
      <c r="DO136" s="12">
        <f>IF('Données projet'!$A$166&gt;35,DO135+DN136-DW135,IF(A136&lt;'Données projet'!$A$166,$DL$205^A136,IF(A136='Données projet'!$A$166,'Données projet'!$B$166,DO135+DN136-DW135)))</f>
        <v>567.90199999999982</v>
      </c>
      <c r="DP136" s="17">
        <f>DO136*VLOOKUP('Données projet'!$B$14,Paramètres!$A$1:$I$89,3,0)*VLOOKUP('Données projet'!$B$14,Paramètres!$A$1:$I$89,5,0)</f>
        <v>575.85262799999987</v>
      </c>
      <c r="DQ136" s="13">
        <f t="shared" si="151"/>
        <v>126.63774731614511</v>
      </c>
      <c r="DR136" s="20">
        <f t="shared" si="124"/>
        <v>1223.5040703422858</v>
      </c>
      <c r="DS136" s="59">
        <f t="shared" si="125"/>
        <v>1516.837403675619</v>
      </c>
      <c r="DT136" s="59">
        <f ca="1">AVERAGE(OFFSET($DS$3,0,0,'Données projet'!$E$14+1,1))-AVERAGE(OFFSET($H$3,0,0,'Données projet'!$E$14+1,1))</f>
        <v>778.88878505968955</v>
      </c>
      <c r="DU136" s="59">
        <f t="shared" si="152"/>
        <v>279.20782832611059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157.70310994718662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157.70310994718662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369.00000000000011</v>
      </c>
      <c r="O137" s="13">
        <f>N137*VLOOKUP('Données projet'!$B$9,Paramètres!$A$1:$I$89,3,0)*VLOOKUP('Données projet'!$B$9,Paramètres!$A$1:$I$89,5,0)</f>
        <v>333.87120000000004</v>
      </c>
      <c r="P137" s="13">
        <f t="shared" si="141"/>
        <v>78.232360111376309</v>
      </c>
      <c r="Q137" s="20">
        <f t="shared" si="108"/>
        <v>717.74703386064709</v>
      </c>
      <c r="R137" s="59">
        <f t="shared" si="109"/>
        <v>1011.0803671939805</v>
      </c>
      <c r="S137" s="59">
        <f ca="1">AVERAGE(OFFSET($R$3,0,0,'Données projet'!$E$9+1,1))-AVERAGE(OFFSET($H$3,0,0,'Données projet'!$E$9+1,1))</f>
        <v>436.4497226650281</v>
      </c>
      <c r="T137" s="59">
        <f t="shared" si="142"/>
        <v>611.43967996341871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1.347828770493926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1.347828770493926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630</v>
      </c>
      <c r="AJ137" s="13">
        <f>AI137*VLOOKUP('Données projet'!$B$10,Paramètres!$A$1:$I$89,3,0)*VLOOKUP('Données projet'!$B$10,Paramètres!$A$1:$I$89,5,0)</f>
        <v>550.36800000000005</v>
      </c>
      <c r="AK137" s="13">
        <f t="shared" si="143"/>
        <v>121.67271812244785</v>
      </c>
      <c r="AL137" s="20">
        <f t="shared" si="112"/>
        <v>1170.4709173965966</v>
      </c>
      <c r="AM137" s="59">
        <f t="shared" si="113"/>
        <v>1463.8042507299299</v>
      </c>
      <c r="AN137" s="59">
        <f ca="1">AVERAGE(OFFSET($AM$3,0,0,'Données projet'!$E$10+1,1))-AVERAGE(OFFSET($H$3,0,0,'Données projet'!$E$10+1,1))</f>
        <v>662.13838733542616</v>
      </c>
      <c r="AO137" s="59">
        <f t="shared" si="144"/>
        <v>1194.915361841041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4.7800000000008822</v>
      </c>
      <c r="BE137" s="13">
        <f>BD137*VLOOKUP('Données projet'!$B$11,Paramètres!$A$1:$I$89,3,0)*VLOOKUP('Données projet'!$B$11,Paramètres!$A$1:$I$89,5,0)</f>
        <v>2.2370400000004129</v>
      </c>
      <c r="BF137" s="13">
        <f t="shared" si="145"/>
        <v>0.9386934556823372</v>
      </c>
      <c r="BG137" s="20">
        <f t="shared" si="115"/>
        <v>5.5310691019807896</v>
      </c>
      <c r="BH137" s="59">
        <f t="shared" si="116"/>
        <v>298.8644024353141</v>
      </c>
      <c r="BI137" s="59">
        <f ca="1">AVERAGE(OFFSET($BH$3,0,0,'Données projet'!$E$11+1,1))-AVERAGE(OFFSET($H$3,0,0,'Données projet'!$E$11+1,1))</f>
        <v>321.82962838167799</v>
      </c>
      <c r="BJ137" s="59">
        <f t="shared" si="146"/>
        <v>243.43396255104295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170.74737275042125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170.74737275042125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187.80389738728508</v>
      </c>
      <c r="CE137" s="59">
        <f t="shared" si="148"/>
        <v>439.28159165815265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15.747532345427976</v>
      </c>
      <c r="CL137" s="21">
        <f>EXP(-LN(2)/25)*CL136+(1-EXP(-LN(2)/25))/(LN(2)/25)*Calculateur!CG137*Calculateur!CI137*VLOOKUP('Données projet'!$B$12,Paramètres!$A$1:$I$89,3,0)*0.475*44/12</f>
        <v>0.80425328391837336</v>
      </c>
      <c r="CM137" s="21">
        <f>EXP(-LN(2)/2)*CM136+(1-EXP(-LN(2)/2))/(LN(2)/2)*CG137*CJ137*VLOOKUP('Données projet'!$B$12,Paramètres!$A$1:$I$89,3,0)*0.475*44/12</f>
        <v>9.9835708594741873E-18</v>
      </c>
      <c r="CN137" s="22">
        <f t="shared" si="120"/>
        <v>16.551785629346348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8.4949999999999939</v>
      </c>
      <c r="CS137" s="12">
        <f t="array" ref="CS137">INDEX(CR:CR,MIN(IF(ISNUMBER(CR137:CR333),ROW(CR137:CR333),"")))</f>
        <v>8.4949999999999939</v>
      </c>
      <c r="CT137" s="12">
        <f>IF('Données projet'!$A$140&gt;35,CT136+CS137-DB136,IF(A137&lt;'Données projet'!$A$140,$CQ$205^A137,IF(A137='Données projet'!$A$140,'Données projet'!$B$140,CT136+CS137-DB136)))</f>
        <v>484.28000000000009</v>
      </c>
      <c r="CU137" s="17">
        <f>CT137*VLOOKUP('Données projet'!$B$13,Paramètres!$A$1:$I$89,3,0)*VLOOKUP('Données projet'!$B$13,Paramètres!$A$1:$I$89,5,0)</f>
        <v>551.49806400000011</v>
      </c>
      <c r="CV137" s="13">
        <f t="shared" si="149"/>
        <v>121.8934407819021</v>
      </c>
      <c r="CW137" s="20">
        <f t="shared" si="121"/>
        <v>1172.8235374951462</v>
      </c>
      <c r="CX137" s="59">
        <f t="shared" si="122"/>
        <v>1466.1568708284794</v>
      </c>
      <c r="CY137" s="59">
        <f ca="1">AVERAGE(OFFSET($CX$3,0,0,'Données projet'!$E$13+1,1))-AVERAGE(OFFSET($H$3,0,0,'Données projet'!$E$13+1,1))</f>
        <v>770.11410336045037</v>
      </c>
      <c r="CZ137" s="59">
        <f t="shared" si="150"/>
        <v>227.12611049004596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0.43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146.68829143857565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146.68829143857565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10.163999999999998</v>
      </c>
      <c r="DO137" s="12">
        <f>IF('Données projet'!$A$166&gt;35,DO136+DN137-DW136,IF(A137&lt;'Données projet'!$A$166,$DL$205^A137,IF(A137='Données projet'!$A$166,'Données projet'!$B$166,DO136+DN137-DW136)))</f>
        <v>578.0659999999998</v>
      </c>
      <c r="DP137" s="17">
        <f>DO137*VLOOKUP('Données projet'!$B$14,Paramètres!$A$1:$I$89,3,0)*VLOOKUP('Données projet'!$B$14,Paramètres!$A$1:$I$89,5,0)</f>
        <v>586.15892399999984</v>
      </c>
      <c r="DQ137" s="13">
        <f t="shared" si="151"/>
        <v>128.63834848876613</v>
      </c>
      <c r="DR137" s="20">
        <f t="shared" si="124"/>
        <v>1244.9385829179339</v>
      </c>
      <c r="DS137" s="59">
        <f t="shared" si="125"/>
        <v>1538.2719162512672</v>
      </c>
      <c r="DT137" s="59">
        <f ca="1">AVERAGE(OFFSET($DS$3,0,0,'Données projet'!$E$14+1,1))-AVERAGE(OFFSET($H$3,0,0,'Données projet'!$E$14+1,1))</f>
        <v>778.88878505968955</v>
      </c>
      <c r="DU137" s="59">
        <f t="shared" si="152"/>
        <v>279.20782832611059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154.61064815052146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154.61064815052146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369.00000000000011</v>
      </c>
      <c r="O138" s="13">
        <f>N138*VLOOKUP('Données projet'!$B$9,Paramètres!$A$1:$I$89,3,0)*VLOOKUP('Données projet'!$B$9,Paramètres!$A$1:$I$89,5,0)</f>
        <v>333.87120000000004</v>
      </c>
      <c r="P138" s="13">
        <f t="shared" si="141"/>
        <v>78.232360111376309</v>
      </c>
      <c r="Q138" s="20">
        <f t="shared" si="108"/>
        <v>717.74703386064709</v>
      </c>
      <c r="R138" s="59">
        <f t="shared" si="109"/>
        <v>1011.0803671939805</v>
      </c>
      <c r="S138" s="59">
        <f ca="1">AVERAGE(OFFSET($R$3,0,0,'Données projet'!$E$9+1,1))-AVERAGE(OFFSET($H$3,0,0,'Données projet'!$E$9+1,1))</f>
        <v>436.4497226650281</v>
      </c>
      <c r="T138" s="59">
        <f t="shared" si="142"/>
        <v>611.43967996341871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1.3213986703989151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1.3213986703989151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630</v>
      </c>
      <c r="AJ138" s="13">
        <f>AI138*VLOOKUP('Données projet'!$B$10,Paramètres!$A$1:$I$89,3,0)*VLOOKUP('Données projet'!$B$10,Paramètres!$A$1:$I$89,5,0)</f>
        <v>550.36800000000005</v>
      </c>
      <c r="AK138" s="13">
        <f t="shared" si="143"/>
        <v>121.67271812244785</v>
      </c>
      <c r="AL138" s="20">
        <f t="shared" si="112"/>
        <v>1170.4709173965966</v>
      </c>
      <c r="AM138" s="59">
        <f t="shared" si="113"/>
        <v>1463.8042507299299</v>
      </c>
      <c r="AN138" s="59">
        <f ca="1">AVERAGE(OFFSET($AM$3,0,0,'Données projet'!$E$10+1,1))-AVERAGE(OFFSET($H$3,0,0,'Données projet'!$E$10+1,1))</f>
        <v>662.13838733542616</v>
      </c>
      <c r="AO138" s="59">
        <f t="shared" si="144"/>
        <v>1194.915361841041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4.7800000000008822</v>
      </c>
      <c r="BE138" s="13">
        <f>BD138*VLOOKUP('Données projet'!$B$11,Paramètres!$A$1:$I$89,3,0)*VLOOKUP('Données projet'!$B$11,Paramètres!$A$1:$I$89,5,0)</f>
        <v>2.2370400000004129</v>
      </c>
      <c r="BF138" s="13">
        <f t="shared" si="145"/>
        <v>0.9386934556823372</v>
      </c>
      <c r="BG138" s="20">
        <f t="shared" si="115"/>
        <v>5.5310691019807896</v>
      </c>
      <c r="BH138" s="59">
        <f t="shared" si="116"/>
        <v>298.8644024353141</v>
      </c>
      <c r="BI138" s="59">
        <f ca="1">AVERAGE(OFFSET($BH$3,0,0,'Données projet'!$E$11+1,1))-AVERAGE(OFFSET($H$3,0,0,'Données projet'!$E$11+1,1))</f>
        <v>321.82962838167799</v>
      </c>
      <c r="BJ138" s="59">
        <f t="shared" si="146"/>
        <v>243.43396255104295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167.39912091639934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167.39912091639934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187.80389738728508</v>
      </c>
      <c r="CE138" s="59">
        <f t="shared" si="148"/>
        <v>439.28159165815265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15.438732841180444</v>
      </c>
      <c r="CL138" s="21">
        <f>EXP(-LN(2)/25)*CL137+(1-EXP(-LN(2)/25))/(LN(2)/25)*Calculateur!CG138*Calculateur!CI138*VLOOKUP('Données projet'!$B$12,Paramètres!$A$1:$I$89,3,0)*0.475*44/12</f>
        <v>0.78226093557578336</v>
      </c>
      <c r="CM138" s="21">
        <f>EXP(-LN(2)/2)*CM137+(1-EXP(-LN(2)/2))/(LN(2)/2)*CG138*CJ138*VLOOKUP('Données projet'!$B$12,Paramètres!$A$1:$I$89,3,0)*0.475*44/12</f>
        <v>7.0594506551906064E-18</v>
      </c>
      <c r="CN138" s="22">
        <f t="shared" si="120"/>
        <v>16.220993776756227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8.561000000000007</v>
      </c>
      <c r="CT138" s="12">
        <f>IF('Données projet'!$A$140&gt;35,CT137+CS138-DB137,IF(A138&lt;'Données projet'!$A$140,$CQ$205^A138,IF(A138='Données projet'!$A$140,'Données projet'!$B$140,CT137+CS138-DB137)))</f>
        <v>437.89100000000013</v>
      </c>
      <c r="CU138" s="17">
        <f>CT138*VLOOKUP('Données projet'!$B$13,Paramètres!$A$1:$I$89,3,0)*VLOOKUP('Données projet'!$B$13,Paramètres!$A$1:$I$89,5,0)</f>
        <v>498.67027080000014</v>
      </c>
      <c r="CV138" s="13">
        <f t="shared" si="149"/>
        <v>111.51673708773737</v>
      </c>
      <c r="CW138" s="20">
        <f t="shared" si="121"/>
        <v>1062.7423720711429</v>
      </c>
      <c r="CX138" s="59">
        <f t="shared" si="122"/>
        <v>1356.0757054044761</v>
      </c>
      <c r="CY138" s="59">
        <f ca="1">AVERAGE(OFFSET($CX$3,0,0,'Données projet'!$E$13+1,1))-AVERAGE(OFFSET($H$3,0,0,'Données projet'!$E$13+1,1))</f>
        <v>770.11410336045037</v>
      </c>
      <c r="CZ138" s="59">
        <f t="shared" si="150"/>
        <v>227.12611049004596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143.81182351448842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143.81182351448842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10.163999999999998</v>
      </c>
      <c r="DO138" s="12">
        <f>IF('Données projet'!$A$166&gt;35,DO137+DN138-DW137,IF(A138&lt;'Données projet'!$A$166,$DL$205^A138,IF(A138='Données projet'!$A$166,'Données projet'!$B$166,DO137+DN138-DW137)))</f>
        <v>588.22999999999979</v>
      </c>
      <c r="DP138" s="17">
        <f>DO138*VLOOKUP('Données projet'!$B$14,Paramètres!$A$1:$I$89,3,0)*VLOOKUP('Données projet'!$B$14,Paramètres!$A$1:$I$89,5,0)</f>
        <v>596.46521999999982</v>
      </c>
      <c r="DQ138" s="13">
        <f t="shared" si="151"/>
        <v>130.63485912705485</v>
      </c>
      <c r="DR138" s="20">
        <f t="shared" si="124"/>
        <v>1266.3659711462867</v>
      </c>
      <c r="DS138" s="59">
        <f t="shared" si="125"/>
        <v>1559.69930447962</v>
      </c>
      <c r="DT138" s="59">
        <f ca="1">AVERAGE(OFFSET($DS$3,0,0,'Données projet'!$E$14+1,1))-AVERAGE(OFFSET($H$3,0,0,'Données projet'!$E$14+1,1))</f>
        <v>778.88878505968955</v>
      </c>
      <c r="DU138" s="59">
        <f t="shared" si="152"/>
        <v>279.20782832611059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151.57882764347343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151.57882764347343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369.00000000000011</v>
      </c>
      <c r="O139" s="13">
        <f>N139*VLOOKUP('Données projet'!$B$9,Paramètres!$A$1:$I$89,3,0)*VLOOKUP('Données projet'!$B$9,Paramètres!$A$1:$I$89,5,0)</f>
        <v>333.87120000000004</v>
      </c>
      <c r="P139" s="13">
        <f t="shared" si="141"/>
        <v>78.232360111376309</v>
      </c>
      <c r="Q139" s="20">
        <f t="shared" si="108"/>
        <v>717.74703386064709</v>
      </c>
      <c r="R139" s="59">
        <f t="shared" si="109"/>
        <v>1011.0803671939805</v>
      </c>
      <c r="S139" s="59">
        <f ca="1">AVERAGE(OFFSET($R$3,0,0,'Données projet'!$E$9+1,1))-AVERAGE(OFFSET($H$3,0,0,'Données projet'!$E$9+1,1))</f>
        <v>436.4497226650281</v>
      </c>
      <c r="T139" s="59">
        <f t="shared" si="142"/>
        <v>611.43967996341871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1.295486848445998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1.295486848445998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630</v>
      </c>
      <c r="AJ139" s="13">
        <f>AI139*VLOOKUP('Données projet'!$B$10,Paramètres!$A$1:$I$89,3,0)*VLOOKUP('Données projet'!$B$10,Paramètres!$A$1:$I$89,5,0)</f>
        <v>550.36800000000005</v>
      </c>
      <c r="AK139" s="13">
        <f t="shared" si="143"/>
        <v>121.67271812244785</v>
      </c>
      <c r="AL139" s="20">
        <f t="shared" si="112"/>
        <v>1170.4709173965966</v>
      </c>
      <c r="AM139" s="59">
        <f t="shared" si="113"/>
        <v>1463.8042507299299</v>
      </c>
      <c r="AN139" s="59">
        <f ca="1">AVERAGE(OFFSET($AM$3,0,0,'Données projet'!$E$10+1,1))-AVERAGE(OFFSET($H$3,0,0,'Données projet'!$E$10+1,1))</f>
        <v>662.13838733542616</v>
      </c>
      <c r="AO139" s="59">
        <f t="shared" si="144"/>
        <v>1194.915361841041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4.7800000000008822</v>
      </c>
      <c r="BE139" s="13">
        <f>BD139*VLOOKUP('Données projet'!$B$11,Paramètres!$A$1:$I$89,3,0)*VLOOKUP('Données projet'!$B$11,Paramètres!$A$1:$I$89,5,0)</f>
        <v>2.2370400000004129</v>
      </c>
      <c r="BF139" s="13">
        <f t="shared" si="145"/>
        <v>0.9386934556823372</v>
      </c>
      <c r="BG139" s="20">
        <f t="shared" si="115"/>
        <v>5.5310691019807896</v>
      </c>
      <c r="BH139" s="59">
        <f t="shared" si="116"/>
        <v>298.8644024353141</v>
      </c>
      <c r="BI139" s="59">
        <f ca="1">AVERAGE(OFFSET($BH$3,0,0,'Données projet'!$E$11+1,1))-AVERAGE(OFFSET($H$3,0,0,'Données projet'!$E$11+1,1))</f>
        <v>321.82962838167799</v>
      </c>
      <c r="BJ139" s="59">
        <f t="shared" si="146"/>
        <v>243.43396255104295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164.11652625861063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164.11652625861063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187.80389738728508</v>
      </c>
      <c r="CE139" s="59">
        <f t="shared" si="148"/>
        <v>439.28159165815265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15.135988706862108</v>
      </c>
      <c r="CL139" s="21">
        <f>EXP(-LN(2)/25)*CL138+(1-EXP(-LN(2)/25))/(LN(2)/25)*Calculateur!CG139*Calculateur!CI139*VLOOKUP('Données projet'!$B$12,Paramètres!$A$1:$I$89,3,0)*0.475*44/12</f>
        <v>0.76086996915514882</v>
      </c>
      <c r="CM139" s="21">
        <f>EXP(-LN(2)/2)*CM138+(1-EXP(-LN(2)/2))/(LN(2)/2)*CG139*CJ139*VLOOKUP('Données projet'!$B$12,Paramètres!$A$1:$I$89,3,0)*0.475*44/12</f>
        <v>4.9917854297370937E-18</v>
      </c>
      <c r="CN139" s="22">
        <f t="shared" si="120"/>
        <v>15.896858676017256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8.561000000000007</v>
      </c>
      <c r="CT139" s="12">
        <f>IF('Données projet'!$A$140&gt;35,CT138+CS139-DB138,IF(A139&lt;'Données projet'!$A$140,$CQ$205^A139,IF(A139='Données projet'!$A$140,'Données projet'!$B$140,CT138+CS139-DB138)))</f>
        <v>446.45200000000011</v>
      </c>
      <c r="CU139" s="17">
        <f>CT139*VLOOKUP('Données projet'!$B$13,Paramètres!$A$1:$I$89,3,0)*VLOOKUP('Données projet'!$B$13,Paramètres!$A$1:$I$89,5,0)</f>
        <v>508.41953760000013</v>
      </c>
      <c r="CV139" s="13">
        <f t="shared" si="149"/>
        <v>113.44099535894823</v>
      </c>
      <c r="CW139" s="20">
        <f t="shared" si="121"/>
        <v>1083.0737615701685</v>
      </c>
      <c r="CX139" s="59">
        <f t="shared" si="122"/>
        <v>1376.4070949035017</v>
      </c>
      <c r="CY139" s="59">
        <f ca="1">AVERAGE(OFFSET($CX$3,0,0,'Données projet'!$E$13+1,1))-AVERAGE(OFFSET($H$3,0,0,'Données projet'!$E$13+1,1))</f>
        <v>770.11410336045037</v>
      </c>
      <c r="CZ139" s="59">
        <f t="shared" si="150"/>
        <v>227.12611049004596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140.99176137192035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140.99176137192035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10.163999999999998</v>
      </c>
      <c r="DO139" s="12">
        <f>IF('Données projet'!$A$166&gt;35,DO138+DN139-DW138,IF(A139&lt;'Données projet'!$A$166,$DL$205^A139,IF(A139='Données projet'!$A$166,'Données projet'!$B$166,DO138+DN139-DW138)))</f>
        <v>598.39399999999978</v>
      </c>
      <c r="DP139" s="17">
        <f>DO139*VLOOKUP('Données projet'!$B$14,Paramètres!$A$1:$I$89,3,0)*VLOOKUP('Données projet'!$B$14,Paramètres!$A$1:$I$89,5,0)</f>
        <v>606.77151599999979</v>
      </c>
      <c r="DQ139" s="13">
        <f t="shared" si="151"/>
        <v>132.6273580669513</v>
      </c>
      <c r="DR139" s="20">
        <f t="shared" si="124"/>
        <v>1287.7863723332732</v>
      </c>
      <c r="DS139" s="59">
        <f t="shared" si="125"/>
        <v>1581.1197056666065</v>
      </c>
      <c r="DT139" s="59">
        <f ca="1">AVERAGE(OFFSET($DS$3,0,0,'Données projet'!$E$14+1,1))-AVERAGE(OFFSET($H$3,0,0,'Données projet'!$E$14+1,1))</f>
        <v>778.88878505968955</v>
      </c>
      <c r="DU139" s="59">
        <f t="shared" si="152"/>
        <v>279.20782832611059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148.6064592873407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148.6064592873407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369.00000000000011</v>
      </c>
      <c r="O140" s="13">
        <f>N140*VLOOKUP('Données projet'!$B$9,Paramètres!$A$1:$I$89,3,0)*VLOOKUP('Données projet'!$B$9,Paramètres!$A$1:$I$89,5,0)</f>
        <v>333.87120000000004</v>
      </c>
      <c r="P140" s="13">
        <f t="shared" si="141"/>
        <v>78.232360111376309</v>
      </c>
      <c r="Q140" s="20">
        <f t="shared" si="108"/>
        <v>717.74703386064709</v>
      </c>
      <c r="R140" s="59">
        <f t="shared" si="109"/>
        <v>1011.0803671939805</v>
      </c>
      <c r="S140" s="59">
        <f ca="1">AVERAGE(OFFSET($R$3,0,0,'Données projet'!$E$9+1,1))-AVERAGE(OFFSET($H$3,0,0,'Données projet'!$E$9+1,1))</f>
        <v>436.4497226650281</v>
      </c>
      <c r="T140" s="59">
        <f t="shared" si="142"/>
        <v>611.43967996341871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1.2700831415169269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1.2700831415169269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630</v>
      </c>
      <c r="AJ140" s="13">
        <f>AI140*VLOOKUP('Données projet'!$B$10,Paramètres!$A$1:$I$89,3,0)*VLOOKUP('Données projet'!$B$10,Paramètres!$A$1:$I$89,5,0)</f>
        <v>550.36800000000005</v>
      </c>
      <c r="AK140" s="13">
        <f t="shared" si="143"/>
        <v>121.67271812244785</v>
      </c>
      <c r="AL140" s="20">
        <f t="shared" si="112"/>
        <v>1170.4709173965966</v>
      </c>
      <c r="AM140" s="59">
        <f t="shared" si="113"/>
        <v>1463.8042507299299</v>
      </c>
      <c r="AN140" s="59">
        <f ca="1">AVERAGE(OFFSET($AM$3,0,0,'Données projet'!$E$10+1,1))-AVERAGE(OFFSET($H$3,0,0,'Données projet'!$E$10+1,1))</f>
        <v>662.13838733542616</v>
      </c>
      <c r="AO140" s="59">
        <f t="shared" si="144"/>
        <v>1194.915361841041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4.7800000000008822</v>
      </c>
      <c r="BE140" s="13">
        <f>BD140*VLOOKUP('Données projet'!$B$11,Paramètres!$A$1:$I$89,3,0)*VLOOKUP('Données projet'!$B$11,Paramètres!$A$1:$I$89,5,0)</f>
        <v>2.2370400000004129</v>
      </c>
      <c r="BF140" s="13">
        <f t="shared" si="145"/>
        <v>0.9386934556823372</v>
      </c>
      <c r="BG140" s="20">
        <f t="shared" si="115"/>
        <v>5.5310691019807896</v>
      </c>
      <c r="BH140" s="59">
        <f t="shared" si="116"/>
        <v>298.8644024353141</v>
      </c>
      <c r="BI140" s="59">
        <f ca="1">AVERAGE(OFFSET($BH$3,0,0,'Données projet'!$E$11+1,1))-AVERAGE(OFFSET($H$3,0,0,'Données projet'!$E$11+1,1))</f>
        <v>321.82962838167799</v>
      </c>
      <c r="BJ140" s="59">
        <f t="shared" si="146"/>
        <v>243.43396255104295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160.89830127987614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160.89830127987614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187.80389738728508</v>
      </c>
      <c r="CE140" s="59">
        <f t="shared" si="148"/>
        <v>439.28159165815265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14.839181200362065</v>
      </c>
      <c r="CL140" s="21">
        <f>EXP(-LN(2)/25)*CL139+(1-EXP(-LN(2)/25))/(LN(2)/25)*Calculateur!CG140*Calculateur!CI140*VLOOKUP('Données projet'!$B$12,Paramètres!$A$1:$I$89,3,0)*0.475*44/12</f>
        <v>0.74006393983618857</v>
      </c>
      <c r="CM140" s="21">
        <f>EXP(-LN(2)/2)*CM139+(1-EXP(-LN(2)/2))/(LN(2)/2)*CG140*CJ140*VLOOKUP('Données projet'!$B$12,Paramètres!$A$1:$I$89,3,0)*0.475*44/12</f>
        <v>3.5297253275953032E-18</v>
      </c>
      <c r="CN140" s="22">
        <f t="shared" si="120"/>
        <v>15.579245140198253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8.561000000000007</v>
      </c>
      <c r="CT140" s="12">
        <f>IF('Données projet'!$A$140&gt;35,CT139+CS140-DB139,IF(A140&lt;'Données projet'!$A$140,$CQ$205^A140,IF(A140='Données projet'!$A$140,'Données projet'!$B$140,CT139+CS140-DB139)))</f>
        <v>455.01300000000015</v>
      </c>
      <c r="CU140" s="17">
        <f>CT140*VLOOKUP('Données projet'!$B$13,Paramètres!$A$1:$I$89,3,0)*VLOOKUP('Données projet'!$B$13,Paramètres!$A$1:$I$89,5,0)</f>
        <v>518.16880440000023</v>
      </c>
      <c r="CV140" s="13">
        <f t="shared" si="149"/>
        <v>115.3609631133189</v>
      </c>
      <c r="CW140" s="20">
        <f t="shared" si="121"/>
        <v>1103.3976784190309</v>
      </c>
      <c r="CX140" s="59">
        <f t="shared" si="122"/>
        <v>1396.7310117523641</v>
      </c>
      <c r="CY140" s="59">
        <f ca="1">AVERAGE(OFFSET($CX$3,0,0,'Données projet'!$E$13+1,1))-AVERAGE(OFFSET($H$3,0,0,'Données projet'!$E$13+1,1))</f>
        <v>770.11410336045037</v>
      </c>
      <c r="CZ140" s="59">
        <f t="shared" si="150"/>
        <v>227.12611049004596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138.22699892789998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138.22699892789998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10.163999999999998</v>
      </c>
      <c r="DO140" s="12">
        <f>IF('Données projet'!$A$166&gt;35,DO139+DN140-DW139,IF(A140&lt;'Données projet'!$A$166,$DL$205^A140,IF(A140='Données projet'!$A$166,'Données projet'!$B$166,DO139+DN140-DW139)))</f>
        <v>608.55799999999977</v>
      </c>
      <c r="DP140" s="17">
        <f>DO140*VLOOKUP('Données projet'!$B$14,Paramètres!$A$1:$I$89,3,0)*VLOOKUP('Données projet'!$B$14,Paramètres!$A$1:$I$89,5,0)</f>
        <v>617.07781199999977</v>
      </c>
      <c r="DQ140" s="13">
        <f t="shared" si="151"/>
        <v>134.61592131279065</v>
      </c>
      <c r="DR140" s="20">
        <f t="shared" si="124"/>
        <v>1309.1999188531099</v>
      </c>
      <c r="DS140" s="59">
        <f t="shared" si="125"/>
        <v>1602.5332521864432</v>
      </c>
      <c r="DT140" s="59">
        <f ca="1">AVERAGE(OFFSET($DS$3,0,0,'Données projet'!$E$14+1,1))-AVERAGE(OFFSET($H$3,0,0,'Données projet'!$E$14+1,1))</f>
        <v>778.88878505968955</v>
      </c>
      <c r="DU140" s="59">
        <f t="shared" si="152"/>
        <v>279.20782832611059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145.69237726170607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145.69237726170607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369.00000000000011</v>
      </c>
      <c r="O141" s="13">
        <f>N141*VLOOKUP('Données projet'!$B$9,Paramètres!$A$1:$I$89,3,0)*VLOOKUP('Données projet'!$B$9,Paramètres!$A$1:$I$89,5,0)</f>
        <v>333.87120000000004</v>
      </c>
      <c r="P141" s="13">
        <f t="shared" si="141"/>
        <v>78.232360111376309</v>
      </c>
      <c r="Q141" s="20">
        <f t="shared" si="108"/>
        <v>717.74703386064709</v>
      </c>
      <c r="R141" s="59">
        <f t="shared" si="109"/>
        <v>1011.0803671939805</v>
      </c>
      <c r="S141" s="59">
        <f ca="1">AVERAGE(OFFSET($R$3,0,0,'Données projet'!$E$9+1,1))-AVERAGE(OFFSET($H$3,0,0,'Données projet'!$E$9+1,1))</f>
        <v>436.4497226650281</v>
      </c>
      <c r="T141" s="59">
        <f t="shared" si="142"/>
        <v>611.43967996341871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1.2451775857860037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1.2451775857860037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630</v>
      </c>
      <c r="AJ141" s="13">
        <f>AI141*VLOOKUP('Données projet'!$B$10,Paramètres!$A$1:$I$89,3,0)*VLOOKUP('Données projet'!$B$10,Paramètres!$A$1:$I$89,5,0)</f>
        <v>550.36800000000005</v>
      </c>
      <c r="AK141" s="13">
        <f t="shared" si="143"/>
        <v>121.67271812244785</v>
      </c>
      <c r="AL141" s="20">
        <f t="shared" si="112"/>
        <v>1170.4709173965966</v>
      </c>
      <c r="AM141" s="59">
        <f t="shared" si="113"/>
        <v>1463.8042507299299</v>
      </c>
      <c r="AN141" s="59">
        <f ca="1">AVERAGE(OFFSET($AM$3,0,0,'Données projet'!$E$10+1,1))-AVERAGE(OFFSET($H$3,0,0,'Données projet'!$E$10+1,1))</f>
        <v>662.13838733542616</v>
      </c>
      <c r="AO141" s="59">
        <f t="shared" si="144"/>
        <v>1194.915361841041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4.7800000000008822</v>
      </c>
      <c r="BE141" s="13">
        <f>BD141*VLOOKUP('Données projet'!$B$11,Paramètres!$A$1:$I$89,3,0)*VLOOKUP('Données projet'!$B$11,Paramètres!$A$1:$I$89,5,0)</f>
        <v>2.2370400000004129</v>
      </c>
      <c r="BF141" s="13">
        <f t="shared" si="145"/>
        <v>0.9386934556823372</v>
      </c>
      <c r="BG141" s="20">
        <f t="shared" si="115"/>
        <v>5.5310691019807896</v>
      </c>
      <c r="BH141" s="59">
        <f t="shared" si="116"/>
        <v>298.8644024353141</v>
      </c>
      <c r="BI141" s="59">
        <f ca="1">AVERAGE(OFFSET($BH$3,0,0,'Données projet'!$E$11+1,1))-AVERAGE(OFFSET($H$3,0,0,'Données projet'!$E$11+1,1))</f>
        <v>321.82962838167799</v>
      </c>
      <c r="BJ141" s="59">
        <f t="shared" si="146"/>
        <v>243.43396255104295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157.74318373005119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157.74318373005119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187.80389738728508</v>
      </c>
      <c r="CE141" s="59">
        <f t="shared" si="148"/>
        <v>439.28159165815265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14.548193908029784</v>
      </c>
      <c r="CL141" s="21">
        <f>EXP(-LN(2)/25)*CL140+(1-EXP(-LN(2)/25))/(LN(2)/25)*Calculateur!CG141*Calculateur!CI141*VLOOKUP('Données projet'!$B$12,Paramètres!$A$1:$I$89,3,0)*0.475*44/12</f>
        <v>0.71982685248309686</v>
      </c>
      <c r="CM141" s="21">
        <f>EXP(-LN(2)/2)*CM140+(1-EXP(-LN(2)/2))/(LN(2)/2)*CG141*CJ141*VLOOKUP('Données projet'!$B$12,Paramètres!$A$1:$I$89,3,0)*0.475*44/12</f>
        <v>2.4958927148685468E-18</v>
      </c>
      <c r="CN141" s="22">
        <f t="shared" si="120"/>
        <v>15.268020760512881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8.561000000000007</v>
      </c>
      <c r="CT141" s="12">
        <f>IF('Données projet'!$A$140&gt;35,CT140+CS141-DB140,IF(A141&lt;'Données projet'!$A$140,$CQ$205^A141,IF(A141='Données projet'!$A$140,'Données projet'!$B$140,CT140+CS141-DB140)))</f>
        <v>463.57400000000018</v>
      </c>
      <c r="CU141" s="17">
        <f>CT141*VLOOKUP('Données projet'!$B$13,Paramètres!$A$1:$I$89,3,0)*VLOOKUP('Données projet'!$B$13,Paramètres!$A$1:$I$89,5,0)</f>
        <v>527.91807120000021</v>
      </c>
      <c r="CV141" s="13">
        <f t="shared" si="149"/>
        <v>117.27673038480725</v>
      </c>
      <c r="CW141" s="20">
        <f t="shared" si="121"/>
        <v>1123.714279426873</v>
      </c>
      <c r="CX141" s="59">
        <f t="shared" si="122"/>
        <v>1417.0476127602062</v>
      </c>
      <c r="CY141" s="59">
        <f ca="1">AVERAGE(OFFSET($CX$3,0,0,'Données projet'!$E$13+1,1))-AVERAGE(OFFSET($H$3,0,0,'Données projet'!$E$13+1,1))</f>
        <v>770.11410336045037</v>
      </c>
      <c r="CZ141" s="59">
        <f t="shared" si="150"/>
        <v>227.12611049004596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135.51645178906827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135.51645178906827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10.163999999999998</v>
      </c>
      <c r="DO141" s="12">
        <f>IF('Données projet'!$A$166&gt;35,DO140+DN141-DW140,IF(A141&lt;'Données projet'!$A$166,$DL$205^A141,IF(A141='Données projet'!$A$166,'Données projet'!$B$166,DO140+DN141-DW140)))</f>
        <v>618.72199999999975</v>
      </c>
      <c r="DP141" s="17">
        <f>DO141*VLOOKUP('Données projet'!$B$14,Paramètres!$A$1:$I$89,3,0)*VLOOKUP('Données projet'!$B$14,Paramètres!$A$1:$I$89,5,0)</f>
        <v>627.38410799999974</v>
      </c>
      <c r="DQ141" s="13">
        <f t="shared" si="151"/>
        <v>136.60062218457074</v>
      </c>
      <c r="DR141" s="20">
        <f t="shared" si="124"/>
        <v>1330.6067384047935</v>
      </c>
      <c r="DS141" s="59">
        <f t="shared" si="125"/>
        <v>1623.9400717381268</v>
      </c>
      <c r="DT141" s="59">
        <f ca="1">AVERAGE(OFFSET($DS$3,0,0,'Données projet'!$E$14+1,1))-AVERAGE(OFFSET($H$3,0,0,'Données projet'!$E$14+1,1))</f>
        <v>778.88878505968955</v>
      </c>
      <c r="DU141" s="59">
        <f t="shared" si="152"/>
        <v>279.20782832611059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142.83543860717958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142.83543860717958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369.00000000000011</v>
      </c>
      <c r="O142" s="13">
        <f>N142*VLOOKUP('Données projet'!$B$9,Paramètres!$A$1:$I$89,3,0)*VLOOKUP('Données projet'!$B$9,Paramètres!$A$1:$I$89,5,0)</f>
        <v>333.87120000000004</v>
      </c>
      <c r="P142" s="13">
        <f t="shared" si="141"/>
        <v>78.232360111376309</v>
      </c>
      <c r="Q142" s="20">
        <f t="shared" si="108"/>
        <v>717.74703386064709</v>
      </c>
      <c r="R142" s="59">
        <f t="shared" si="109"/>
        <v>1011.0803671939805</v>
      </c>
      <c r="S142" s="59">
        <f ca="1">AVERAGE(OFFSET($R$3,0,0,'Données projet'!$E$9+1,1))-AVERAGE(OFFSET($H$3,0,0,'Données projet'!$E$9+1,1))</f>
        <v>436.4497226650281</v>
      </c>
      <c r="T142" s="59">
        <f t="shared" si="142"/>
        <v>611.43967996341871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1.2207604128120748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1.2207604128120748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630</v>
      </c>
      <c r="AJ142" s="13">
        <f>AI142*VLOOKUP('Données projet'!$B$10,Paramètres!$A$1:$I$89,3,0)*VLOOKUP('Données projet'!$B$10,Paramètres!$A$1:$I$89,5,0)</f>
        <v>550.36800000000005</v>
      </c>
      <c r="AK142" s="13">
        <f t="shared" si="143"/>
        <v>121.67271812244785</v>
      </c>
      <c r="AL142" s="20">
        <f t="shared" si="112"/>
        <v>1170.4709173965966</v>
      </c>
      <c r="AM142" s="59">
        <f t="shared" si="113"/>
        <v>1463.8042507299299</v>
      </c>
      <c r="AN142" s="59">
        <f ca="1">AVERAGE(OFFSET($AM$3,0,0,'Données projet'!$E$10+1,1))-AVERAGE(OFFSET($H$3,0,0,'Données projet'!$E$10+1,1))</f>
        <v>662.13838733542616</v>
      </c>
      <c r="AO142" s="59">
        <f t="shared" si="144"/>
        <v>1194.915361841041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4.7800000000008822</v>
      </c>
      <c r="BE142" s="13">
        <f>BD142*VLOOKUP('Données projet'!$B$11,Paramètres!$A$1:$I$89,3,0)*VLOOKUP('Données projet'!$B$11,Paramètres!$A$1:$I$89,5,0)</f>
        <v>2.2370400000004129</v>
      </c>
      <c r="BF142" s="13">
        <f t="shared" si="145"/>
        <v>0.9386934556823372</v>
      </c>
      <c r="BG142" s="20">
        <f t="shared" si="115"/>
        <v>5.5310691019807896</v>
      </c>
      <c r="BH142" s="59">
        <f t="shared" si="116"/>
        <v>298.8644024353141</v>
      </c>
      <c r="BI142" s="59">
        <f ca="1">AVERAGE(OFFSET($BH$3,0,0,'Données projet'!$E$11+1,1))-AVERAGE(OFFSET($H$3,0,0,'Données projet'!$E$11+1,1))</f>
        <v>321.82962838167799</v>
      </c>
      <c r="BJ142" s="59">
        <f t="shared" si="146"/>
        <v>243.43396255104295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154.64993611094664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154.64993611094664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187.80389738728508</v>
      </c>
      <c r="CE142" s="59">
        <f t="shared" si="148"/>
        <v>439.28159165815265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14.262912699015416</v>
      </c>
      <c r="CL142" s="21">
        <f>EXP(-LN(2)/25)*CL141+(1-EXP(-LN(2)/25))/(LN(2)/25)*Calculateur!CG142*Calculateur!CI142*VLOOKUP('Données projet'!$B$12,Paramètres!$A$1:$I$89,3,0)*0.475*44/12</f>
        <v>0.70014314934789756</v>
      </c>
      <c r="CM142" s="21">
        <f>EXP(-LN(2)/2)*CM141+(1-EXP(-LN(2)/2))/(LN(2)/2)*CG142*CJ142*VLOOKUP('Données projet'!$B$12,Paramètres!$A$1:$I$89,3,0)*0.475*44/12</f>
        <v>1.7648626637976516E-18</v>
      </c>
      <c r="CN142" s="22">
        <f t="shared" si="120"/>
        <v>14.963055848363314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8.561000000000007</v>
      </c>
      <c r="CT142" s="12">
        <f>IF('Données projet'!$A$140&gt;35,CT141+CS142-DB141,IF(A142&lt;'Données projet'!$A$140,$CQ$205^A142,IF(A142='Données projet'!$A$140,'Données projet'!$B$140,CT141+CS142-DB141)))</f>
        <v>472.13500000000022</v>
      </c>
      <c r="CU142" s="17">
        <f>CT142*VLOOKUP('Données projet'!$B$13,Paramètres!$A$1:$I$89,3,0)*VLOOKUP('Données projet'!$B$13,Paramètres!$A$1:$I$89,5,0)</f>
        <v>537.66733800000031</v>
      </c>
      <c r="CV142" s="13">
        <f t="shared" si="149"/>
        <v>119.18838369163143</v>
      </c>
      <c r="CW142" s="20">
        <f t="shared" si="121"/>
        <v>1144.0237152795919</v>
      </c>
      <c r="CX142" s="59">
        <f t="shared" si="122"/>
        <v>1437.3570486129252</v>
      </c>
      <c r="CY142" s="59">
        <f ca="1">AVERAGE(OFFSET($CX$3,0,0,'Données projet'!$E$13+1,1))-AVERAGE(OFFSET($H$3,0,0,'Données projet'!$E$13+1,1))</f>
        <v>770.11410336045037</v>
      </c>
      <c r="CZ142" s="59">
        <f t="shared" si="150"/>
        <v>227.12611049004596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132.85905682635854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132.85905682635854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10.163999999999998</v>
      </c>
      <c r="DO142" s="12">
        <f>IF('Données projet'!$A$166&gt;35,DO141+DN142-DW141,IF(A142&lt;'Données projet'!$A$166,$DL$205^A142,IF(A142='Données projet'!$A$166,'Données projet'!$B$166,DO141+DN142-DW141)))</f>
        <v>628.88599999999974</v>
      </c>
      <c r="DP142" s="17">
        <f>DO142*VLOOKUP('Données projet'!$B$14,Paramètres!$A$1:$I$89,3,0)*VLOOKUP('Données projet'!$B$14,Paramètres!$A$1:$I$89,5,0)</f>
        <v>637.69040399999983</v>
      </c>
      <c r="DQ142" s="13">
        <f t="shared" si="151"/>
        <v>138.58153145526884</v>
      </c>
      <c r="DR142" s="20">
        <f t="shared" si="124"/>
        <v>1352.0069542512595</v>
      </c>
      <c r="DS142" s="59">
        <f t="shared" si="125"/>
        <v>1645.3402875845927</v>
      </c>
      <c r="DT142" s="59">
        <f ca="1">AVERAGE(OFFSET($DS$3,0,0,'Données projet'!$E$14+1,1))-AVERAGE(OFFSET($H$3,0,0,'Données projet'!$E$14+1,1))</f>
        <v>778.88878505968955</v>
      </c>
      <c r="DU142" s="59">
        <f t="shared" si="152"/>
        <v>279.20782832611059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140.03452277710787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140.03452277710787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369.00000000000011</v>
      </c>
      <c r="O143" s="13">
        <f>N143*VLOOKUP('Données projet'!$B$9,Paramètres!$A$1:$I$89,3,0)*VLOOKUP('Données projet'!$B$9,Paramètres!$A$1:$I$89,5,0)</f>
        <v>333.87120000000004</v>
      </c>
      <c r="P143" s="13">
        <f t="shared" si="141"/>
        <v>78.232360111376309</v>
      </c>
      <c r="Q143" s="20">
        <f t="shared" si="108"/>
        <v>717.74703386064709</v>
      </c>
      <c r="R143" s="59">
        <f t="shared" si="109"/>
        <v>1011.0803671939805</v>
      </c>
      <c r="S143" s="59">
        <f ca="1">AVERAGE(OFFSET($R$3,0,0,'Données projet'!$E$9+1,1))-AVERAGE(OFFSET($H$3,0,0,'Données projet'!$E$9+1,1))</f>
        <v>436.4497226650281</v>
      </c>
      <c r="T143" s="59">
        <f t="shared" si="142"/>
        <v>611.43967996341871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1.1968220457071597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1.1968220457071597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630</v>
      </c>
      <c r="AJ143" s="13">
        <f>AI143*VLOOKUP('Données projet'!$B$10,Paramètres!$A$1:$I$89,3,0)*VLOOKUP('Données projet'!$B$10,Paramètres!$A$1:$I$89,5,0)</f>
        <v>550.36800000000005</v>
      </c>
      <c r="AK143" s="13">
        <f t="shared" si="143"/>
        <v>121.67271812244785</v>
      </c>
      <c r="AL143" s="20">
        <f t="shared" si="112"/>
        <v>1170.4709173965966</v>
      </c>
      <c r="AM143" s="59">
        <f t="shared" si="113"/>
        <v>1463.8042507299299</v>
      </c>
      <c r="AN143" s="59">
        <f ca="1">AVERAGE(OFFSET($AM$3,0,0,'Données projet'!$E$10+1,1))-AVERAGE(OFFSET($H$3,0,0,'Données projet'!$E$10+1,1))</f>
        <v>662.13838733542616</v>
      </c>
      <c r="AO143" s="59">
        <f t="shared" si="144"/>
        <v>1194.915361841041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4.7800000000008822</v>
      </c>
      <c r="BE143" s="13">
        <f>BD143*VLOOKUP('Données projet'!$B$11,Paramètres!$A$1:$I$89,3,0)*VLOOKUP('Données projet'!$B$11,Paramètres!$A$1:$I$89,5,0)</f>
        <v>2.2370400000004129</v>
      </c>
      <c r="BF143" s="13">
        <f t="shared" si="145"/>
        <v>0.9386934556823372</v>
      </c>
      <c r="BG143" s="20">
        <f t="shared" si="115"/>
        <v>5.5310691019807896</v>
      </c>
      <c r="BH143" s="59">
        <f t="shared" si="116"/>
        <v>298.8644024353141</v>
      </c>
      <c r="BI143" s="59">
        <f ca="1">AVERAGE(OFFSET($BH$3,0,0,'Données projet'!$E$11+1,1))-AVERAGE(OFFSET($H$3,0,0,'Données projet'!$E$11+1,1))</f>
        <v>321.82962838167799</v>
      </c>
      <c r="BJ143" s="59">
        <f t="shared" si="146"/>
        <v>243.43396255104295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151.61734519095796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151.61734519095796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187.80389738728508</v>
      </c>
      <c r="CE143" s="59">
        <f t="shared" si="148"/>
        <v>439.28159165815265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13.983225680505464</v>
      </c>
      <c r="CL143" s="21">
        <f>EXP(-LN(2)/25)*CL142+(1-EXP(-LN(2)/25))/(LN(2)/25)*Calculateur!CG143*Calculateur!CI143*VLOOKUP('Données projet'!$B$12,Paramètres!$A$1:$I$89,3,0)*0.475*44/12</f>
        <v>0.68099769811005129</v>
      </c>
      <c r="CM143" s="21">
        <f>EXP(-LN(2)/2)*CM142+(1-EXP(-LN(2)/2))/(LN(2)/2)*CG143*CJ143*VLOOKUP('Données projet'!$B$12,Paramètres!$A$1:$I$89,3,0)*0.475*44/12</f>
        <v>1.2479463574342734E-18</v>
      </c>
      <c r="CN143" s="22">
        <f t="shared" si="120"/>
        <v>14.664223378615516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8.561000000000007</v>
      </c>
      <c r="CT143" s="12">
        <f>IF('Données projet'!$A$140&gt;35,CT142+CS143-DB142,IF(A143&lt;'Données projet'!$A$140,$CQ$205^A143,IF(A143='Données projet'!$A$140,'Données projet'!$B$140,CT142+CS143-DB142)))</f>
        <v>480.69600000000025</v>
      </c>
      <c r="CU143" s="17">
        <f>CT143*VLOOKUP('Données projet'!$B$13,Paramètres!$A$1:$I$89,3,0)*VLOOKUP('Données projet'!$B$13,Paramètres!$A$1:$I$89,5,0)</f>
        <v>547.4166048000003</v>
      </c>
      <c r="CV143" s="13">
        <f t="shared" si="149"/>
        <v>121.09600623477171</v>
      </c>
      <c r="CW143" s="20">
        <f t="shared" si="121"/>
        <v>1164.326130885561</v>
      </c>
      <c r="CX143" s="59">
        <f t="shared" si="122"/>
        <v>1457.6594642188943</v>
      </c>
      <c r="CY143" s="59">
        <f ca="1">AVERAGE(OFFSET($CX$3,0,0,'Données projet'!$E$13+1,1))-AVERAGE(OFFSET($H$3,0,0,'Données projet'!$E$13+1,1))</f>
        <v>770.11410336045037</v>
      </c>
      <c r="CZ143" s="59">
        <f t="shared" si="150"/>
        <v>227.12611049004596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130.25377175801668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130.25377175801668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>
        <f>VLOOKUP(A143,'Données projet'!$A$165:$I$185,2,0)</f>
        <v>639.04999999999995</v>
      </c>
      <c r="DM143" s="12">
        <f>VLOOKUP(A143,'Données projet'!$A$165:$I$185,9,0)</f>
        <v>10.163999999999998</v>
      </c>
      <c r="DN143" s="12">
        <f t="array" ref="DN143">INDEX(DM:DM,MIN(IF(ISNUMBER(DM143:DM339),ROW(DM143:DM339),"")))</f>
        <v>10.163999999999998</v>
      </c>
      <c r="DO143" s="12">
        <f>IF('Données projet'!$A$166&gt;35,DO142+DN143-DW142,IF(A143&lt;'Données projet'!$A$166,$DL$205^A143,IF(A143='Données projet'!$A$166,'Données projet'!$B$166,DO142+DN143-DW142)))</f>
        <v>639.04999999999973</v>
      </c>
      <c r="DP143" s="17">
        <f>DO143*VLOOKUP('Données projet'!$B$14,Paramètres!$A$1:$I$89,3,0)*VLOOKUP('Données projet'!$B$14,Paramètres!$A$1:$I$89,5,0)</f>
        <v>647.99669999999969</v>
      </c>
      <c r="DQ143" s="13">
        <f t="shared" si="151"/>
        <v>140.55871747902816</v>
      </c>
      <c r="DR143" s="20">
        <f t="shared" si="124"/>
        <v>1373.40068544264</v>
      </c>
      <c r="DS143" s="59">
        <f t="shared" si="125"/>
        <v>1666.7340187759733</v>
      </c>
      <c r="DT143" s="59">
        <f ca="1">AVERAGE(OFFSET($DS$3,0,0,'Données projet'!$E$14+1,1))-AVERAGE(OFFSET($H$3,0,0,'Données projet'!$E$14+1,1))</f>
        <v>778.88878505968955</v>
      </c>
      <c r="DU143" s="59">
        <f t="shared" si="152"/>
        <v>279.20782832611059</v>
      </c>
      <c r="DV143" s="15">
        <f>IF(ISNA(VLOOKUP(A143,'Données projet'!$A$165:$I$185,3,0)),0,VLOOKUP(A143,'Données projet'!$A$165:$I$185,3,0))</f>
        <v>13</v>
      </c>
      <c r="DW143" s="15">
        <f>IF(ISNA(VLOOKUP(A143,'Données projet'!$A$165:$I$185,4,0)),0,VLOOKUP(A143,'Données projet'!$A$165:$I$185,4,0))</f>
        <v>67.930000000000007</v>
      </c>
      <c r="DX143" s="16">
        <f>IF(ISNA(VLOOKUP(A143,'Données projet'!$A$165:$I$185,5,0)),0%,VLOOKUP(A143,'Données projet'!$A$165:$I$185,5,0)*VLOOKUP('Données projet'!$B$14,Paramètres!$A$1:$I$89,7,0))</f>
        <v>0.43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170.03127994654108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170.03127994654108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369.00000000000011</v>
      </c>
      <c r="O144" s="13">
        <f>N144*VLOOKUP('Données projet'!$B$9,Paramètres!$A$1:$I$89,3,0)*VLOOKUP('Données projet'!$B$9,Paramètres!$A$1:$I$89,5,0)</f>
        <v>333.87120000000004</v>
      </c>
      <c r="P144" s="13">
        <f t="shared" si="141"/>
        <v>78.232360111376309</v>
      </c>
      <c r="Q144" s="20">
        <f t="shared" si="108"/>
        <v>717.74703386064709</v>
      </c>
      <c r="R144" s="59">
        <f t="shared" si="109"/>
        <v>1011.0803671939805</v>
      </c>
      <c r="S144" s="59">
        <f ca="1">AVERAGE(OFFSET($R$3,0,0,'Données projet'!$E$9+1,1))-AVERAGE(OFFSET($H$3,0,0,'Données projet'!$E$9+1,1))</f>
        <v>436.4497226650281</v>
      </c>
      <c r="T144" s="59">
        <f t="shared" si="142"/>
        <v>611.43967996341871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1.1733530953802096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1.1733530953802096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630</v>
      </c>
      <c r="AJ144" s="13">
        <f>AI144*VLOOKUP('Données projet'!$B$10,Paramètres!$A$1:$I$89,3,0)*VLOOKUP('Données projet'!$B$10,Paramètres!$A$1:$I$89,5,0)</f>
        <v>550.36800000000005</v>
      </c>
      <c r="AK144" s="13">
        <f t="shared" si="143"/>
        <v>121.67271812244785</v>
      </c>
      <c r="AL144" s="20">
        <f t="shared" si="112"/>
        <v>1170.4709173965966</v>
      </c>
      <c r="AM144" s="59">
        <f t="shared" si="113"/>
        <v>1463.8042507299299</v>
      </c>
      <c r="AN144" s="59">
        <f ca="1">AVERAGE(OFFSET($AM$3,0,0,'Données projet'!$E$10+1,1))-AVERAGE(OFFSET($H$3,0,0,'Données projet'!$E$10+1,1))</f>
        <v>662.13838733542616</v>
      </c>
      <c r="AO144" s="59">
        <f t="shared" si="144"/>
        <v>1194.915361841041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4.7800000000008822</v>
      </c>
      <c r="BE144" s="13">
        <f>BD144*VLOOKUP('Données projet'!$B$11,Paramètres!$A$1:$I$89,3,0)*VLOOKUP('Données projet'!$B$11,Paramètres!$A$1:$I$89,5,0)</f>
        <v>2.2370400000004129</v>
      </c>
      <c r="BF144" s="13">
        <f t="shared" si="145"/>
        <v>0.9386934556823372</v>
      </c>
      <c r="BG144" s="20">
        <f t="shared" si="115"/>
        <v>5.5310691019807896</v>
      </c>
      <c r="BH144" s="59">
        <f t="shared" si="116"/>
        <v>298.8644024353141</v>
      </c>
      <c r="BI144" s="59">
        <f ca="1">AVERAGE(OFFSET($BH$3,0,0,'Données projet'!$E$11+1,1))-AVERAGE(OFFSET($H$3,0,0,'Données projet'!$E$11+1,1))</f>
        <v>321.82962838167799</v>
      </c>
      <c r="BJ144" s="59">
        <f t="shared" si="146"/>
        <v>243.43396255104295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148.64422152921244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148.64422152921244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187.80389738728508</v>
      </c>
      <c r="CE144" s="59">
        <f t="shared" si="148"/>
        <v>439.28159165815265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13.709023153836256</v>
      </c>
      <c r="CL144" s="21">
        <f>EXP(-LN(2)/25)*CL143+(1-EXP(-LN(2)/25))/(LN(2)/25)*Calculateur!CG144*Calculateur!CI144*VLOOKUP('Données projet'!$B$12,Paramètres!$A$1:$I$89,3,0)*0.475*44/12</f>
        <v>0.66237578024311938</v>
      </c>
      <c r="CM144" s="21">
        <f>EXP(-LN(2)/2)*CM143+(1-EXP(-LN(2)/2))/(LN(2)/2)*CG144*CJ144*VLOOKUP('Données projet'!$B$12,Paramètres!$A$1:$I$89,3,0)*0.475*44/12</f>
        <v>8.8243133189882579E-19</v>
      </c>
      <c r="CN144" s="22">
        <f t="shared" si="120"/>
        <v>14.371398934079375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8.561000000000007</v>
      </c>
      <c r="CT144" s="12">
        <f>IF('Données projet'!$A$140&gt;35,CT143+CS144-DB143,IF(A144&lt;'Données projet'!$A$140,$CQ$205^A144,IF(A144='Données projet'!$A$140,'Données projet'!$B$140,CT143+CS144-DB143)))</f>
        <v>489.25700000000029</v>
      </c>
      <c r="CU144" s="17">
        <f>CT144*VLOOKUP('Données projet'!$B$13,Paramètres!$A$1:$I$89,3,0)*VLOOKUP('Données projet'!$B$13,Paramètres!$A$1:$I$89,5,0)</f>
        <v>557.16587160000029</v>
      </c>
      <c r="CV144" s="13">
        <f t="shared" si="149"/>
        <v>122.99967808193037</v>
      </c>
      <c r="CW144" s="20">
        <f t="shared" si="121"/>
        <v>1184.6216656960294</v>
      </c>
      <c r="CX144" s="59">
        <f t="shared" si="122"/>
        <v>1477.9549990293626</v>
      </c>
      <c r="CY144" s="59">
        <f ca="1">AVERAGE(OFFSET($CX$3,0,0,'Données projet'!$E$13+1,1))-AVERAGE(OFFSET($H$3,0,0,'Données projet'!$E$13+1,1))</f>
        <v>770.11410336045037</v>
      </c>
      <c r="CZ144" s="59">
        <f t="shared" si="150"/>
        <v>227.12611049004596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127.69957474079801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127.69957474079801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10.201000000000011</v>
      </c>
      <c r="DO144" s="12">
        <f>IF('Données projet'!$A$166&gt;35,DO143+DN144-DW143,IF(A144&lt;'Données projet'!$A$166,$DL$205^A144,IF(A144='Données projet'!$A$166,'Données projet'!$B$166,DO143+DN144-DW143)))</f>
        <v>581.32099999999969</v>
      </c>
      <c r="DP144" s="17">
        <f>DO144*VLOOKUP('Données projet'!$B$14,Paramètres!$A$1:$I$89,3,0)*VLOOKUP('Données projet'!$B$14,Paramètres!$A$1:$I$89,5,0)</f>
        <v>589.45949399999972</v>
      </c>
      <c r="DQ144" s="13">
        <f t="shared" si="151"/>
        <v>129.27816829331232</v>
      </c>
      <c r="DR144" s="20">
        <f t="shared" si="124"/>
        <v>1251.8014284941851</v>
      </c>
      <c r="DS144" s="59">
        <f t="shared" si="125"/>
        <v>1545.1347618275183</v>
      </c>
      <c r="DT144" s="59">
        <f ca="1">AVERAGE(OFFSET($DS$3,0,0,'Données projet'!$E$14+1,1))-AVERAGE(OFFSET($H$3,0,0,'Données projet'!$E$14+1,1))</f>
        <v>778.88878505968955</v>
      </c>
      <c r="DU144" s="59">
        <f t="shared" si="152"/>
        <v>279.20782832611059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166.69707025562977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166.69707025562977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369.00000000000011</v>
      </c>
      <c r="O145" s="13">
        <f>N145*VLOOKUP('Données projet'!$B$9,Paramètres!$A$1:$I$89,3,0)*VLOOKUP('Données projet'!$B$9,Paramètres!$A$1:$I$89,5,0)</f>
        <v>333.87120000000004</v>
      </c>
      <c r="P145" s="13">
        <f t="shared" si="141"/>
        <v>78.232360111376309</v>
      </c>
      <c r="Q145" s="20">
        <f t="shared" si="108"/>
        <v>717.74703386064709</v>
      </c>
      <c r="R145" s="59">
        <f t="shared" si="109"/>
        <v>1011.0803671939805</v>
      </c>
      <c r="S145" s="59">
        <f ca="1">AVERAGE(OFFSET($R$3,0,0,'Données projet'!$E$9+1,1))-AVERAGE(OFFSET($H$3,0,0,'Données projet'!$E$9+1,1))</f>
        <v>436.4497226650281</v>
      </c>
      <c r="T145" s="59">
        <f t="shared" si="142"/>
        <v>611.43967996341871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1.1503443568545249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1.1503443568545249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630</v>
      </c>
      <c r="AJ145" s="13">
        <f>AI145*VLOOKUP('Données projet'!$B$10,Paramètres!$A$1:$I$89,3,0)*VLOOKUP('Données projet'!$B$10,Paramètres!$A$1:$I$89,5,0)</f>
        <v>550.36800000000005</v>
      </c>
      <c r="AK145" s="13">
        <f t="shared" si="143"/>
        <v>121.67271812244785</v>
      </c>
      <c r="AL145" s="20">
        <f t="shared" si="112"/>
        <v>1170.4709173965966</v>
      </c>
      <c r="AM145" s="59">
        <f t="shared" si="113"/>
        <v>1463.8042507299299</v>
      </c>
      <c r="AN145" s="59">
        <f ca="1">AVERAGE(OFFSET($AM$3,0,0,'Données projet'!$E$10+1,1))-AVERAGE(OFFSET($H$3,0,0,'Données projet'!$E$10+1,1))</f>
        <v>662.13838733542616</v>
      </c>
      <c r="AO145" s="59">
        <f t="shared" si="144"/>
        <v>1194.915361841041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4.7800000000008822</v>
      </c>
      <c r="BE145" s="13">
        <f>BD145*VLOOKUP('Données projet'!$B$11,Paramètres!$A$1:$I$89,3,0)*VLOOKUP('Données projet'!$B$11,Paramètres!$A$1:$I$89,5,0)</f>
        <v>2.2370400000004129</v>
      </c>
      <c r="BF145" s="13">
        <f t="shared" si="145"/>
        <v>0.9386934556823372</v>
      </c>
      <c r="BG145" s="20">
        <f t="shared" si="115"/>
        <v>5.5310691019807896</v>
      </c>
      <c r="BH145" s="59">
        <f t="shared" si="116"/>
        <v>298.8644024353141</v>
      </c>
      <c r="BI145" s="59">
        <f ca="1">AVERAGE(OFFSET($BH$3,0,0,'Données projet'!$E$11+1,1))-AVERAGE(OFFSET($H$3,0,0,'Données projet'!$E$11+1,1))</f>
        <v>321.82962838167799</v>
      </c>
      <c r="BJ145" s="59">
        <f t="shared" si="146"/>
        <v>243.43396255104295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145.7293990090474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145.7293990090474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187.80389738728508</v>
      </c>
      <c r="CE145" s="59">
        <f t="shared" si="148"/>
        <v>439.28159165815265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13.440197571468003</v>
      </c>
      <c r="CL145" s="21">
        <f>EXP(-LN(2)/25)*CL144+(1-EXP(-LN(2)/25))/(LN(2)/25)*Calculateur!CG145*Calculateur!CI145*VLOOKUP('Données projet'!$B$12,Paramètres!$A$1:$I$89,3,0)*0.475*44/12</f>
        <v>0.64426307969954288</v>
      </c>
      <c r="CM145" s="21">
        <f>EXP(-LN(2)/2)*CM144+(1-EXP(-LN(2)/2))/(LN(2)/2)*CG145*CJ145*VLOOKUP('Données projet'!$B$12,Paramètres!$A$1:$I$89,3,0)*0.475*44/12</f>
        <v>6.2397317871713671E-19</v>
      </c>
      <c r="CN145" s="22">
        <f t="shared" si="120"/>
        <v>14.084460651167547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8.561000000000007</v>
      </c>
      <c r="CT145" s="12">
        <f>IF('Données projet'!$A$140&gt;35,CT144+CS145-DB144,IF(A145&lt;'Données projet'!$A$140,$CQ$205^A145,IF(A145='Données projet'!$A$140,'Données projet'!$B$140,CT144+CS145-DB144)))</f>
        <v>497.81800000000032</v>
      </c>
      <c r="CU145" s="17">
        <f>CT145*VLOOKUP('Données projet'!$B$13,Paramètres!$A$1:$I$89,3,0)*VLOOKUP('Données projet'!$B$13,Paramètres!$A$1:$I$89,5,0)</f>
        <v>566.91513840000039</v>
      </c>
      <c r="CV145" s="13">
        <f t="shared" si="149"/>
        <v>124.89947633825359</v>
      </c>
      <c r="CW145" s="20">
        <f t="shared" si="121"/>
        <v>1204.9104540024589</v>
      </c>
      <c r="CX145" s="59">
        <f t="shared" si="122"/>
        <v>1498.2437873357921</v>
      </c>
      <c r="CY145" s="59">
        <f ca="1">AVERAGE(OFFSET($CX$3,0,0,'Données projet'!$E$13+1,1))-AVERAGE(OFFSET($H$3,0,0,'Données projet'!$E$13+1,1))</f>
        <v>770.11410336045037</v>
      </c>
      <c r="CZ145" s="59">
        <f t="shared" si="150"/>
        <v>227.12611049004596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125.19546396918065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125.19546396918065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10.201000000000011</v>
      </c>
      <c r="DO145" s="12">
        <f>IF('Données projet'!$A$166&gt;35,DO144+DN145-DW144,IF(A145&lt;'Données projet'!$A$166,$DL$205^A145,IF(A145='Données projet'!$A$166,'Données projet'!$B$166,DO144+DN145-DW144)))</f>
        <v>591.52199999999971</v>
      </c>
      <c r="DP145" s="17">
        <f>DO145*VLOOKUP('Données projet'!$B$14,Paramètres!$A$1:$I$89,3,0)*VLOOKUP('Données projet'!$B$14,Paramètres!$A$1:$I$89,5,0)</f>
        <v>599.80330799999979</v>
      </c>
      <c r="DQ145" s="13">
        <f t="shared" si="151"/>
        <v>131.28064160976655</v>
      </c>
      <c r="DR145" s="20">
        <f t="shared" si="124"/>
        <v>1273.304545570343</v>
      </c>
      <c r="DS145" s="59">
        <f t="shared" si="125"/>
        <v>1566.6378789036762</v>
      </c>
      <c r="DT145" s="59">
        <f ca="1">AVERAGE(OFFSET($DS$3,0,0,'Données projet'!$E$14+1,1))-AVERAGE(OFFSET($H$3,0,0,'Données projet'!$E$14+1,1))</f>
        <v>778.88878505968955</v>
      </c>
      <c r="DU145" s="59">
        <f t="shared" si="152"/>
        <v>279.20782832611059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163.42824238309012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163.42824238309012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369.00000000000011</v>
      </c>
      <c r="O146" s="13">
        <f>N146*VLOOKUP('Données projet'!$B$9,Paramètres!$A$1:$I$89,3,0)*VLOOKUP('Données projet'!$B$9,Paramètres!$A$1:$I$89,5,0)</f>
        <v>333.87120000000004</v>
      </c>
      <c r="P146" s="13">
        <f t="shared" si="141"/>
        <v>78.232360111376309</v>
      </c>
      <c r="Q146" s="20">
        <f t="shared" si="108"/>
        <v>717.74703386064709</v>
      </c>
      <c r="R146" s="59">
        <f t="shared" si="109"/>
        <v>1011.0803671939805</v>
      </c>
      <c r="S146" s="59">
        <f ca="1">AVERAGE(OFFSET($R$3,0,0,'Données projet'!$E$9+1,1))-AVERAGE(OFFSET($H$3,0,0,'Données projet'!$E$9+1,1))</f>
        <v>436.4497226650281</v>
      </c>
      <c r="T146" s="59">
        <f t="shared" si="142"/>
        <v>611.43967996341871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1.1277868056573841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1.1277868056573841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630</v>
      </c>
      <c r="AJ146" s="13">
        <f>AI146*VLOOKUP('Données projet'!$B$10,Paramètres!$A$1:$I$89,3,0)*VLOOKUP('Données projet'!$B$10,Paramètres!$A$1:$I$89,5,0)</f>
        <v>550.36800000000005</v>
      </c>
      <c r="AK146" s="13">
        <f t="shared" si="143"/>
        <v>121.67271812244785</v>
      </c>
      <c r="AL146" s="20">
        <f t="shared" si="112"/>
        <v>1170.4709173965966</v>
      </c>
      <c r="AM146" s="59">
        <f t="shared" si="113"/>
        <v>1463.8042507299299</v>
      </c>
      <c r="AN146" s="59">
        <f ca="1">AVERAGE(OFFSET($AM$3,0,0,'Données projet'!$E$10+1,1))-AVERAGE(OFFSET($H$3,0,0,'Données projet'!$E$10+1,1))</f>
        <v>662.13838733542616</v>
      </c>
      <c r="AO146" s="59">
        <f t="shared" si="144"/>
        <v>1194.915361841041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4.7800000000008822</v>
      </c>
      <c r="BE146" s="13">
        <f>BD146*VLOOKUP('Données projet'!$B$11,Paramètres!$A$1:$I$89,3,0)*VLOOKUP('Données projet'!$B$11,Paramètres!$A$1:$I$89,5,0)</f>
        <v>2.2370400000004129</v>
      </c>
      <c r="BF146" s="13">
        <f t="shared" si="145"/>
        <v>0.9386934556823372</v>
      </c>
      <c r="BG146" s="20">
        <f t="shared" si="115"/>
        <v>5.5310691019807896</v>
      </c>
      <c r="BH146" s="59">
        <f t="shared" si="116"/>
        <v>298.8644024353141</v>
      </c>
      <c r="BI146" s="59">
        <f ca="1">AVERAGE(OFFSET($BH$3,0,0,'Données projet'!$E$11+1,1))-AVERAGE(OFFSET($H$3,0,0,'Données projet'!$E$11+1,1))</f>
        <v>321.82962838167799</v>
      </c>
      <c r="BJ146" s="59">
        <f t="shared" si="146"/>
        <v>243.43396255104295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142.87173438063658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142.87173438063658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187.80389738728508</v>
      </c>
      <c r="CE146" s="59">
        <f t="shared" si="148"/>
        <v>439.28159165815265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13.176643494802578</v>
      </c>
      <c r="CL146" s="21">
        <f>EXP(-LN(2)/25)*CL145+(1-EXP(-LN(2)/25))/(LN(2)/25)*Calculateur!CG146*Calculateur!CI146*VLOOKUP('Données projet'!$B$12,Paramètres!$A$1:$I$89,3,0)*0.475*44/12</f>
        <v>0.626645671904836</v>
      </c>
      <c r="CM146" s="21">
        <f>EXP(-LN(2)/2)*CM145+(1-EXP(-LN(2)/2))/(LN(2)/2)*CG146*CJ146*VLOOKUP('Données projet'!$B$12,Paramètres!$A$1:$I$89,3,0)*0.475*44/12</f>
        <v>4.412156659494129E-19</v>
      </c>
      <c r="CN146" s="22">
        <f t="shared" si="120"/>
        <v>13.803289166707414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8.561000000000007</v>
      </c>
      <c r="CT146" s="12">
        <f>IF('Données projet'!$A$140&gt;35,CT145+CS146-DB145,IF(A146&lt;'Données projet'!$A$140,$CQ$205^A146,IF(A146='Données projet'!$A$140,'Données projet'!$B$140,CT145+CS146-DB145)))</f>
        <v>506.37900000000036</v>
      </c>
      <c r="CU146" s="17">
        <f>CT146*VLOOKUP('Données projet'!$B$13,Paramètres!$A$1:$I$89,3,0)*VLOOKUP('Données projet'!$B$13,Paramètres!$A$1:$I$89,5,0)</f>
        <v>576.66440520000037</v>
      </c>
      <c r="CV146" s="13">
        <f t="shared" si="149"/>
        <v>126.79547530497479</v>
      </c>
      <c r="CW146" s="20">
        <f t="shared" si="121"/>
        <v>1225.1926252128317</v>
      </c>
      <c r="CX146" s="59">
        <f t="shared" si="122"/>
        <v>1518.5259585461649</v>
      </c>
      <c r="CY146" s="59">
        <f ca="1">AVERAGE(OFFSET($CX$3,0,0,'Données projet'!$E$13+1,1))-AVERAGE(OFFSET($H$3,0,0,'Données projet'!$E$13+1,1))</f>
        <v>770.11410336045037</v>
      </c>
      <c r="CZ146" s="59">
        <f t="shared" si="150"/>
        <v>227.12611049004596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122.74045728243794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122.74045728243794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10.201000000000011</v>
      </c>
      <c r="DO146" s="12">
        <f>IF('Données projet'!$A$166&gt;35,DO145+DN146-DW145,IF(A146&lt;'Données projet'!$A$166,$DL$205^A146,IF(A146='Données projet'!$A$166,'Données projet'!$B$166,DO145+DN146-DW145)))</f>
        <v>601.72299999999973</v>
      </c>
      <c r="DP146" s="17">
        <f>DO146*VLOOKUP('Données projet'!$B$14,Paramètres!$A$1:$I$89,3,0)*VLOOKUP('Données projet'!$B$14,Paramètres!$A$1:$I$89,5,0)</f>
        <v>610.14712199999974</v>
      </c>
      <c r="DQ146" s="13">
        <f t="shared" si="151"/>
        <v>133.27909906678104</v>
      </c>
      <c r="DR146" s="20">
        <f t="shared" si="124"/>
        <v>1294.8006683579763</v>
      </c>
      <c r="DS146" s="59">
        <f t="shared" si="125"/>
        <v>1588.1340016913095</v>
      </c>
      <c r="DT146" s="59">
        <f ca="1">AVERAGE(OFFSET($DS$3,0,0,'Données projet'!$E$14+1,1))-AVERAGE(OFFSET($H$3,0,0,'Données projet'!$E$14+1,1))</f>
        <v>778.88878505968955</v>
      </c>
      <c r="DU146" s="59">
        <f t="shared" si="152"/>
        <v>279.20782832611059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160.22351423134285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160.22351423134285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369.00000000000011</v>
      </c>
      <c r="O147" s="13">
        <f>N147*VLOOKUP('Données projet'!$B$9,Paramètres!$A$1:$I$89,3,0)*VLOOKUP('Données projet'!$B$9,Paramètres!$A$1:$I$89,5,0)</f>
        <v>333.87120000000004</v>
      </c>
      <c r="P147" s="13">
        <f t="shared" si="141"/>
        <v>78.232360111376309</v>
      </c>
      <c r="Q147" s="20">
        <f t="shared" si="108"/>
        <v>717.74703386064709</v>
      </c>
      <c r="R147" s="59">
        <f t="shared" si="109"/>
        <v>1011.0803671939805</v>
      </c>
      <c r="S147" s="59">
        <f ca="1">AVERAGE(OFFSET($R$3,0,0,'Données projet'!$E$9+1,1))-AVERAGE(OFFSET($H$3,0,0,'Données projet'!$E$9+1,1))</f>
        <v>436.4497226650281</v>
      </c>
      <c r="T147" s="59">
        <f t="shared" si="142"/>
        <v>611.43967996341871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1.1056715942804716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1.1056715942804716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630</v>
      </c>
      <c r="AJ147" s="13">
        <f>AI147*VLOOKUP('Données projet'!$B$10,Paramètres!$A$1:$I$89,3,0)*VLOOKUP('Données projet'!$B$10,Paramètres!$A$1:$I$89,5,0)</f>
        <v>550.36800000000005</v>
      </c>
      <c r="AK147" s="13">
        <f t="shared" si="143"/>
        <v>121.67271812244785</v>
      </c>
      <c r="AL147" s="20">
        <f t="shared" si="112"/>
        <v>1170.4709173965966</v>
      </c>
      <c r="AM147" s="59">
        <f t="shared" si="113"/>
        <v>1463.8042507299299</v>
      </c>
      <c r="AN147" s="59">
        <f ca="1">AVERAGE(OFFSET($AM$3,0,0,'Données projet'!$E$10+1,1))-AVERAGE(OFFSET($H$3,0,0,'Données projet'!$E$10+1,1))</f>
        <v>662.13838733542616</v>
      </c>
      <c r="AO147" s="59">
        <f t="shared" si="144"/>
        <v>1194.915361841041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4.7800000000008822</v>
      </c>
      <c r="BE147" s="13">
        <f>BD147*VLOOKUP('Données projet'!$B$11,Paramètres!$A$1:$I$89,3,0)*VLOOKUP('Données projet'!$B$11,Paramètres!$A$1:$I$89,5,0)</f>
        <v>2.2370400000004129</v>
      </c>
      <c r="BF147" s="13">
        <f t="shared" si="145"/>
        <v>0.9386934556823372</v>
      </c>
      <c r="BG147" s="20">
        <f t="shared" si="115"/>
        <v>5.5310691019807896</v>
      </c>
      <c r="BH147" s="59">
        <f t="shared" si="116"/>
        <v>298.8644024353141</v>
      </c>
      <c r="BI147" s="59">
        <f ca="1">AVERAGE(OFFSET($BH$3,0,0,'Données projet'!$E$11+1,1))-AVERAGE(OFFSET($H$3,0,0,'Données projet'!$E$11+1,1))</f>
        <v>321.82962838167799</v>
      </c>
      <c r="BJ147" s="59">
        <f t="shared" si="146"/>
        <v>243.43396255104295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140.07010681258561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140.07010681258561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187.80389738728508</v>
      </c>
      <c r="CE147" s="59">
        <f t="shared" si="148"/>
        <v>439.28159165815265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12.918257552828447</v>
      </c>
      <c r="CL147" s="21">
        <f>EXP(-LN(2)/25)*CL146+(1-EXP(-LN(2)/25))/(LN(2)/25)*Calculateur!CG147*Calculateur!CI147*VLOOKUP('Données projet'!$B$12,Paramètres!$A$1:$I$89,3,0)*0.475*44/12</f>
        <v>0.60951001305273456</v>
      </c>
      <c r="CM147" s="21">
        <f>EXP(-LN(2)/2)*CM146+(1-EXP(-LN(2)/2))/(LN(2)/2)*CG147*CJ147*VLOOKUP('Données projet'!$B$12,Paramètres!$A$1:$I$89,3,0)*0.475*44/12</f>
        <v>3.1198658935856835E-19</v>
      </c>
      <c r="CN147" s="22">
        <f t="shared" si="120"/>
        <v>13.527767565881181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8.561000000000007</v>
      </c>
      <c r="CS147" s="12">
        <f t="array" ref="CS147">INDEX(CR:CR,MIN(IF(ISNUMBER(CR147:CR343),ROW(CR147:CR343),"")))</f>
        <v>8.561000000000007</v>
      </c>
      <c r="CT147" s="12">
        <f>IF('Données projet'!$A$140&gt;35,CT146+CS147-DB146,IF(A147&lt;'Données projet'!$A$140,$CQ$205^A147,IF(A147='Données projet'!$A$140,'Données projet'!$B$140,CT146+CS147-DB146)))</f>
        <v>514.9400000000004</v>
      </c>
      <c r="CU147" s="17">
        <f>CT147*VLOOKUP('Données projet'!$B$13,Paramètres!$A$1:$I$89,3,0)*VLOOKUP('Données projet'!$B$13,Paramètres!$A$1:$I$89,5,0)</f>
        <v>586.41367200000047</v>
      </c>
      <c r="CV147" s="13">
        <f t="shared" si="149"/>
        <v>128.68774662702702</v>
      </c>
      <c r="CW147" s="20">
        <f t="shared" si="121"/>
        <v>1245.4683041087394</v>
      </c>
      <c r="CX147" s="59">
        <f t="shared" si="122"/>
        <v>1538.8016374420727</v>
      </c>
      <c r="CY147" s="59">
        <f ca="1">AVERAGE(OFFSET($CX$3,0,0,'Données projet'!$E$13+1,1))-AVERAGE(OFFSET($H$3,0,0,'Données projet'!$E$13+1,1))</f>
        <v>770.11410336045037</v>
      </c>
      <c r="CZ147" s="59">
        <f t="shared" si="150"/>
        <v>227.12611049004596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0.43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150.65354990153727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150.65354990153727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10.201000000000011</v>
      </c>
      <c r="DO147" s="12">
        <f>IF('Données projet'!$A$166&gt;35,DO146+DN147-DW146,IF(A147&lt;'Données projet'!$A$166,$DL$205^A147,IF(A147='Données projet'!$A$166,'Données projet'!$B$166,DO146+DN147-DW146)))</f>
        <v>611.92399999999975</v>
      </c>
      <c r="DP147" s="17">
        <f>DO147*VLOOKUP('Données projet'!$B$14,Paramètres!$A$1:$I$89,3,0)*VLOOKUP('Données projet'!$B$14,Paramètres!$A$1:$I$89,5,0)</f>
        <v>620.49093599999981</v>
      </c>
      <c r="DQ147" s="13">
        <f t="shared" si="151"/>
        <v>135.27361660214774</v>
      </c>
      <c r="DR147" s="20">
        <f t="shared" si="124"/>
        <v>1316.2899291154069</v>
      </c>
      <c r="DS147" s="59">
        <f t="shared" si="125"/>
        <v>1609.6232624487402</v>
      </c>
      <c r="DT147" s="59">
        <f ca="1">AVERAGE(OFFSET($DS$3,0,0,'Données projet'!$E$14+1,1))-AVERAGE(OFFSET($H$3,0,0,'Données projet'!$E$14+1,1))</f>
        <v>778.88878505968955</v>
      </c>
      <c r="DU147" s="59">
        <f t="shared" si="152"/>
        <v>279.20782832611059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157.08162884396017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157.08162884396017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369.00000000000011</v>
      </c>
      <c r="O148" s="13">
        <f>N148*VLOOKUP('Données projet'!$B$9,Paramètres!$A$1:$I$89,3,0)*VLOOKUP('Données projet'!$B$9,Paramètres!$A$1:$I$89,5,0)</f>
        <v>333.87120000000004</v>
      </c>
      <c r="P148" s="13">
        <f t="shared" si="141"/>
        <v>78.232360111376309</v>
      </c>
      <c r="Q148" s="20">
        <f t="shared" si="108"/>
        <v>717.74703386064709</v>
      </c>
      <c r="R148" s="59">
        <f t="shared" si="109"/>
        <v>1011.0803671939805</v>
      </c>
      <c r="S148" s="59">
        <f ca="1">AVERAGE(OFFSET($R$3,0,0,'Données projet'!$E$9+1,1))-AVERAGE(OFFSET($H$3,0,0,'Données projet'!$E$9+1,1))</f>
        <v>436.4497226650281</v>
      </c>
      <c r="T148" s="59">
        <f t="shared" si="142"/>
        <v>611.43967996341871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1.0839900487097132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1.0839900487097132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630</v>
      </c>
      <c r="AJ148" s="13">
        <f>AI148*VLOOKUP('Données projet'!$B$10,Paramètres!$A$1:$I$89,3,0)*VLOOKUP('Données projet'!$B$10,Paramètres!$A$1:$I$89,5,0)</f>
        <v>550.36800000000005</v>
      </c>
      <c r="AK148" s="13">
        <f t="shared" si="143"/>
        <v>121.67271812244785</v>
      </c>
      <c r="AL148" s="20">
        <f t="shared" si="112"/>
        <v>1170.4709173965966</v>
      </c>
      <c r="AM148" s="59">
        <f t="shared" si="113"/>
        <v>1463.8042507299299</v>
      </c>
      <c r="AN148" s="59">
        <f ca="1">AVERAGE(OFFSET($AM$3,0,0,'Données projet'!$E$10+1,1))-AVERAGE(OFFSET($H$3,0,0,'Données projet'!$E$10+1,1))</f>
        <v>662.13838733542616</v>
      </c>
      <c r="AO148" s="59">
        <f t="shared" si="144"/>
        <v>1194.915361841041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4.7800000000008822</v>
      </c>
      <c r="BE148" s="13">
        <f>BD148*VLOOKUP('Données projet'!$B$11,Paramètres!$A$1:$I$89,3,0)*VLOOKUP('Données projet'!$B$11,Paramètres!$A$1:$I$89,5,0)</f>
        <v>2.2370400000004129</v>
      </c>
      <c r="BF148" s="13">
        <f t="shared" si="145"/>
        <v>0.9386934556823372</v>
      </c>
      <c r="BG148" s="20">
        <f t="shared" si="115"/>
        <v>5.5310691019807896</v>
      </c>
      <c r="BH148" s="59">
        <f t="shared" si="116"/>
        <v>298.8644024353141</v>
      </c>
      <c r="BI148" s="59">
        <f ca="1">AVERAGE(OFFSET($BH$3,0,0,'Données projet'!$E$11+1,1))-AVERAGE(OFFSET($H$3,0,0,'Données projet'!$E$11+1,1))</f>
        <v>321.82962838167799</v>
      </c>
      <c r="BJ148" s="59">
        <f t="shared" si="146"/>
        <v>243.43396255104295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137.32341745232003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137.32341745232003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187.80389738728508</v>
      </c>
      <c r="CE148" s="59">
        <f t="shared" si="148"/>
        <v>439.28159165815265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12.664938401576565</v>
      </c>
      <c r="CL148" s="21">
        <f>EXP(-LN(2)/25)*CL147+(1-EXP(-LN(2)/25))/(LN(2)/25)*Calculateur!CG148*Calculateur!CI148*VLOOKUP('Données projet'!$B$12,Paramètres!$A$1:$I$89,3,0)*0.475*44/12</f>
        <v>0.59284292969306895</v>
      </c>
      <c r="CM148" s="21">
        <f>EXP(-LN(2)/2)*CM147+(1-EXP(-LN(2)/2))/(LN(2)/2)*CG148*CJ148*VLOOKUP('Données projet'!$B$12,Paramètres!$A$1:$I$89,3,0)*0.475*44/12</f>
        <v>2.2060783297470645E-19</v>
      </c>
      <c r="CN148" s="22">
        <f t="shared" si="120"/>
        <v>13.257781331269634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8.7559999999999949</v>
      </c>
      <c r="CT148" s="12">
        <f>IF('Données projet'!$A$140&gt;35,CT147+CS148-DB147,IF(A148&lt;'Données projet'!$A$140,$CQ$205^A148,IF(A148='Données projet'!$A$140,'Données projet'!$B$140,CT147+CS148-DB147)))</f>
        <v>467.68600000000038</v>
      </c>
      <c r="CU148" s="17">
        <f>CT148*VLOOKUP('Données projet'!$B$13,Paramètres!$A$1:$I$89,3,0)*VLOOKUP('Données projet'!$B$13,Paramètres!$A$1:$I$89,5,0)</f>
        <v>532.60081680000042</v>
      </c>
      <c r="CV148" s="13">
        <f t="shared" si="149"/>
        <v>118.19543959180264</v>
      </c>
      <c r="CW148" s="20">
        <f t="shared" si="121"/>
        <v>1133.4701465490568</v>
      </c>
      <c r="CX148" s="59">
        <f t="shared" si="122"/>
        <v>1426.8034798823901</v>
      </c>
      <c r="CY148" s="59">
        <f ca="1">AVERAGE(OFFSET($CX$3,0,0,'Données projet'!$E$13+1,1))-AVERAGE(OFFSET($H$3,0,0,'Données projet'!$E$13+1,1))</f>
        <v>770.11410336045037</v>
      </c>
      <c r="CZ148" s="59">
        <f t="shared" si="150"/>
        <v>227.12611049004596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147.69932567756024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147.69932567756024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10.201000000000011</v>
      </c>
      <c r="DO148" s="12">
        <f>IF('Données projet'!$A$166&gt;35,DO147+DN148-DW147,IF(A148&lt;'Données projet'!$A$166,$DL$205^A148,IF(A148='Données projet'!$A$166,'Données projet'!$B$166,DO147+DN148-DW147)))</f>
        <v>622.12499999999977</v>
      </c>
      <c r="DP148" s="17">
        <f>DO148*VLOOKUP('Données projet'!$B$14,Paramètres!$A$1:$I$89,3,0)*VLOOKUP('Données projet'!$B$14,Paramètres!$A$1:$I$89,5,0)</f>
        <v>630.83474999999976</v>
      </c>
      <c r="DQ148" s="13">
        <f t="shared" si="151"/>
        <v>137.26426747671056</v>
      </c>
      <c r="DR148" s="20">
        <f t="shared" si="124"/>
        <v>1337.7724554386036</v>
      </c>
      <c r="DS148" s="59">
        <f t="shared" si="125"/>
        <v>1631.1057887719369</v>
      </c>
      <c r="DT148" s="59">
        <f ca="1">AVERAGE(OFFSET($DS$3,0,0,'Données projet'!$E$14+1,1))-AVERAGE(OFFSET($H$3,0,0,'Données projet'!$E$14+1,1))</f>
        <v>778.88878505968955</v>
      </c>
      <c r="DU148" s="59">
        <f t="shared" si="152"/>
        <v>279.20782832611059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154.00135391266323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154.00135391266323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369.00000000000011</v>
      </c>
      <c r="O149" s="13">
        <f>N149*VLOOKUP('Données projet'!$B$9,Paramètres!$A$1:$I$89,3,0)*VLOOKUP('Données projet'!$B$9,Paramètres!$A$1:$I$89,5,0)</f>
        <v>333.87120000000004</v>
      </c>
      <c r="P149" s="13">
        <f t="shared" si="141"/>
        <v>78.232360111376309</v>
      </c>
      <c r="Q149" s="20">
        <f t="shared" si="108"/>
        <v>717.74703386064709</v>
      </c>
      <c r="R149" s="59">
        <f t="shared" si="109"/>
        <v>1011.0803671939805</v>
      </c>
      <c r="S149" s="59">
        <f ca="1">AVERAGE(OFFSET($R$3,0,0,'Données projet'!$E$9+1,1))-AVERAGE(OFFSET($H$3,0,0,'Données projet'!$E$9+1,1))</f>
        <v>436.4497226650281</v>
      </c>
      <c r="T149" s="59">
        <f t="shared" si="142"/>
        <v>611.43967996341871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1.0627336650231605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1.0627336650231605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630</v>
      </c>
      <c r="AJ149" s="13">
        <f>AI149*VLOOKUP('Données projet'!$B$10,Paramètres!$A$1:$I$89,3,0)*VLOOKUP('Données projet'!$B$10,Paramètres!$A$1:$I$89,5,0)</f>
        <v>550.36800000000005</v>
      </c>
      <c r="AK149" s="13">
        <f t="shared" si="143"/>
        <v>121.67271812244785</v>
      </c>
      <c r="AL149" s="20">
        <f t="shared" si="112"/>
        <v>1170.4709173965966</v>
      </c>
      <c r="AM149" s="59">
        <f t="shared" si="113"/>
        <v>1463.8042507299299</v>
      </c>
      <c r="AN149" s="59">
        <f ca="1">AVERAGE(OFFSET($AM$3,0,0,'Données projet'!$E$10+1,1))-AVERAGE(OFFSET($H$3,0,0,'Données projet'!$E$10+1,1))</f>
        <v>662.13838733542616</v>
      </c>
      <c r="AO149" s="59">
        <f t="shared" si="144"/>
        <v>1194.915361841041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4.7800000000008822</v>
      </c>
      <c r="BE149" s="13">
        <f>BD149*VLOOKUP('Données projet'!$B$11,Paramètres!$A$1:$I$89,3,0)*VLOOKUP('Données projet'!$B$11,Paramètres!$A$1:$I$89,5,0)</f>
        <v>2.2370400000004129</v>
      </c>
      <c r="BF149" s="13">
        <f t="shared" si="145"/>
        <v>0.9386934556823372</v>
      </c>
      <c r="BG149" s="20">
        <f t="shared" si="115"/>
        <v>5.5310691019807896</v>
      </c>
      <c r="BH149" s="59">
        <f t="shared" si="116"/>
        <v>298.8644024353141</v>
      </c>
      <c r="BI149" s="59">
        <f ca="1">AVERAGE(OFFSET($BH$3,0,0,'Données projet'!$E$11+1,1))-AVERAGE(OFFSET($H$3,0,0,'Données projet'!$E$11+1,1))</f>
        <v>321.82962838167799</v>
      </c>
      <c r="BJ149" s="59">
        <f t="shared" si="146"/>
        <v>243.43396255104295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134.63058899509417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134.63058899509417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187.80389738728508</v>
      </c>
      <c r="CE149" s="59">
        <f t="shared" si="148"/>
        <v>439.28159165815265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12.416586684371309</v>
      </c>
      <c r="CL149" s="21">
        <f>EXP(-LN(2)/25)*CL148+(1-EXP(-LN(2)/25))/(LN(2)/25)*Calculateur!CG149*Calculateur!CI149*VLOOKUP('Données projet'!$B$12,Paramètres!$A$1:$I$89,3,0)*0.475*44/12</f>
        <v>0.57663160860435725</v>
      </c>
      <c r="CM149" s="21">
        <f>EXP(-LN(2)/2)*CM148+(1-EXP(-LN(2)/2))/(LN(2)/2)*CG149*CJ149*VLOOKUP('Données projet'!$B$12,Paramètres!$A$1:$I$89,3,0)*0.475*44/12</f>
        <v>1.5599329467928418E-19</v>
      </c>
      <c r="CN149" s="22">
        <f t="shared" si="120"/>
        <v>12.993218292975666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8.7559999999999949</v>
      </c>
      <c r="CT149" s="12">
        <f>IF('Données projet'!$A$140&gt;35,CT148+CS149-DB148,IF(A149&lt;'Données projet'!$A$140,$CQ$205^A149,IF(A149='Données projet'!$A$140,'Données projet'!$B$140,CT148+CS149-DB148)))</f>
        <v>476.44200000000035</v>
      </c>
      <c r="CU149" s="17">
        <f>CT149*VLOOKUP('Données projet'!$B$13,Paramètres!$A$1:$I$89,3,0)*VLOOKUP('Données projet'!$B$13,Paramètres!$A$1:$I$89,5,0)</f>
        <v>542.57214960000033</v>
      </c>
      <c r="CV149" s="13">
        <f t="shared" si="149"/>
        <v>120.14859862096222</v>
      </c>
      <c r="CW149" s="20">
        <f t="shared" si="121"/>
        <v>1154.2386364848433</v>
      </c>
      <c r="CX149" s="59">
        <f t="shared" si="122"/>
        <v>1447.5719698181765</v>
      </c>
      <c r="CY149" s="59">
        <f ca="1">AVERAGE(OFFSET($CX$3,0,0,'Données projet'!$E$13+1,1))-AVERAGE(OFFSET($H$3,0,0,'Données projet'!$E$13+1,1))</f>
        <v>770.11410336045037</v>
      </c>
      <c r="CZ149" s="59">
        <f t="shared" si="150"/>
        <v>227.12611049004596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144.80303198871653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144.80303198871653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10.201000000000011</v>
      </c>
      <c r="DO149" s="12">
        <f>IF('Données projet'!$A$166&gt;35,DO148+DN149-DW148,IF(A149&lt;'Données projet'!$A$166,$DL$205^A149,IF(A149='Données projet'!$A$166,'Données projet'!$B$166,DO148+DN149-DW148)))</f>
        <v>632.32599999999979</v>
      </c>
      <c r="DP149" s="17">
        <f>DO149*VLOOKUP('Données projet'!$B$14,Paramètres!$A$1:$I$89,3,0)*VLOOKUP('Données projet'!$B$14,Paramètres!$A$1:$I$89,5,0)</f>
        <v>641.17856399999982</v>
      </c>
      <c r="DQ149" s="13">
        <f t="shared" si="151"/>
        <v>139.25112241105182</v>
      </c>
      <c r="DR149" s="20">
        <f t="shared" si="124"/>
        <v>1359.248370499248</v>
      </c>
      <c r="DS149" s="59">
        <f t="shared" si="125"/>
        <v>1652.5817038325813</v>
      </c>
      <c r="DT149" s="59">
        <f ca="1">AVERAGE(OFFSET($DS$3,0,0,'Données projet'!$E$14+1,1))-AVERAGE(OFFSET($H$3,0,0,'Données projet'!$E$14+1,1))</f>
        <v>778.88878505968955</v>
      </c>
      <c r="DU149" s="59">
        <f t="shared" si="152"/>
        <v>279.20782832611059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150.98148129398683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150.98148129398683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369.00000000000011</v>
      </c>
      <c r="O150" s="13">
        <f>N150*VLOOKUP('Données projet'!$B$9,Paramètres!$A$1:$I$89,3,0)*VLOOKUP('Données projet'!$B$9,Paramètres!$A$1:$I$89,5,0)</f>
        <v>333.87120000000004</v>
      </c>
      <c r="P150" s="13">
        <f t="shared" si="141"/>
        <v>78.232360111376309</v>
      </c>
      <c r="Q150" s="20">
        <f t="shared" si="108"/>
        <v>717.74703386064709</v>
      </c>
      <c r="R150" s="59">
        <f t="shared" si="109"/>
        <v>1011.0803671939805</v>
      </c>
      <c r="S150" s="59">
        <f ca="1">AVERAGE(OFFSET($R$3,0,0,'Données projet'!$E$9+1,1))-AVERAGE(OFFSET($H$3,0,0,'Données projet'!$E$9+1,1))</f>
        <v>436.4497226650281</v>
      </c>
      <c r="T150" s="59">
        <f t="shared" si="142"/>
        <v>611.43967996341871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1.0418941060555871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1.0418941060555871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630</v>
      </c>
      <c r="AJ150" s="13">
        <f>AI150*VLOOKUP('Données projet'!$B$10,Paramètres!$A$1:$I$89,3,0)*VLOOKUP('Données projet'!$B$10,Paramètres!$A$1:$I$89,5,0)</f>
        <v>550.36800000000005</v>
      </c>
      <c r="AK150" s="13">
        <f t="shared" si="143"/>
        <v>121.67271812244785</v>
      </c>
      <c r="AL150" s="20">
        <f t="shared" si="112"/>
        <v>1170.4709173965966</v>
      </c>
      <c r="AM150" s="59">
        <f t="shared" si="113"/>
        <v>1463.8042507299299</v>
      </c>
      <c r="AN150" s="59">
        <f ca="1">AVERAGE(OFFSET($AM$3,0,0,'Données projet'!$E$10+1,1))-AVERAGE(OFFSET($H$3,0,0,'Données projet'!$E$10+1,1))</f>
        <v>662.13838733542616</v>
      </c>
      <c r="AO150" s="59">
        <f t="shared" si="144"/>
        <v>1194.915361841041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4.7800000000008822</v>
      </c>
      <c r="BE150" s="13">
        <f>BD150*VLOOKUP('Données projet'!$B$11,Paramètres!$A$1:$I$89,3,0)*VLOOKUP('Données projet'!$B$11,Paramètres!$A$1:$I$89,5,0)</f>
        <v>2.2370400000004129</v>
      </c>
      <c r="BF150" s="13">
        <f t="shared" si="145"/>
        <v>0.9386934556823372</v>
      </c>
      <c r="BG150" s="20">
        <f t="shared" si="115"/>
        <v>5.5310691019807896</v>
      </c>
      <c r="BH150" s="59">
        <f t="shared" si="116"/>
        <v>298.8644024353141</v>
      </c>
      <c r="BI150" s="59">
        <f ca="1">AVERAGE(OFFSET($BH$3,0,0,'Données projet'!$E$11+1,1))-AVERAGE(OFFSET($H$3,0,0,'Données projet'!$E$11+1,1))</f>
        <v>321.82962838167799</v>
      </c>
      <c r="BJ150" s="59">
        <f t="shared" si="146"/>
        <v>243.43396255104295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131.99056526145134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131.99056526145134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187.80389738728508</v>
      </c>
      <c r="CE150" s="59">
        <f t="shared" si="148"/>
        <v>439.28159165815265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12.173104992860857</v>
      </c>
      <c r="CL150" s="21">
        <f>EXP(-LN(2)/25)*CL149+(1-EXP(-LN(2)/25))/(LN(2)/25)*Calculateur!CG150*Calculateur!CI150*VLOOKUP('Données projet'!$B$12,Paramètres!$A$1:$I$89,3,0)*0.475*44/12</f>
        <v>0.56086358694333271</v>
      </c>
      <c r="CM150" s="21">
        <f>EXP(-LN(2)/2)*CM149+(1-EXP(-LN(2)/2))/(LN(2)/2)*CG150*CJ150*VLOOKUP('Données projet'!$B$12,Paramètres!$A$1:$I$89,3,0)*0.475*44/12</f>
        <v>1.1030391648735322E-19</v>
      </c>
      <c r="CN150" s="22">
        <f t="shared" si="120"/>
        <v>12.73396857980419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8.7559999999999949</v>
      </c>
      <c r="CT150" s="12">
        <f>IF('Données projet'!$A$140&gt;35,CT149+CS150-DB149,IF(A150&lt;'Données projet'!$A$140,$CQ$205^A150,IF(A150='Données projet'!$A$140,'Données projet'!$B$140,CT149+CS150-DB149)))</f>
        <v>485.19800000000032</v>
      </c>
      <c r="CU150" s="17">
        <f>CT150*VLOOKUP('Données projet'!$B$13,Paramètres!$A$1:$I$89,3,0)*VLOOKUP('Données projet'!$B$13,Paramètres!$A$1:$I$89,5,0)</f>
        <v>552.54348240000036</v>
      </c>
      <c r="CV150" s="13">
        <f t="shared" si="149"/>
        <v>122.09758369563561</v>
      </c>
      <c r="CW150" s="20">
        <f t="shared" si="121"/>
        <v>1174.9998567832326</v>
      </c>
      <c r="CX150" s="59">
        <f t="shared" si="122"/>
        <v>1468.3331901165659</v>
      </c>
      <c r="CY150" s="59">
        <f ca="1">AVERAGE(OFFSET($CX$3,0,0,'Données projet'!$E$13+1,1))-AVERAGE(OFFSET($H$3,0,0,'Données projet'!$E$13+1,1))</f>
        <v>770.11410336045037</v>
      </c>
      <c r="CZ150" s="59">
        <f t="shared" si="150"/>
        <v>227.12611049004596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141.96353285254631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141.96353285254631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10.201000000000011</v>
      </c>
      <c r="DO150" s="12">
        <f>IF('Données projet'!$A$166&gt;35,DO149+DN150-DW149,IF(A150&lt;'Données projet'!$A$166,$DL$205^A150,IF(A150='Données projet'!$A$166,'Données projet'!$B$166,DO149+DN150-DW149)))</f>
        <v>642.52699999999982</v>
      </c>
      <c r="DP150" s="17">
        <f>DO150*VLOOKUP('Données projet'!$B$14,Paramètres!$A$1:$I$89,3,0)*VLOOKUP('Données projet'!$B$14,Paramètres!$A$1:$I$89,5,0)</f>
        <v>651.52237799999989</v>
      </c>
      <c r="DQ150" s="13">
        <f t="shared" si="151"/>
        <v>141.23424971310573</v>
      </c>
      <c r="DR150" s="20">
        <f t="shared" si="124"/>
        <v>1380.7177932669922</v>
      </c>
      <c r="DS150" s="59">
        <f t="shared" si="125"/>
        <v>1674.0511266003255</v>
      </c>
      <c r="DT150" s="59">
        <f ca="1">AVERAGE(OFFSET($DS$3,0,0,'Données projet'!$E$14+1,1))-AVERAGE(OFFSET($H$3,0,0,'Données projet'!$E$14+1,1))</f>
        <v>778.88878505968955</v>
      </c>
      <c r="DU150" s="59">
        <f t="shared" si="152"/>
        <v>279.20782832611059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148.02082653542226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148.02082653542226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369.00000000000011</v>
      </c>
      <c r="O151" s="13">
        <f>N151*VLOOKUP('Données projet'!$B$9,Paramètres!$A$1:$I$89,3,0)*VLOOKUP('Données projet'!$B$9,Paramètres!$A$1:$I$89,5,0)</f>
        <v>333.87120000000004</v>
      </c>
      <c r="P151" s="13">
        <f t="shared" si="141"/>
        <v>78.232360111376309</v>
      </c>
      <c r="Q151" s="20">
        <f t="shared" si="108"/>
        <v>717.74703386064709</v>
      </c>
      <c r="R151" s="59">
        <f t="shared" si="109"/>
        <v>1011.0803671939805</v>
      </c>
      <c r="S151" s="59">
        <f ca="1">AVERAGE(OFFSET($R$3,0,0,'Données projet'!$E$9+1,1))-AVERAGE(OFFSET($H$3,0,0,'Données projet'!$E$9+1,1))</f>
        <v>436.4497226650281</v>
      </c>
      <c r="T151" s="59">
        <f t="shared" si="142"/>
        <v>611.43967996341871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1.0214631981284921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1.0214631981284921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630</v>
      </c>
      <c r="AJ151" s="13">
        <f>AI151*VLOOKUP('Données projet'!$B$10,Paramètres!$A$1:$I$89,3,0)*VLOOKUP('Données projet'!$B$10,Paramètres!$A$1:$I$89,5,0)</f>
        <v>550.36800000000005</v>
      </c>
      <c r="AK151" s="13">
        <f t="shared" si="143"/>
        <v>121.67271812244785</v>
      </c>
      <c r="AL151" s="20">
        <f t="shared" si="112"/>
        <v>1170.4709173965966</v>
      </c>
      <c r="AM151" s="59">
        <f t="shared" si="113"/>
        <v>1463.8042507299299</v>
      </c>
      <c r="AN151" s="59">
        <f ca="1">AVERAGE(OFFSET($AM$3,0,0,'Données projet'!$E$10+1,1))-AVERAGE(OFFSET($H$3,0,0,'Données projet'!$E$10+1,1))</f>
        <v>662.13838733542616</v>
      </c>
      <c r="AO151" s="59">
        <f t="shared" si="144"/>
        <v>1194.915361841041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4.7800000000008822</v>
      </c>
      <c r="BE151" s="13">
        <f>BD151*VLOOKUP('Données projet'!$B$11,Paramètres!$A$1:$I$89,3,0)*VLOOKUP('Données projet'!$B$11,Paramètres!$A$1:$I$89,5,0)</f>
        <v>2.2370400000004129</v>
      </c>
      <c r="BF151" s="13">
        <f t="shared" si="145"/>
        <v>0.9386934556823372</v>
      </c>
      <c r="BG151" s="20">
        <f t="shared" si="115"/>
        <v>5.5310691019807896</v>
      </c>
      <c r="BH151" s="59">
        <f t="shared" si="116"/>
        <v>298.8644024353141</v>
      </c>
      <c r="BI151" s="59">
        <f ca="1">AVERAGE(OFFSET($BH$3,0,0,'Données projet'!$E$11+1,1))-AVERAGE(OFFSET($H$3,0,0,'Données projet'!$E$11+1,1))</f>
        <v>321.82962838167799</v>
      </c>
      <c r="BJ151" s="59">
        <f t="shared" si="146"/>
        <v>243.43396255104295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129.40231078296975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129.40231078296975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187.80389738728508</v>
      </c>
      <c r="CE151" s="59">
        <f t="shared" si="148"/>
        <v>439.28159165815265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11.934397828811758</v>
      </c>
      <c r="CL151" s="21">
        <f>EXP(-LN(2)/25)*CL150+(1-EXP(-LN(2)/25))/(LN(2)/25)*Calculateur!CG151*Calculateur!CI151*VLOOKUP('Données projet'!$B$12,Paramètres!$A$1:$I$89,3,0)*0.475*44/12</f>
        <v>0.54552674266383316</v>
      </c>
      <c r="CM151" s="21">
        <f>EXP(-LN(2)/2)*CM150+(1-EXP(-LN(2)/2))/(LN(2)/2)*CG151*CJ151*VLOOKUP('Données projet'!$B$12,Paramètres!$A$1:$I$89,3,0)*0.475*44/12</f>
        <v>7.7996647339642089E-20</v>
      </c>
      <c r="CN151" s="22">
        <f t="shared" si="120"/>
        <v>12.479924571475591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8.7559999999999949</v>
      </c>
      <c r="CT151" s="12">
        <f>IF('Données projet'!$A$140&gt;35,CT150+CS151-DB150,IF(A151&lt;'Données projet'!$A$140,$CQ$205^A151,IF(A151='Données projet'!$A$140,'Données projet'!$B$140,CT150+CS151-DB150)))</f>
        <v>493.95400000000029</v>
      </c>
      <c r="CU151" s="17">
        <f>CT151*VLOOKUP('Données projet'!$B$13,Paramètres!$A$1:$I$89,3,0)*VLOOKUP('Données projet'!$B$13,Paramètres!$A$1:$I$89,5,0)</f>
        <v>562.51481520000038</v>
      </c>
      <c r="CV151" s="13">
        <f t="shared" si="149"/>
        <v>124.04247882868246</v>
      </c>
      <c r="CW151" s="20">
        <f t="shared" si="121"/>
        <v>1195.7539537666225</v>
      </c>
      <c r="CX151" s="59">
        <f t="shared" si="122"/>
        <v>1489.0872870999558</v>
      </c>
      <c r="CY151" s="59">
        <f ca="1">AVERAGE(OFFSET($CX$3,0,0,'Données projet'!$E$13+1,1))-AVERAGE(OFFSET($H$3,0,0,'Données projet'!$E$13+1,1))</f>
        <v>770.11410336045037</v>
      </c>
      <c r="CZ151" s="59">
        <f t="shared" si="150"/>
        <v>227.12611049004596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139.17971456251294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139.17971456251294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10.201000000000011</v>
      </c>
      <c r="DO151" s="12">
        <f>IF('Données projet'!$A$166&gt;35,DO150+DN151-DW150,IF(A151&lt;'Données projet'!$A$166,$DL$205^A151,IF(A151='Données projet'!$A$166,'Données projet'!$B$166,DO150+DN151-DW150)))</f>
        <v>652.72799999999984</v>
      </c>
      <c r="DP151" s="17">
        <f>DO151*VLOOKUP('Données projet'!$B$14,Paramètres!$A$1:$I$89,3,0)*VLOOKUP('Données projet'!$B$14,Paramètres!$A$1:$I$89,5,0)</f>
        <v>661.86619199999984</v>
      </c>
      <c r="DQ151" s="13">
        <f t="shared" si="151"/>
        <v>143.21371539743987</v>
      </c>
      <c r="DR151" s="20">
        <f t="shared" si="124"/>
        <v>1402.1808387172075</v>
      </c>
      <c r="DS151" s="59">
        <f t="shared" si="125"/>
        <v>1695.5141720505408</v>
      </c>
      <c r="DT151" s="59">
        <f ca="1">AVERAGE(OFFSET($DS$3,0,0,'Données projet'!$E$14+1,1))-AVERAGE(OFFSET($H$3,0,0,'Données projet'!$E$14+1,1))</f>
        <v>778.88878505968955</v>
      </c>
      <c r="DU151" s="59">
        <f t="shared" si="152"/>
        <v>279.20782832611059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145.11822841085203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145.11822841085203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369.00000000000011</v>
      </c>
      <c r="O152" s="13">
        <f>N152*VLOOKUP('Données projet'!$B$9,Paramètres!$A$1:$I$89,3,0)*VLOOKUP('Données projet'!$B$9,Paramètres!$A$1:$I$89,5,0)</f>
        <v>333.87120000000004</v>
      </c>
      <c r="P152" s="13">
        <f t="shared" si="141"/>
        <v>78.232360111376309</v>
      </c>
      <c r="Q152" s="20">
        <f t="shared" si="108"/>
        <v>717.74703386064709</v>
      </c>
      <c r="R152" s="59">
        <f t="shared" si="109"/>
        <v>1011.0803671939805</v>
      </c>
      <c r="S152" s="59">
        <f ca="1">AVERAGE(OFFSET($R$3,0,0,'Données projet'!$E$9+1,1))-AVERAGE(OFFSET($H$3,0,0,'Données projet'!$E$9+1,1))</f>
        <v>436.4497226650281</v>
      </c>
      <c r="T152" s="59">
        <f t="shared" si="142"/>
        <v>611.43967996341871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1.001432927844224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1.001432927844224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630</v>
      </c>
      <c r="AJ152" s="13">
        <f>AI152*VLOOKUP('Données projet'!$B$10,Paramètres!$A$1:$I$89,3,0)*VLOOKUP('Données projet'!$B$10,Paramètres!$A$1:$I$89,5,0)</f>
        <v>550.36800000000005</v>
      </c>
      <c r="AK152" s="13">
        <f t="shared" si="143"/>
        <v>121.67271812244785</v>
      </c>
      <c r="AL152" s="20">
        <f t="shared" si="112"/>
        <v>1170.4709173965966</v>
      </c>
      <c r="AM152" s="59">
        <f t="shared" si="113"/>
        <v>1463.8042507299299</v>
      </c>
      <c r="AN152" s="59">
        <f ca="1">AVERAGE(OFFSET($AM$3,0,0,'Données projet'!$E$10+1,1))-AVERAGE(OFFSET($H$3,0,0,'Données projet'!$E$10+1,1))</f>
        <v>662.13838733542616</v>
      </c>
      <c r="AO152" s="59">
        <f t="shared" si="144"/>
        <v>1194.915361841041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4.7800000000008822</v>
      </c>
      <c r="BE152" s="13">
        <f>BD152*VLOOKUP('Données projet'!$B$11,Paramètres!$A$1:$I$89,3,0)*VLOOKUP('Données projet'!$B$11,Paramètres!$A$1:$I$89,5,0)</f>
        <v>2.2370400000004129</v>
      </c>
      <c r="BF152" s="13">
        <f t="shared" si="145"/>
        <v>0.9386934556823372</v>
      </c>
      <c r="BG152" s="20">
        <f t="shared" si="115"/>
        <v>5.5310691019807896</v>
      </c>
      <c r="BH152" s="59">
        <f t="shared" si="116"/>
        <v>298.8644024353141</v>
      </c>
      <c r="BI152" s="59">
        <f ca="1">AVERAGE(OFFSET($BH$3,0,0,'Données projet'!$E$11+1,1))-AVERAGE(OFFSET($H$3,0,0,'Données projet'!$E$11+1,1))</f>
        <v>321.82962838167799</v>
      </c>
      <c r="BJ152" s="59">
        <f t="shared" si="146"/>
        <v>243.43396255104295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126.86481039613183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126.86481039613183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187.80389738728508</v>
      </c>
      <c r="CE152" s="59">
        <f t="shared" si="148"/>
        <v>439.28159165815265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11.700371566652667</v>
      </c>
      <c r="CL152" s="21">
        <f>EXP(-LN(2)/25)*CL151+(1-EXP(-LN(2)/25))/(LN(2)/25)*Calculateur!CG152*Calculateur!CI152*VLOOKUP('Données projet'!$B$12,Paramètres!$A$1:$I$89,3,0)*0.475*44/12</f>
        <v>0.53060928519768602</v>
      </c>
      <c r="CM152" s="21">
        <f>EXP(-LN(2)/2)*CM151+(1-EXP(-LN(2)/2))/(LN(2)/2)*CG152*CJ152*VLOOKUP('Données projet'!$B$12,Paramètres!$A$1:$I$89,3,0)*0.475*44/12</f>
        <v>5.5151958243676612E-20</v>
      </c>
      <c r="CN152" s="22">
        <f t="shared" si="120"/>
        <v>12.230980851850353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8.7559999999999949</v>
      </c>
      <c r="CT152" s="12">
        <f>IF('Données projet'!$A$140&gt;35,CT151+CS152-DB151,IF(A152&lt;'Données projet'!$A$140,$CQ$205^A152,IF(A152='Données projet'!$A$140,'Données projet'!$B$140,CT151+CS152-DB151)))</f>
        <v>502.71000000000026</v>
      </c>
      <c r="CU152" s="17">
        <f>CT152*VLOOKUP('Données projet'!$B$13,Paramètres!$A$1:$I$89,3,0)*VLOOKUP('Données projet'!$B$13,Paramètres!$A$1:$I$89,5,0)</f>
        <v>572.4861480000003</v>
      </c>
      <c r="CV152" s="13">
        <f t="shared" si="149"/>
        <v>125.98336488388811</v>
      </c>
      <c r="CW152" s="20">
        <f t="shared" si="121"/>
        <v>1216.5010682727723</v>
      </c>
      <c r="CX152" s="59">
        <f t="shared" si="122"/>
        <v>1509.8344016061055</v>
      </c>
      <c r="CY152" s="59">
        <f ca="1">AVERAGE(OFFSET($CX$3,0,0,'Données projet'!$E$13+1,1))-AVERAGE(OFFSET($H$3,0,0,'Données projet'!$E$13+1,1))</f>
        <v>770.11410336045037</v>
      </c>
      <c r="CZ152" s="59">
        <f t="shared" si="150"/>
        <v>227.12611049004596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136.45048525118563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136.45048525118563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10.201000000000011</v>
      </c>
      <c r="DO152" s="12">
        <f>IF('Données projet'!$A$166&gt;35,DO151+DN152-DW151,IF(A152&lt;'Données projet'!$A$166,$DL$205^A152,IF(A152='Données projet'!$A$166,'Données projet'!$B$166,DO151+DN152-DW151)))</f>
        <v>662.92899999999986</v>
      </c>
      <c r="DP152" s="17">
        <f>DO152*VLOOKUP('Données projet'!$B$14,Paramètres!$A$1:$I$89,3,0)*VLOOKUP('Données projet'!$B$14,Paramètres!$A$1:$I$89,5,0)</f>
        <v>672.21000599999991</v>
      </c>
      <c r="DQ152" s="13">
        <f t="shared" si="151"/>
        <v>145.18958329686751</v>
      </c>
      <c r="DR152" s="20">
        <f t="shared" si="124"/>
        <v>1423.6376180253774</v>
      </c>
      <c r="DS152" s="59">
        <f t="shared" si="125"/>
        <v>1716.9709513587106</v>
      </c>
      <c r="DT152" s="59">
        <f ca="1">AVERAGE(OFFSET($DS$3,0,0,'Données projet'!$E$14+1,1))-AVERAGE(OFFSET($H$3,0,0,'Données projet'!$E$14+1,1))</f>
        <v>778.88878505968955</v>
      </c>
      <c r="DU152" s="59">
        <f t="shared" si="152"/>
        <v>279.20782832611059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142.27254846509459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142.27254846509459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369.00000000000011</v>
      </c>
      <c r="O153" s="13">
        <f>N153*VLOOKUP('Données projet'!$B$9,Paramètres!$A$1:$I$89,3,0)*VLOOKUP('Données projet'!$B$9,Paramètres!$A$1:$I$89,5,0)</f>
        <v>333.87120000000004</v>
      </c>
      <c r="P153" s="13">
        <f t="shared" si="141"/>
        <v>78.232360111376309</v>
      </c>
      <c r="Q153" s="20">
        <f t="shared" si="108"/>
        <v>717.74703386064709</v>
      </c>
      <c r="R153" s="59">
        <f t="shared" si="109"/>
        <v>1011.0803671939805</v>
      </c>
      <c r="S153" s="59">
        <f ca="1">AVERAGE(OFFSET($R$3,0,0,'Données projet'!$E$9+1,1))-AVERAGE(OFFSET($H$3,0,0,'Données projet'!$E$9+1,1))</f>
        <v>436.4497226650281</v>
      </c>
      <c r="T153" s="59">
        <f t="shared" si="142"/>
        <v>611.43967996341871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0.98179543894297194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0.98179543894297194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630</v>
      </c>
      <c r="AJ153" s="13">
        <f>AI153*VLOOKUP('Données projet'!$B$10,Paramètres!$A$1:$I$89,3,0)*VLOOKUP('Données projet'!$B$10,Paramètres!$A$1:$I$89,5,0)</f>
        <v>550.36800000000005</v>
      </c>
      <c r="AK153" s="13">
        <f t="shared" si="143"/>
        <v>121.67271812244785</v>
      </c>
      <c r="AL153" s="20">
        <f t="shared" si="112"/>
        <v>1170.4709173965966</v>
      </c>
      <c r="AM153" s="59">
        <f t="shared" si="113"/>
        <v>1463.8042507299299</v>
      </c>
      <c r="AN153" s="59">
        <f ca="1">AVERAGE(OFFSET($AM$3,0,0,'Données projet'!$E$10+1,1))-AVERAGE(OFFSET($H$3,0,0,'Données projet'!$E$10+1,1))</f>
        <v>662.13838733542616</v>
      </c>
      <c r="AO153" s="59">
        <f t="shared" si="144"/>
        <v>1194.915361841041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4.7800000000008822</v>
      </c>
      <c r="BE153" s="13">
        <f>BD153*VLOOKUP('Données projet'!$B$11,Paramètres!$A$1:$I$89,3,0)*VLOOKUP('Données projet'!$B$11,Paramètres!$A$1:$I$89,5,0)</f>
        <v>2.2370400000004129</v>
      </c>
      <c r="BF153" s="13">
        <f t="shared" si="145"/>
        <v>0.9386934556823372</v>
      </c>
      <c r="BG153" s="20">
        <f t="shared" si="115"/>
        <v>5.5310691019807896</v>
      </c>
      <c r="BH153" s="59">
        <f t="shared" si="116"/>
        <v>298.8644024353141</v>
      </c>
      <c r="BI153" s="59">
        <f ca="1">AVERAGE(OFFSET($BH$3,0,0,'Données projet'!$E$11+1,1))-AVERAGE(OFFSET($H$3,0,0,'Données projet'!$E$11+1,1))</f>
        <v>321.82962838167799</v>
      </c>
      <c r="BJ153" s="59">
        <f t="shared" si="146"/>
        <v>243.43396255104295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124.37706884415739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124.37706884415739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187.80389738728508</v>
      </c>
      <c r="CE153" s="59">
        <f t="shared" si="148"/>
        <v>439.28159165815265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11.470934416752591</v>
      </c>
      <c r="CL153" s="21">
        <f>EXP(-LN(2)/25)*CL152+(1-EXP(-LN(2)/25))/(LN(2)/25)*Calculateur!CG153*Calculateur!CI153*VLOOKUP('Données projet'!$B$12,Paramètres!$A$1:$I$89,3,0)*0.475*44/12</f>
        <v>0.51609974639042566</v>
      </c>
      <c r="CM153" s="21">
        <f>EXP(-LN(2)/2)*CM152+(1-EXP(-LN(2)/2))/(LN(2)/2)*CG153*CJ153*VLOOKUP('Données projet'!$B$12,Paramètres!$A$1:$I$89,3,0)*0.475*44/12</f>
        <v>3.8998323669821044E-20</v>
      </c>
      <c r="CN153" s="22">
        <f t="shared" si="120"/>
        <v>11.987034163143017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8.7559999999999949</v>
      </c>
      <c r="CT153" s="12">
        <f>IF('Données projet'!$A$140&gt;35,CT152+CS153-DB152,IF(A153&lt;'Données projet'!$A$140,$CQ$205^A153,IF(A153='Données projet'!$A$140,'Données projet'!$B$140,CT152+CS153-DB152)))</f>
        <v>511.46600000000024</v>
      </c>
      <c r="CU153" s="17">
        <f>CT153*VLOOKUP('Données projet'!$B$13,Paramètres!$A$1:$I$89,3,0)*VLOOKUP('Données projet'!$B$13,Paramètres!$A$1:$I$89,5,0)</f>
        <v>582.45748080000033</v>
      </c>
      <c r="CV153" s="13">
        <f t="shared" si="149"/>
        <v>127.9203197467576</v>
      </c>
      <c r="CW153" s="20">
        <f t="shared" si="121"/>
        <v>1237.24133595227</v>
      </c>
      <c r="CX153" s="59">
        <f t="shared" si="122"/>
        <v>1530.5746692856032</v>
      </c>
      <c r="CY153" s="59">
        <f ca="1">AVERAGE(OFFSET($CX$3,0,0,'Données projet'!$E$13+1,1))-AVERAGE(OFFSET($H$3,0,0,'Données projet'!$E$13+1,1))</f>
        <v>770.11410336045037</v>
      </c>
      <c r="CZ153" s="59">
        <f t="shared" si="150"/>
        <v>227.12611049004596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133.77477446198793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133.77477446198793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>
        <f>VLOOKUP(A153,'Données projet'!$A$165:$I$185,2,0)</f>
        <v>673.13</v>
      </c>
      <c r="DM153" s="12">
        <f>VLOOKUP(A153,'Données projet'!$A$165:$I$185,9,0)</f>
        <v>10.201000000000011</v>
      </c>
      <c r="DN153" s="12">
        <f t="array" ref="DN153">INDEX(DM:DM,MIN(IF(ISNUMBER(DM153:DM349),ROW(DM153:DM349),"")))</f>
        <v>10.201000000000011</v>
      </c>
      <c r="DO153" s="12">
        <f>IF('Données projet'!$A$166&gt;35,DO152+DN153-DW152,IF(A153&lt;'Données projet'!$A$166,$DL$205^A153,IF(A153='Données projet'!$A$166,'Données projet'!$B$166,DO152+DN153-DW152)))</f>
        <v>673.12999999999988</v>
      </c>
      <c r="DP153" s="17">
        <f>DO153*VLOOKUP('Données projet'!$B$14,Paramètres!$A$1:$I$89,3,0)*VLOOKUP('Données projet'!$B$14,Paramètres!$A$1:$I$89,5,0)</f>
        <v>682.55381999999986</v>
      </c>
      <c r="DQ153" s="13">
        <f t="shared" si="151"/>
        <v>147.16191516699467</v>
      </c>
      <c r="DR153" s="20">
        <f t="shared" si="124"/>
        <v>1445.0882387491822</v>
      </c>
      <c r="DS153" s="59">
        <f t="shared" si="125"/>
        <v>1738.4215720825155</v>
      </c>
      <c r="DT153" s="59">
        <f ca="1">AVERAGE(OFFSET($DS$3,0,0,'Données projet'!$E$14+1,1))-AVERAGE(OFFSET($H$3,0,0,'Données projet'!$E$14+1,1))</f>
        <v>778.88878505968955</v>
      </c>
      <c r="DU153" s="59">
        <f t="shared" si="152"/>
        <v>279.20782832611059</v>
      </c>
      <c r="DV153" s="15">
        <f>IF(ISNA(VLOOKUP(A153,'Données projet'!$A$165:$I$185,3,0)),0,VLOOKUP(A153,'Données projet'!$A$165:$I$185,3,0))</f>
        <v>14</v>
      </c>
      <c r="DW153" s="15">
        <f>IF(ISNA(VLOOKUP(A153,'Données projet'!$A$165:$I$185,4,0)),0,VLOOKUP(A153,'Données projet'!$A$165:$I$185,4,0))</f>
        <v>234.51</v>
      </c>
      <c r="DX153" s="16">
        <f>IF(ISNA(VLOOKUP(A153,'Données projet'!$A$165:$I$185,5,0)),0%,VLOOKUP(A153,'Données projet'!$A$165:$I$185,5,0)*VLOOKUP('Données projet'!$B$14,Paramètres!$A$1:$I$89,7,0))</f>
        <v>0.43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252.51817783961684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252.51817783961684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369.00000000000011</v>
      </c>
      <c r="O154" s="13">
        <f>N154*VLOOKUP('Données projet'!$B$9,Paramètres!$A$1:$I$89,3,0)*VLOOKUP('Données projet'!$B$9,Paramètres!$A$1:$I$89,5,0)</f>
        <v>333.87120000000004</v>
      </c>
      <c r="P154" s="13">
        <f t="shared" si="141"/>
        <v>78.232360111376309</v>
      </c>
      <c r="Q154" s="20">
        <f t="shared" ref="Q154:Q203" si="162">(O154+P154)*0.475*44/12</f>
        <v>717.74703386064709</v>
      </c>
      <c r="R154" s="59">
        <f t="shared" si="109"/>
        <v>1011.0803671939805</v>
      </c>
      <c r="S154" s="59">
        <f ca="1">AVERAGE(OFFSET($R$3,0,0,'Données projet'!$E$9+1,1))-AVERAGE(OFFSET($H$3,0,0,'Données projet'!$E$9+1,1))</f>
        <v>436.4497226650281</v>
      </c>
      <c r="T154" s="59">
        <f t="shared" si="142"/>
        <v>611.43967996341871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0.9625430292213879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0.9625430292213879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630</v>
      </c>
      <c r="AJ154" s="13">
        <f>AI154*VLOOKUP('Données projet'!$B$10,Paramètres!$A$1:$I$89,3,0)*VLOOKUP('Données projet'!$B$10,Paramètres!$A$1:$I$89,5,0)</f>
        <v>550.36800000000005</v>
      </c>
      <c r="AK154" s="13">
        <f t="shared" ref="AK154:AK203" si="164">EXP(-1.0587+0.8836*LN(AJ154)+0.284)</f>
        <v>121.67271812244785</v>
      </c>
      <c r="AL154" s="20">
        <f t="shared" ref="AL154:AL203" si="165">(AJ154+AK154)*0.475*44/12</f>
        <v>1170.4709173965966</v>
      </c>
      <c r="AM154" s="59">
        <f t="shared" si="113"/>
        <v>1463.8042507299299</v>
      </c>
      <c r="AN154" s="59">
        <f ca="1">AVERAGE(OFFSET($AM$3,0,0,'Données projet'!$E$10+1,1))-AVERAGE(OFFSET($H$3,0,0,'Données projet'!$E$10+1,1))</f>
        <v>662.13838733542616</v>
      </c>
      <c r="AO154" s="59">
        <f t="shared" si="144"/>
        <v>1194.915361841041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4.7800000000008822</v>
      </c>
      <c r="BE154" s="13">
        <f>BD154*VLOOKUP('Données projet'!$B$11,Paramètres!$A$1:$I$89,3,0)*VLOOKUP('Données projet'!$B$11,Paramètres!$A$1:$I$89,5,0)</f>
        <v>2.2370400000004129</v>
      </c>
      <c r="BF154" s="13">
        <f t="shared" ref="BF154:BF203" si="167">EXP(-1.0587+0.8836*LN(BE154)+0.284)</f>
        <v>0.9386934556823372</v>
      </c>
      <c r="BG154" s="20">
        <f t="shared" ref="BG154:BG203" si="168">(BE154+BF154)*0.475*44/12</f>
        <v>5.5310691019807896</v>
      </c>
      <c r="BH154" s="59">
        <f t="shared" si="116"/>
        <v>298.8644024353141</v>
      </c>
      <c r="BI154" s="59">
        <f ca="1">AVERAGE(OFFSET($BH$3,0,0,'Données projet'!$E$11+1,1))-AVERAGE(OFFSET($H$3,0,0,'Données projet'!$E$11+1,1))</f>
        <v>321.82962838167799</v>
      </c>
      <c r="BJ154" s="59">
        <f t="shared" si="146"/>
        <v>243.43396255104295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121.93811038664465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121.93811038664465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187.80389738728508</v>
      </c>
      <c r="CE154" s="59">
        <f t="shared" si="148"/>
        <v>439.28159165815265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11.245996389419213</v>
      </c>
      <c r="CL154" s="21">
        <f>EXP(-LN(2)/25)*CL153+(1-EXP(-LN(2)/25))/(LN(2)/25)*Calculateur!CG154*Calculateur!CI154*VLOOKUP('Données projet'!$B$12,Paramètres!$A$1:$I$89,3,0)*0.475*44/12</f>
        <v>0.50198697168487338</v>
      </c>
      <c r="CM154" s="21">
        <f>EXP(-LN(2)/2)*CM153+(1-EXP(-LN(2)/2))/(LN(2)/2)*CG154*CJ154*VLOOKUP('Données projet'!$B$12,Paramètres!$A$1:$I$89,3,0)*0.475*44/12</f>
        <v>2.7575979121838306E-20</v>
      </c>
      <c r="CN154" s="22">
        <f t="shared" ref="CN154:CN203" si="172">SUM(CK154:CM154)</f>
        <v>11.747983361104087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8.7559999999999949</v>
      </c>
      <c r="CT154" s="12">
        <f>IF('Données projet'!$A$140&gt;35,CT153+CS154-DB153,IF(A154&lt;'Données projet'!$A$140,$CQ$205^A154,IF(A154='Données projet'!$A$140,'Données projet'!$B$140,CT153+CS154-DB153)))</f>
        <v>520.22200000000021</v>
      </c>
      <c r="CU154" s="17">
        <f>CT154*VLOOKUP('Données projet'!$B$13,Paramètres!$A$1:$I$89,3,0)*VLOOKUP('Données projet'!$B$13,Paramètres!$A$1:$I$89,5,0)</f>
        <v>592.42881360000024</v>
      </c>
      <c r="CV154" s="13">
        <f t="shared" ref="CV154:CV203" si="173">EXP(-1.0587+0.8836*LN(CU154)+0.284)</f>
        <v>129.85341848328247</v>
      </c>
      <c r="CW154" s="20">
        <f t="shared" ref="CW154:CW203" si="174">(CU154+CV154)*0.475*44/12</f>
        <v>1257.9748875450507</v>
      </c>
      <c r="CX154" s="59">
        <f t="shared" si="122"/>
        <v>1551.308220878384</v>
      </c>
      <c r="CY154" s="59">
        <f ca="1">AVERAGE(OFFSET($CX$3,0,0,'Données projet'!$E$13+1,1))-AVERAGE(OFFSET($H$3,0,0,'Données projet'!$E$13+1,1))</f>
        <v>770.11410336045037</v>
      </c>
      <c r="CZ154" s="59">
        <f t="shared" si="150"/>
        <v>227.12611049004596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131.15153272934398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131.15153272934398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-1.216666666666659</v>
      </c>
      <c r="DO154" s="12">
        <f>IF('Données projet'!$A$166&gt;35,DO153+DN154-DW153,IF(A154&lt;'Données projet'!$A$166,$DL$205^A154,IF(A154='Données projet'!$A$166,'Données projet'!$B$166,DO153+DN154-DW153)))</f>
        <v>437.40333333333319</v>
      </c>
      <c r="DP154" s="17">
        <f>DO154*VLOOKUP('Données projet'!$B$14,Paramètres!$A$1:$I$89,3,0)*VLOOKUP('Données projet'!$B$14,Paramètres!$A$1:$I$89,5,0)</f>
        <v>443.52697999999992</v>
      </c>
      <c r="DQ154" s="13">
        <f t="shared" ref="DQ154:DQ203" si="176">EXP(-1.0587+0.8836*LN(DP154)+0.284)</f>
        <v>100.54734681570342</v>
      </c>
      <c r="DR154" s="20">
        <f t="shared" ref="DR154:DR203" si="177">(DP154+DQ154)*0.475*44/12</f>
        <v>947.59611920401665</v>
      </c>
      <c r="DS154" s="59">
        <f t="shared" si="125"/>
        <v>1240.92945253735</v>
      </c>
      <c r="DT154" s="59">
        <f ca="1">AVERAGE(OFFSET($DS$3,0,0,'Données projet'!$E$14+1,1))-AVERAGE(OFFSET($H$3,0,0,'Données projet'!$E$14+1,1))</f>
        <v>778.88878505968955</v>
      </c>
      <c r="DU154" s="59">
        <f t="shared" si="152"/>
        <v>279.20782832611059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247.56645039306213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247.56645039306213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369.00000000000011</v>
      </c>
      <c r="O155" s="13">
        <f>N155*VLOOKUP('Données projet'!$B$9,Paramètres!$A$1:$I$89,3,0)*VLOOKUP('Données projet'!$B$9,Paramètres!$A$1:$I$89,5,0)</f>
        <v>333.87120000000004</v>
      </c>
      <c r="P155" s="13">
        <f t="shared" si="141"/>
        <v>78.232360111376309</v>
      </c>
      <c r="Q155" s="20">
        <f t="shared" si="162"/>
        <v>717.74703386064709</v>
      </c>
      <c r="R155" s="59">
        <f t="shared" si="109"/>
        <v>1011.0803671939805</v>
      </c>
      <c r="S155" s="59">
        <f ca="1">AVERAGE(OFFSET($R$3,0,0,'Données projet'!$E$9+1,1))-AVERAGE(OFFSET($H$3,0,0,'Données projet'!$E$9+1,1))</f>
        <v>436.4497226650281</v>
      </c>
      <c r="T155" s="59">
        <f t="shared" si="142"/>
        <v>611.43967996341871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0.94366814751163364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0.94366814751163364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630</v>
      </c>
      <c r="AJ155" s="13">
        <f>AI155*VLOOKUP('Données projet'!$B$10,Paramètres!$A$1:$I$89,3,0)*VLOOKUP('Données projet'!$B$10,Paramètres!$A$1:$I$89,5,0)</f>
        <v>550.36800000000005</v>
      </c>
      <c r="AK155" s="13">
        <f t="shared" si="164"/>
        <v>121.67271812244785</v>
      </c>
      <c r="AL155" s="20">
        <f t="shared" si="165"/>
        <v>1170.4709173965966</v>
      </c>
      <c r="AM155" s="59">
        <f t="shared" si="113"/>
        <v>1463.8042507299299</v>
      </c>
      <c r="AN155" s="59">
        <f ca="1">AVERAGE(OFFSET($AM$3,0,0,'Données projet'!$E$10+1,1))-AVERAGE(OFFSET($H$3,0,0,'Données projet'!$E$10+1,1))</f>
        <v>662.13838733542616</v>
      </c>
      <c r="AO155" s="59">
        <f t="shared" si="144"/>
        <v>1194.915361841041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4.7800000000008822</v>
      </c>
      <c r="BE155" s="13">
        <f>BD155*VLOOKUP('Données projet'!$B$11,Paramètres!$A$1:$I$89,3,0)*VLOOKUP('Données projet'!$B$11,Paramètres!$A$1:$I$89,5,0)</f>
        <v>2.2370400000004129</v>
      </c>
      <c r="BF155" s="13">
        <f t="shared" si="167"/>
        <v>0.9386934556823372</v>
      </c>
      <c r="BG155" s="20">
        <f t="shared" si="168"/>
        <v>5.5310691019807896</v>
      </c>
      <c r="BH155" s="59">
        <f t="shared" si="116"/>
        <v>298.8644024353141</v>
      </c>
      <c r="BI155" s="59">
        <f ca="1">AVERAGE(OFFSET($BH$3,0,0,'Données projet'!$E$11+1,1))-AVERAGE(OFFSET($H$3,0,0,'Données projet'!$E$11+1,1))</f>
        <v>321.82962838167799</v>
      </c>
      <c r="BJ155" s="59">
        <f t="shared" si="146"/>
        <v>243.43396255104295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119.54697841686597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119.54697841686597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187.80389738728508</v>
      </c>
      <c r="CE155" s="59">
        <f t="shared" si="148"/>
        <v>439.28159165815265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11.025469259603192</v>
      </c>
      <c r="CL155" s="21">
        <f>EXP(-LN(2)/25)*CL154+(1-EXP(-LN(2)/25))/(LN(2)/25)*Calculateur!CG155*Calculateur!CI155*VLOOKUP('Données projet'!$B$12,Paramètres!$A$1:$I$89,3,0)*0.475*44/12</f>
        <v>0.48826011154580301</v>
      </c>
      <c r="CM155" s="21">
        <f>EXP(-LN(2)/2)*CM154+(1-EXP(-LN(2)/2))/(LN(2)/2)*CG155*CJ155*VLOOKUP('Données projet'!$B$12,Paramètres!$A$1:$I$89,3,0)*0.475*44/12</f>
        <v>1.9499161834910522E-20</v>
      </c>
      <c r="CN155" s="22">
        <f t="shared" si="172"/>
        <v>11.513729371148994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8.7559999999999949</v>
      </c>
      <c r="CT155" s="12">
        <f>IF('Données projet'!$A$140&gt;35,CT154+CS155-DB154,IF(A155&lt;'Données projet'!$A$140,$CQ$205^A155,IF(A155='Données projet'!$A$140,'Données projet'!$B$140,CT154+CS155-DB154)))</f>
        <v>528.97800000000018</v>
      </c>
      <c r="CU155" s="17">
        <f>CT155*VLOOKUP('Données projet'!$B$13,Paramètres!$A$1:$I$89,3,0)*VLOOKUP('Données projet'!$B$13,Paramètres!$A$1:$I$89,5,0)</f>
        <v>602.40014640000027</v>
      </c>
      <c r="CV155" s="13">
        <f t="shared" si="173"/>
        <v>131.78273348771552</v>
      </c>
      <c r="CW155" s="20">
        <f t="shared" si="174"/>
        <v>1278.7018491377714</v>
      </c>
      <c r="CX155" s="59">
        <f t="shared" si="122"/>
        <v>1572.0351824711047</v>
      </c>
      <c r="CY155" s="59">
        <f ca="1">AVERAGE(OFFSET($CX$3,0,0,'Données projet'!$E$13+1,1))-AVERAGE(OFFSET($H$3,0,0,'Données projet'!$E$13+1,1))</f>
        <v>770.11410336045037</v>
      </c>
      <c r="CZ155" s="59">
        <f t="shared" si="150"/>
        <v>227.12611049004596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128.5797311670577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128.5797311670577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-1.216666666666659</v>
      </c>
      <c r="DO155" s="12">
        <f>IF('Données projet'!$A$166&gt;35,DO154+DN155-DW154,IF(A155&lt;'Données projet'!$A$166,$DL$205^A155,IF(A155='Données projet'!$A$166,'Données projet'!$B$166,DO154+DN155-DW154)))</f>
        <v>436.18666666666655</v>
      </c>
      <c r="DP155" s="17">
        <f>DO155*VLOOKUP('Données projet'!$B$14,Paramètres!$A$1:$I$89,3,0)*VLOOKUP('Données projet'!$B$14,Paramètres!$A$1:$I$89,5,0)</f>
        <v>442.29327999999987</v>
      </c>
      <c r="DQ155" s="13">
        <f t="shared" si="176"/>
        <v>100.30018224509982</v>
      </c>
      <c r="DR155" s="20">
        <f t="shared" si="177"/>
        <v>945.0169467435486</v>
      </c>
      <c r="DS155" s="59">
        <f t="shared" si="125"/>
        <v>1238.350280076882</v>
      </c>
      <c r="DT155" s="59">
        <f ca="1">AVERAGE(OFFSET($DS$3,0,0,'Données projet'!$E$14+1,1))-AVERAGE(OFFSET($H$3,0,0,'Données projet'!$E$14+1,1))</f>
        <v>778.88878505968955</v>
      </c>
      <c r="DU155" s="59">
        <f t="shared" si="152"/>
        <v>279.20782832611059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242.71182330147886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242.71182330147886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369.00000000000011</v>
      </c>
      <c r="O156" s="13">
        <f>N156*VLOOKUP('Données projet'!$B$9,Paramètres!$A$1:$I$89,3,0)*VLOOKUP('Données projet'!$B$9,Paramètres!$A$1:$I$89,5,0)</f>
        <v>333.87120000000004</v>
      </c>
      <c r="P156" s="13">
        <f t="shared" si="141"/>
        <v>78.232360111376309</v>
      </c>
      <c r="Q156" s="20">
        <f t="shared" si="162"/>
        <v>717.74703386064709</v>
      </c>
      <c r="R156" s="59">
        <f t="shared" si="109"/>
        <v>1011.0803671939805</v>
      </c>
      <c r="S156" s="59">
        <f ca="1">AVERAGE(OFFSET($R$3,0,0,'Données projet'!$E$9+1,1))-AVERAGE(OFFSET($H$3,0,0,'Données projet'!$E$9+1,1))</f>
        <v>436.4497226650281</v>
      </c>
      <c r="T156" s="59">
        <f t="shared" si="142"/>
        <v>611.43967996341871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0.92516339071966658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0.92516339071966658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630</v>
      </c>
      <c r="AJ156" s="13">
        <f>AI156*VLOOKUP('Données projet'!$B$10,Paramètres!$A$1:$I$89,3,0)*VLOOKUP('Données projet'!$B$10,Paramètres!$A$1:$I$89,5,0)</f>
        <v>550.36800000000005</v>
      </c>
      <c r="AK156" s="13">
        <f t="shared" si="164"/>
        <v>121.67271812244785</v>
      </c>
      <c r="AL156" s="20">
        <f t="shared" si="165"/>
        <v>1170.4709173965966</v>
      </c>
      <c r="AM156" s="59">
        <f t="shared" si="113"/>
        <v>1463.8042507299299</v>
      </c>
      <c r="AN156" s="59">
        <f ca="1">AVERAGE(OFFSET($AM$3,0,0,'Données projet'!$E$10+1,1))-AVERAGE(OFFSET($H$3,0,0,'Données projet'!$E$10+1,1))</f>
        <v>662.13838733542616</v>
      </c>
      <c r="AO156" s="59">
        <f t="shared" si="144"/>
        <v>1194.915361841041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4.7800000000008822</v>
      </c>
      <c r="BE156" s="13">
        <f>BD156*VLOOKUP('Données projet'!$B$11,Paramètres!$A$1:$I$89,3,0)*VLOOKUP('Données projet'!$B$11,Paramètres!$A$1:$I$89,5,0)</f>
        <v>2.2370400000004129</v>
      </c>
      <c r="BF156" s="13">
        <f t="shared" si="167"/>
        <v>0.9386934556823372</v>
      </c>
      <c r="BG156" s="20">
        <f t="shared" si="168"/>
        <v>5.5310691019807896</v>
      </c>
      <c r="BH156" s="59">
        <f t="shared" si="116"/>
        <v>298.8644024353141</v>
      </c>
      <c r="BI156" s="59">
        <f ca="1">AVERAGE(OFFSET($BH$3,0,0,'Données projet'!$E$11+1,1))-AVERAGE(OFFSET($H$3,0,0,'Données projet'!$E$11+1,1))</f>
        <v>321.82962838167799</v>
      </c>
      <c r="BJ156" s="59">
        <f t="shared" si="146"/>
        <v>243.43396255104295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117.20273508656815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117.20273508656815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187.80389738728508</v>
      </c>
      <c r="CE156" s="59">
        <f t="shared" si="148"/>
        <v>439.28159165815265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10.809266532294595</v>
      </c>
      <c r="CL156" s="21">
        <f>EXP(-LN(2)/25)*CL155+(1-EXP(-LN(2)/25))/(LN(2)/25)*Calculateur!CG156*Calculateur!CI156*VLOOKUP('Données projet'!$B$12,Paramètres!$A$1:$I$89,3,0)*0.475*44/12</f>
        <v>0.47490861311909971</v>
      </c>
      <c r="CM156" s="21">
        <f>EXP(-LN(2)/2)*CM155+(1-EXP(-LN(2)/2))/(LN(2)/2)*CG156*CJ156*VLOOKUP('Données projet'!$B$12,Paramètres!$A$1:$I$89,3,0)*0.475*44/12</f>
        <v>1.3787989560919153E-20</v>
      </c>
      <c r="CN156" s="22">
        <f t="shared" si="172"/>
        <v>11.284175145413695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8.7559999999999949</v>
      </c>
      <c r="CT156" s="12">
        <f>IF('Données projet'!$A$140&gt;35,CT155+CS156-DB155,IF(A156&lt;'Données projet'!$A$140,$CQ$205^A156,IF(A156='Données projet'!$A$140,'Données projet'!$B$140,CT155+CS156-DB155)))</f>
        <v>537.73400000000015</v>
      </c>
      <c r="CU156" s="17">
        <f>CT156*VLOOKUP('Données projet'!$B$13,Paramètres!$A$1:$I$89,3,0)*VLOOKUP('Données projet'!$B$13,Paramètres!$A$1:$I$89,5,0)</f>
        <v>612.37147920000018</v>
      </c>
      <c r="CV156" s="13">
        <f t="shared" si="173"/>
        <v>133.7083346202844</v>
      </c>
      <c r="CW156" s="20">
        <f t="shared" si="174"/>
        <v>1299.4223424036622</v>
      </c>
      <c r="CX156" s="59">
        <f t="shared" si="122"/>
        <v>1592.7556757369955</v>
      </c>
      <c r="CY156" s="59">
        <f ca="1">AVERAGE(OFFSET($CX$3,0,0,'Données projet'!$E$13+1,1))-AVERAGE(OFFSET($H$3,0,0,'Données projet'!$E$13+1,1))</f>
        <v>770.11410336045037</v>
      </c>
      <c r="CZ156" s="59">
        <f t="shared" si="150"/>
        <v>227.12611049004596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126.0583610647638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126.0583610647638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434.97</v>
      </c>
      <c r="DM156" s="12">
        <f>VLOOKUP(A156,'Données projet'!$A$165:$I$185,9,0)</f>
        <v>-1.216666666666659</v>
      </c>
      <c r="DN156" s="12">
        <f t="array" ref="DN156">INDEX(DM:DM,MIN(IF(ISNUMBER(DM156:DM352),ROW(DM156:DM352),"")))</f>
        <v>-1.216666666666659</v>
      </c>
      <c r="DO156" s="12">
        <f>IF('Données projet'!$A$166&gt;35,DO155+DN156-DW155,IF(A156&lt;'Données projet'!$A$166,$DL$205^A156,IF(A156='Données projet'!$A$166,'Données projet'!$B$166,DO155+DN156-DW155)))</f>
        <v>434.96999999999991</v>
      </c>
      <c r="DP156" s="17">
        <f>DO156*VLOOKUP('Données projet'!$B$14,Paramètres!$A$1:$I$89,3,0)*VLOOKUP('Données projet'!$B$14,Paramètres!$A$1:$I$89,5,0)</f>
        <v>441.05957999999993</v>
      </c>
      <c r="DQ156" s="13">
        <f t="shared" si="176"/>
        <v>100.05293741258036</v>
      </c>
      <c r="DR156" s="20">
        <f t="shared" si="177"/>
        <v>942.43763449357721</v>
      </c>
      <c r="DS156" s="59">
        <f t="shared" si="125"/>
        <v>1235.7709678269105</v>
      </c>
      <c r="DT156" s="59">
        <f ca="1">AVERAGE(OFFSET($DS$3,0,0,'Données projet'!$E$14+1,1))-AVERAGE(OFFSET($H$3,0,0,'Données projet'!$E$14+1,1))</f>
        <v>778.88878505968955</v>
      </c>
      <c r="DU156" s="59">
        <f t="shared" si="152"/>
        <v>279.20782832611059</v>
      </c>
      <c r="DV156" s="15">
        <f>IF(ISNA(VLOOKUP(A156,'Données projet'!$A$165:$I$185,3,0)),0,VLOOKUP(A156,'Données projet'!$A$165:$I$185,3,0))</f>
        <v>15</v>
      </c>
      <c r="DW156" s="15">
        <f>IF(ISNA(VLOOKUP(A156,'Données projet'!$A$165:$I$185,4,0)),0,VLOOKUP(A156,'Données projet'!$A$165:$I$185,4,0))</f>
        <v>141.22</v>
      </c>
      <c r="DX156" s="16">
        <f>IF(ISNA(VLOOKUP(A156,'Données projet'!$A$165:$I$185,5,0)),0%,VLOOKUP(A156,'Données projet'!$A$165:$I$185,5,0)*VLOOKUP('Données projet'!$B$14,Paramètres!$A$1:$I$89,7,0))</f>
        <v>0.43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306.02144854764379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306.02144854764379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369.00000000000011</v>
      </c>
      <c r="O157" s="13">
        <f>N157*VLOOKUP('Données projet'!$B$9,Paramètres!$A$1:$I$89,3,0)*VLOOKUP('Données projet'!$B$9,Paramètres!$A$1:$I$89,5,0)</f>
        <v>333.87120000000004</v>
      </c>
      <c r="P157" s="13">
        <f t="shared" si="141"/>
        <v>78.232360111376309</v>
      </c>
      <c r="Q157" s="20">
        <f t="shared" si="162"/>
        <v>717.74703386064709</v>
      </c>
      <c r="R157" s="59">
        <f t="shared" si="109"/>
        <v>1011.0803671939805</v>
      </c>
      <c r="S157" s="59">
        <f ca="1">AVERAGE(OFFSET($R$3,0,0,'Données projet'!$E$9+1,1))-AVERAGE(OFFSET($H$3,0,0,'Données projet'!$E$9+1,1))</f>
        <v>436.4497226650281</v>
      </c>
      <c r="T157" s="59">
        <f t="shared" si="142"/>
        <v>611.43967996341871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0.90702150092160283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0.90702150092160283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630</v>
      </c>
      <c r="AJ157" s="13">
        <f>AI157*VLOOKUP('Données projet'!$B$10,Paramètres!$A$1:$I$89,3,0)*VLOOKUP('Données projet'!$B$10,Paramètres!$A$1:$I$89,5,0)</f>
        <v>550.36800000000005</v>
      </c>
      <c r="AK157" s="13">
        <f t="shared" si="164"/>
        <v>121.67271812244785</v>
      </c>
      <c r="AL157" s="20">
        <f t="shared" si="165"/>
        <v>1170.4709173965966</v>
      </c>
      <c r="AM157" s="59">
        <f t="shared" si="113"/>
        <v>1463.8042507299299</v>
      </c>
      <c r="AN157" s="59">
        <f ca="1">AVERAGE(OFFSET($AM$3,0,0,'Données projet'!$E$10+1,1))-AVERAGE(OFFSET($H$3,0,0,'Données projet'!$E$10+1,1))</f>
        <v>662.13838733542616</v>
      </c>
      <c r="AO157" s="59">
        <f t="shared" si="144"/>
        <v>1194.915361841041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4.7800000000008822</v>
      </c>
      <c r="BE157" s="13">
        <f>BD157*VLOOKUP('Données projet'!$B$11,Paramètres!$A$1:$I$89,3,0)*VLOOKUP('Données projet'!$B$11,Paramètres!$A$1:$I$89,5,0)</f>
        <v>2.2370400000004129</v>
      </c>
      <c r="BF157" s="13">
        <f t="shared" si="167"/>
        <v>0.9386934556823372</v>
      </c>
      <c r="BG157" s="20">
        <f t="shared" si="168"/>
        <v>5.5310691019807896</v>
      </c>
      <c r="BH157" s="59">
        <f t="shared" si="116"/>
        <v>298.8644024353141</v>
      </c>
      <c r="BI157" s="59">
        <f ca="1">AVERAGE(OFFSET($BH$3,0,0,'Données projet'!$E$11+1,1))-AVERAGE(OFFSET($H$3,0,0,'Données projet'!$E$11+1,1))</f>
        <v>321.82962838167799</v>
      </c>
      <c r="BJ157" s="59">
        <f t="shared" si="146"/>
        <v>243.43396255104295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114.90446093813024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114.90446093813024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187.80389738728508</v>
      </c>
      <c r="CE157" s="59">
        <f t="shared" si="148"/>
        <v>439.28159165815265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10.597303408597877</v>
      </c>
      <c r="CL157" s="21">
        <f>EXP(-LN(2)/25)*CL156+(1-EXP(-LN(2)/25))/(LN(2)/25)*Calculateur!CG157*Calculateur!CI157*VLOOKUP('Données projet'!$B$12,Paramètres!$A$1:$I$89,3,0)*0.475*44/12</f>
        <v>0.46192221211899936</v>
      </c>
      <c r="CM157" s="21">
        <f>EXP(-LN(2)/2)*CM156+(1-EXP(-LN(2)/2))/(LN(2)/2)*CG157*CJ157*VLOOKUP('Données projet'!$B$12,Paramètres!$A$1:$I$89,3,0)*0.475*44/12</f>
        <v>9.7495809174552611E-21</v>
      </c>
      <c r="CN157" s="22">
        <f t="shared" si="172"/>
        <v>11.059225620716877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8.7559999999999949</v>
      </c>
      <c r="CS157" s="12">
        <f t="array" ref="CS157">INDEX(CR:CR,MIN(IF(ISNUMBER(CR157:CR353),ROW(CR157:CR353),"")))</f>
        <v>8.7559999999999949</v>
      </c>
      <c r="CT157" s="12">
        <f>IF('Données projet'!$A$140&gt;35,CT156+CS157-DB156,IF(A157&lt;'Données projet'!$A$140,$CQ$205^A157,IF(A157='Données projet'!$A$140,'Données projet'!$B$140,CT156+CS157-DB156)))</f>
        <v>546.49000000000012</v>
      </c>
      <c r="CU157" s="17">
        <f>CT157*VLOOKUP('Données projet'!$B$13,Paramètres!$A$1:$I$89,3,0)*VLOOKUP('Données projet'!$B$13,Paramètres!$A$1:$I$89,5,0)</f>
        <v>622.34281200000009</v>
      </c>
      <c r="CV157" s="13">
        <f t="shared" si="173"/>
        <v>135.63028933568043</v>
      </c>
      <c r="CW157" s="20">
        <f t="shared" si="174"/>
        <v>1320.1364848263104</v>
      </c>
      <c r="CX157" s="59">
        <f t="shared" si="122"/>
        <v>1613.4698181596436</v>
      </c>
      <c r="CY157" s="59">
        <f ca="1">AVERAGE(OFFSET($CX$3,0,0,'Données projet'!$E$13+1,1))-AVERAGE(OFFSET($H$3,0,0,'Données projet'!$E$13+1,1))</f>
        <v>770.11410336045037</v>
      </c>
      <c r="CZ157" s="59">
        <f t="shared" si="150"/>
        <v>227.12611049004596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0.43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153.43002019596176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153.43002019596176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-0.93999999999999773</v>
      </c>
      <c r="DO157" s="12">
        <f>IF('Données projet'!$A$166&gt;35,DO156+DN157-DW156,IF(A157&lt;'Données projet'!$A$166,$DL$205^A157,IF(A157='Données projet'!$A$166,'Données projet'!$B$166,DO156+DN157-DW156)))</f>
        <v>292.80999999999995</v>
      </c>
      <c r="DP157" s="17">
        <f>DO157*VLOOKUP('Données projet'!$B$14,Paramètres!$A$1:$I$89,3,0)*VLOOKUP('Données projet'!$B$14,Paramètres!$A$1:$I$89,5,0)</f>
        <v>296.90933999999999</v>
      </c>
      <c r="DQ157" s="13">
        <f t="shared" si="176"/>
        <v>70.528152442871558</v>
      </c>
      <c r="DR157" s="20">
        <f t="shared" si="177"/>
        <v>639.9536326713345</v>
      </c>
      <c r="DS157" s="59">
        <f t="shared" si="125"/>
        <v>933.28696600466787</v>
      </c>
      <c r="DT157" s="59">
        <f ca="1">AVERAGE(OFFSET($DS$3,0,0,'Données projet'!$E$14+1,1))-AVERAGE(OFFSET($H$3,0,0,'Données projet'!$E$14+1,1))</f>
        <v>778.88878505968955</v>
      </c>
      <c r="DU157" s="59">
        <f t="shared" si="152"/>
        <v>279.20782832611059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300.02055459627746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300.02055459627746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369.00000000000011</v>
      </c>
      <c r="O158" s="13">
        <f>N158*VLOOKUP('Données projet'!$B$9,Paramètres!$A$1:$I$89,3,0)*VLOOKUP('Données projet'!$B$9,Paramètres!$A$1:$I$89,5,0)</f>
        <v>333.87120000000004</v>
      </c>
      <c r="P158" s="13">
        <f t="shared" si="141"/>
        <v>78.232360111376309</v>
      </c>
      <c r="Q158" s="20">
        <f t="shared" si="162"/>
        <v>717.74703386064709</v>
      </c>
      <c r="R158" s="59">
        <f t="shared" si="109"/>
        <v>1011.0803671939805</v>
      </c>
      <c r="S158" s="59">
        <f ca="1">AVERAGE(OFFSET($R$3,0,0,'Données projet'!$E$9+1,1))-AVERAGE(OFFSET($H$3,0,0,'Données projet'!$E$9+1,1))</f>
        <v>436.4497226650281</v>
      </c>
      <c r="T158" s="59">
        <f t="shared" si="142"/>
        <v>611.43967996341871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0.88923536251701896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0.88923536251701896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630</v>
      </c>
      <c r="AJ158" s="13">
        <f>AI158*VLOOKUP('Données projet'!$B$10,Paramètres!$A$1:$I$89,3,0)*VLOOKUP('Données projet'!$B$10,Paramètres!$A$1:$I$89,5,0)</f>
        <v>550.36800000000005</v>
      </c>
      <c r="AK158" s="13">
        <f t="shared" si="164"/>
        <v>121.67271812244785</v>
      </c>
      <c r="AL158" s="20">
        <f t="shared" si="165"/>
        <v>1170.4709173965966</v>
      </c>
      <c r="AM158" s="59">
        <f t="shared" si="113"/>
        <v>1463.8042507299299</v>
      </c>
      <c r="AN158" s="59">
        <f ca="1">AVERAGE(OFFSET($AM$3,0,0,'Données projet'!$E$10+1,1))-AVERAGE(OFFSET($H$3,0,0,'Données projet'!$E$10+1,1))</f>
        <v>662.13838733542616</v>
      </c>
      <c r="AO158" s="59">
        <f t="shared" si="144"/>
        <v>1194.915361841041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4.7800000000008822</v>
      </c>
      <c r="BE158" s="13">
        <f>BD158*VLOOKUP('Données projet'!$B$11,Paramètres!$A$1:$I$89,3,0)*VLOOKUP('Données projet'!$B$11,Paramètres!$A$1:$I$89,5,0)</f>
        <v>2.2370400000004129</v>
      </c>
      <c r="BF158" s="13">
        <f t="shared" si="167"/>
        <v>0.9386934556823372</v>
      </c>
      <c r="BG158" s="20">
        <f t="shared" si="168"/>
        <v>5.5310691019807896</v>
      </c>
      <c r="BH158" s="59">
        <f t="shared" si="116"/>
        <v>298.8644024353141</v>
      </c>
      <c r="BI158" s="59">
        <f ca="1">AVERAGE(OFFSET($BH$3,0,0,'Données projet'!$E$11+1,1))-AVERAGE(OFFSET($H$3,0,0,'Données projet'!$E$11+1,1))</f>
        <v>321.82962838167799</v>
      </c>
      <c r="BJ158" s="59">
        <f t="shared" si="146"/>
        <v>243.43396255104295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112.65125454393439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112.65125454393439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187.80389738728508</v>
      </c>
      <c r="CE158" s="59">
        <f t="shared" si="148"/>
        <v>439.28159165815265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10.389496752472112</v>
      </c>
      <c r="CL158" s="21">
        <f>EXP(-LN(2)/25)*CL157+(1-EXP(-LN(2)/25))/(LN(2)/25)*Calculateur!CG158*Calculateur!CI158*VLOOKUP('Données projet'!$B$12,Paramètres!$A$1:$I$89,3,0)*0.475*44/12</f>
        <v>0.44929092493717193</v>
      </c>
      <c r="CM158" s="21">
        <f>EXP(-LN(2)/2)*CM157+(1-EXP(-LN(2)/2))/(LN(2)/2)*CG158*CJ158*VLOOKUP('Données projet'!$B$12,Paramètres!$A$1:$I$89,3,0)*0.475*44/12</f>
        <v>6.8939947804595765E-21</v>
      </c>
      <c r="CN158" s="22">
        <f t="shared" si="172"/>
        <v>10.838787677409284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8.8960000000000043</v>
      </c>
      <c r="CT158" s="12">
        <f>IF('Données projet'!$A$140&gt;35,CT157+CS158-DB157,IF(A158&lt;'Données projet'!$A$140,$CQ$205^A158,IF(A158='Données projet'!$A$140,'Données projet'!$B$140,CT157+CS158-DB157)))</f>
        <v>500.25600000000009</v>
      </c>
      <c r="CU158" s="17">
        <f>CT158*VLOOKUP('Données projet'!$B$13,Paramètres!$A$1:$I$89,3,0)*VLOOKUP('Données projet'!$B$13,Paramètres!$A$1:$I$89,5,0)</f>
        <v>569.69153280000012</v>
      </c>
      <c r="CV158" s="13">
        <f t="shared" si="173"/>
        <v>125.43980232105393</v>
      </c>
      <c r="CW158" s="20">
        <f t="shared" si="174"/>
        <v>1210.6870753358355</v>
      </c>
      <c r="CX158" s="59">
        <f t="shared" si="122"/>
        <v>1504.0204086691688</v>
      </c>
      <c r="CY158" s="59">
        <f ca="1">AVERAGE(OFFSET($CX$3,0,0,'Données projet'!$E$13+1,1))-AVERAGE(OFFSET($H$3,0,0,'Données projet'!$E$13+1,1))</f>
        <v>770.11410336045037</v>
      </c>
      <c r="CZ158" s="59">
        <f t="shared" si="150"/>
        <v>227.12611049004596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150.4213510829907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150.4213510829907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-0.93999999999999773</v>
      </c>
      <c r="DO158" s="12">
        <f>IF('Données projet'!$A$166&gt;35,DO157+DN158-DW157,IF(A158&lt;'Données projet'!$A$166,$DL$205^A158,IF(A158='Données projet'!$A$166,'Données projet'!$B$166,DO157+DN158-DW157)))</f>
        <v>291.86999999999995</v>
      </c>
      <c r="DP158" s="17">
        <f>DO158*VLOOKUP('Données projet'!$B$14,Paramètres!$A$1:$I$89,3,0)*VLOOKUP('Données projet'!$B$14,Paramètres!$A$1:$I$89,5,0)</f>
        <v>295.95617999999996</v>
      </c>
      <c r="DQ158" s="13">
        <f t="shared" si="176"/>
        <v>70.328055065916899</v>
      </c>
      <c r="DR158" s="20">
        <f t="shared" si="177"/>
        <v>637.9450427398051</v>
      </c>
      <c r="DS158" s="59">
        <f t="shared" si="125"/>
        <v>931.27837607313836</v>
      </c>
      <c r="DT158" s="59">
        <f ca="1">AVERAGE(OFFSET($DS$3,0,0,'Données projet'!$E$14+1,1))-AVERAGE(OFFSET($H$3,0,0,'Données projet'!$E$14+1,1))</f>
        <v>778.88878505968955</v>
      </c>
      <c r="DU158" s="59">
        <f t="shared" si="152"/>
        <v>279.20782832611059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294.13733451511354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294.13733451511354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369.00000000000011</v>
      </c>
      <c r="O159" s="13">
        <f>N159*VLOOKUP('Données projet'!$B$9,Paramètres!$A$1:$I$89,3,0)*VLOOKUP('Données projet'!$B$9,Paramètres!$A$1:$I$89,5,0)</f>
        <v>333.87120000000004</v>
      </c>
      <c r="P159" s="13">
        <f t="shared" si="141"/>
        <v>78.232360111376309</v>
      </c>
      <c r="Q159" s="20">
        <f t="shared" si="162"/>
        <v>717.74703386064709</v>
      </c>
      <c r="R159" s="59">
        <f t="shared" si="109"/>
        <v>1011.0803671939805</v>
      </c>
      <c r="S159" s="59">
        <f ca="1">AVERAGE(OFFSET($R$3,0,0,'Données projet'!$E$9+1,1))-AVERAGE(OFFSET($H$3,0,0,'Données projet'!$E$9+1,1))</f>
        <v>436.4497226650281</v>
      </c>
      <c r="T159" s="59">
        <f t="shared" si="142"/>
        <v>611.43967996341871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0.87179799943807579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0.87179799943807579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630</v>
      </c>
      <c r="AJ159" s="13">
        <f>AI159*VLOOKUP('Données projet'!$B$10,Paramètres!$A$1:$I$89,3,0)*VLOOKUP('Données projet'!$B$10,Paramètres!$A$1:$I$89,5,0)</f>
        <v>550.36800000000005</v>
      </c>
      <c r="AK159" s="13">
        <f t="shared" si="164"/>
        <v>121.67271812244785</v>
      </c>
      <c r="AL159" s="20">
        <f t="shared" si="165"/>
        <v>1170.4709173965966</v>
      </c>
      <c r="AM159" s="59">
        <f t="shared" si="113"/>
        <v>1463.8042507299299</v>
      </c>
      <c r="AN159" s="59">
        <f ca="1">AVERAGE(OFFSET($AM$3,0,0,'Données projet'!$E$10+1,1))-AVERAGE(OFFSET($H$3,0,0,'Données projet'!$E$10+1,1))</f>
        <v>662.13838733542616</v>
      </c>
      <c r="AO159" s="59">
        <f t="shared" si="144"/>
        <v>1194.915361841041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4.7800000000008822</v>
      </c>
      <c r="BE159" s="13">
        <f>BD159*VLOOKUP('Données projet'!$B$11,Paramètres!$A$1:$I$89,3,0)*VLOOKUP('Données projet'!$B$11,Paramètres!$A$1:$I$89,5,0)</f>
        <v>2.2370400000004129</v>
      </c>
      <c r="BF159" s="13">
        <f t="shared" si="167"/>
        <v>0.9386934556823372</v>
      </c>
      <c r="BG159" s="20">
        <f t="shared" si="168"/>
        <v>5.5310691019807896</v>
      </c>
      <c r="BH159" s="59">
        <f t="shared" si="116"/>
        <v>298.8644024353141</v>
      </c>
      <c r="BI159" s="59">
        <f ca="1">AVERAGE(OFFSET($BH$3,0,0,'Données projet'!$E$11+1,1))-AVERAGE(OFFSET($H$3,0,0,'Données projet'!$E$11+1,1))</f>
        <v>321.82962838167799</v>
      </c>
      <c r="BJ159" s="59">
        <f t="shared" si="146"/>
        <v>243.43396255104295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110.4422321528085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110.4422321528085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187.80389738728508</v>
      </c>
      <c r="CE159" s="59">
        <f t="shared" si="148"/>
        <v>439.28159165815265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10.18576505812343</v>
      </c>
      <c r="CL159" s="21">
        <f>EXP(-LN(2)/25)*CL158+(1-EXP(-LN(2)/25))/(LN(2)/25)*Calculateur!CG159*Calculateur!CI159*VLOOKUP('Données projet'!$B$12,Paramètres!$A$1:$I$89,3,0)*0.475*44/12</f>
        <v>0.43700504096758208</v>
      </c>
      <c r="CM159" s="21">
        <f>EXP(-LN(2)/2)*CM158+(1-EXP(-LN(2)/2))/(LN(2)/2)*CG159*CJ159*VLOOKUP('Données projet'!$B$12,Paramètres!$A$1:$I$89,3,0)*0.475*44/12</f>
        <v>4.8747904587276305E-21</v>
      </c>
      <c r="CN159" s="22">
        <f t="shared" si="172"/>
        <v>10.622770099091012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8.8960000000000043</v>
      </c>
      <c r="CT159" s="12">
        <f>IF('Données projet'!$A$140&gt;35,CT158+CS159-DB158,IF(A159&lt;'Données projet'!$A$140,$CQ$205^A159,IF(A159='Données projet'!$A$140,'Données projet'!$B$140,CT158+CS159-DB158)))</f>
        <v>509.1520000000001</v>
      </c>
      <c r="CU159" s="17">
        <f>CT159*VLOOKUP('Données projet'!$B$13,Paramètres!$A$1:$I$89,3,0)*VLOOKUP('Données projet'!$B$13,Paramètres!$A$1:$I$89,5,0)</f>
        <v>579.82229760000018</v>
      </c>
      <c r="CV159" s="13">
        <f t="shared" si="173"/>
        <v>127.40880711666335</v>
      </c>
      <c r="CW159" s="20">
        <f t="shared" si="174"/>
        <v>1231.7608407148557</v>
      </c>
      <c r="CX159" s="59">
        <f t="shared" si="122"/>
        <v>1525.094174048189</v>
      </c>
      <c r="CY159" s="59">
        <f ca="1">AVERAGE(OFFSET($CX$3,0,0,'Données projet'!$E$13+1,1))-AVERAGE(OFFSET($H$3,0,0,'Données projet'!$E$13+1,1))</f>
        <v>770.11410336045037</v>
      </c>
      <c r="CZ159" s="59">
        <f t="shared" si="150"/>
        <v>227.12611049004596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147.47168013621805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147.47168013621805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>
        <f>VLOOKUP(A159,'Données projet'!$A$165:$I$185,2,0)</f>
        <v>290.93</v>
      </c>
      <c r="DM159" s="12">
        <f>VLOOKUP(A159,'Données projet'!$A$165:$I$185,9,0)</f>
        <v>-0.93999999999999773</v>
      </c>
      <c r="DN159" s="12">
        <f t="array" ref="DN159">INDEX(DM:DM,MIN(IF(ISNUMBER(DM159:DM355),ROW(DM159:DM355),"")))</f>
        <v>-0.93999999999999773</v>
      </c>
      <c r="DO159" s="12">
        <f>IF('Données projet'!$A$166&gt;35,DO158+DN159-DW158,IF(A159&lt;'Données projet'!$A$166,$DL$205^A159,IF(A159='Données projet'!$A$166,'Données projet'!$B$166,DO158+DN159-DW158)))</f>
        <v>290.92999999999995</v>
      </c>
      <c r="DP159" s="17">
        <f>DO159*VLOOKUP('Données projet'!$B$14,Paramètres!$A$1:$I$89,3,0)*VLOOKUP('Données projet'!$B$14,Paramètres!$A$1:$I$89,5,0)</f>
        <v>295.00301999999999</v>
      </c>
      <c r="DQ159" s="13">
        <f t="shared" si="176"/>
        <v>70.127882662412929</v>
      </c>
      <c r="DR159" s="20">
        <f t="shared" si="177"/>
        <v>635.93632213703586</v>
      </c>
      <c r="DS159" s="59">
        <f t="shared" si="125"/>
        <v>929.26965547036912</v>
      </c>
      <c r="DT159" s="59">
        <f ca="1">AVERAGE(OFFSET($DS$3,0,0,'Données projet'!$E$14+1,1))-AVERAGE(OFFSET($H$3,0,0,'Données projet'!$E$14+1,1))</f>
        <v>778.88878505968955</v>
      </c>
      <c r="DU159" s="59">
        <f t="shared" si="152"/>
        <v>279.20782832611059</v>
      </c>
      <c r="DV159" s="15">
        <f>IF(ISNA(VLOOKUP(A159,'Données projet'!$A$165:$I$185,3,0)),0,VLOOKUP(A159,'Données projet'!$A$165:$I$185,3,0))</f>
        <v>16</v>
      </c>
      <c r="DW159" s="15">
        <f>IF(ISNA(VLOOKUP(A159,'Données projet'!$A$165:$I$185,4,0)),0,VLOOKUP(A159,'Données projet'!$A$165:$I$185,4,0))</f>
        <v>87.28</v>
      </c>
      <c r="DX159" s="16">
        <f>IF(ISNA(VLOOKUP(A159,'Données projet'!$A$165:$I$185,5,0)),0%,VLOOKUP(A159,'Données projet'!$A$165:$I$185,5,0)*VLOOKUP('Données projet'!$B$14,Paramètres!$A$1:$I$89,7,0))</f>
        <v>0.43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330.43906876080308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330.43906876080308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369.00000000000011</v>
      </c>
      <c r="O160" s="13">
        <f>N160*VLOOKUP('Données projet'!$B$9,Paramètres!$A$1:$I$89,3,0)*VLOOKUP('Données projet'!$B$9,Paramètres!$A$1:$I$89,5,0)</f>
        <v>333.87120000000004</v>
      </c>
      <c r="P160" s="13">
        <f t="shared" si="141"/>
        <v>78.232360111376309</v>
      </c>
      <c r="Q160" s="20">
        <f t="shared" si="162"/>
        <v>717.74703386064709</v>
      </c>
      <c r="R160" s="59">
        <f t="shared" si="109"/>
        <v>1011.0803671939805</v>
      </c>
      <c r="S160" s="59">
        <f ca="1">AVERAGE(OFFSET($R$3,0,0,'Données projet'!$E$9+1,1))-AVERAGE(OFFSET($H$3,0,0,'Données projet'!$E$9+1,1))</f>
        <v>436.4497226650281</v>
      </c>
      <c r="T160" s="59">
        <f t="shared" si="142"/>
        <v>611.43967996341871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0.85470257241336944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0.85470257241336944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630</v>
      </c>
      <c r="AJ160" s="13">
        <f>AI160*VLOOKUP('Données projet'!$B$10,Paramètres!$A$1:$I$89,3,0)*VLOOKUP('Données projet'!$B$10,Paramètres!$A$1:$I$89,5,0)</f>
        <v>550.36800000000005</v>
      </c>
      <c r="AK160" s="13">
        <f t="shared" si="164"/>
        <v>121.67271812244785</v>
      </c>
      <c r="AL160" s="20">
        <f t="shared" si="165"/>
        <v>1170.4709173965966</v>
      </c>
      <c r="AM160" s="59">
        <f t="shared" si="113"/>
        <v>1463.8042507299299</v>
      </c>
      <c r="AN160" s="59">
        <f ca="1">AVERAGE(OFFSET($AM$3,0,0,'Données projet'!$E$10+1,1))-AVERAGE(OFFSET($H$3,0,0,'Données projet'!$E$10+1,1))</f>
        <v>662.13838733542616</v>
      </c>
      <c r="AO160" s="59">
        <f t="shared" si="144"/>
        <v>1194.915361841041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4.7800000000008822</v>
      </c>
      <c r="BE160" s="13">
        <f>BD160*VLOOKUP('Données projet'!$B$11,Paramètres!$A$1:$I$89,3,0)*VLOOKUP('Données projet'!$B$11,Paramètres!$A$1:$I$89,5,0)</f>
        <v>2.2370400000004129</v>
      </c>
      <c r="BF160" s="13">
        <f t="shared" si="167"/>
        <v>0.9386934556823372</v>
      </c>
      <c r="BG160" s="20">
        <f t="shared" si="168"/>
        <v>5.5310691019807896</v>
      </c>
      <c r="BH160" s="59">
        <f t="shared" si="116"/>
        <v>298.8644024353141</v>
      </c>
      <c r="BI160" s="59">
        <f ca="1">AVERAGE(OFFSET($BH$3,0,0,'Données projet'!$E$11+1,1))-AVERAGE(OFFSET($H$3,0,0,'Données projet'!$E$11+1,1))</f>
        <v>321.82962838167799</v>
      </c>
      <c r="BJ160" s="59">
        <f t="shared" si="146"/>
        <v>243.43396255104295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108.27652734340198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108.27652734340198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187.80389738728508</v>
      </c>
      <c r="CE160" s="59">
        <f t="shared" si="148"/>
        <v>439.28159165815265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9.9860284180368613</v>
      </c>
      <c r="CL160" s="21">
        <f>EXP(-LN(2)/25)*CL159+(1-EXP(-LN(2)/25))/(LN(2)/25)*Calculateur!CG160*Calculateur!CI160*VLOOKUP('Données projet'!$B$12,Paramètres!$A$1:$I$89,3,0)*0.475*44/12</f>
        <v>0.42505511514122724</v>
      </c>
      <c r="CM160" s="21">
        <f>EXP(-LN(2)/2)*CM159+(1-EXP(-LN(2)/2))/(LN(2)/2)*CG160*CJ160*VLOOKUP('Données projet'!$B$12,Paramètres!$A$1:$I$89,3,0)*0.475*44/12</f>
        <v>3.4469973902297883E-21</v>
      </c>
      <c r="CN160" s="22">
        <f t="shared" si="172"/>
        <v>10.411083533178088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8.8960000000000043</v>
      </c>
      <c r="CT160" s="12">
        <f>IF('Données projet'!$A$140&gt;35,CT159+CS160-DB159,IF(A160&lt;'Données projet'!$A$140,$CQ$205^A160,IF(A160='Données projet'!$A$140,'Données projet'!$B$140,CT159+CS160-DB159)))</f>
        <v>518.04800000000012</v>
      </c>
      <c r="CU160" s="17">
        <f>CT160*VLOOKUP('Données projet'!$B$13,Paramètres!$A$1:$I$89,3,0)*VLOOKUP('Données projet'!$B$13,Paramètres!$A$1:$I$89,5,0)</f>
        <v>589.95306240000014</v>
      </c>
      <c r="CV160" s="13">
        <f t="shared" si="173"/>
        <v>129.37381127769223</v>
      </c>
      <c r="CW160" s="20">
        <f t="shared" si="174"/>
        <v>1252.8276383219807</v>
      </c>
      <c r="CX160" s="59">
        <f t="shared" si="122"/>
        <v>1546.1609716553139</v>
      </c>
      <c r="CY160" s="59">
        <f ca="1">AVERAGE(OFFSET($CX$3,0,0,'Données projet'!$E$13+1,1))-AVERAGE(OFFSET($H$3,0,0,'Données projet'!$E$13+1,1))</f>
        <v>770.11410336045037</v>
      </c>
      <c r="CZ160" s="59">
        <f t="shared" si="150"/>
        <v>227.12611049004596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144.57985043758998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144.57985043758998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-0.7233333333333386</v>
      </c>
      <c r="DO160" s="12">
        <f>IF('Données projet'!$A$166&gt;35,DO159+DN160-DW159,IF(A160&lt;'Données projet'!$A$166,$DL$205^A160,IF(A160='Données projet'!$A$166,'Données projet'!$B$166,DO159+DN160-DW159)))</f>
        <v>202.92666666666659</v>
      </c>
      <c r="DP160" s="17">
        <f>DO160*VLOOKUP('Données projet'!$B$14,Paramètres!$A$1:$I$89,3,0)*VLOOKUP('Données projet'!$B$14,Paramètres!$A$1:$I$89,5,0)</f>
        <v>205.76763999999997</v>
      </c>
      <c r="DQ160" s="13">
        <f t="shared" si="176"/>
        <v>51.009615477796629</v>
      </c>
      <c r="DR160" s="20">
        <f t="shared" si="177"/>
        <v>447.22038662382903</v>
      </c>
      <c r="DS160" s="59">
        <f t="shared" si="125"/>
        <v>740.55371995716234</v>
      </c>
      <c r="DT160" s="59">
        <f ca="1">AVERAGE(OFFSET($DS$3,0,0,'Données projet'!$E$14+1,1))-AVERAGE(OFFSET($H$3,0,0,'Données projet'!$E$14+1,1))</f>
        <v>778.88878505968955</v>
      </c>
      <c r="DU160" s="59">
        <f t="shared" si="152"/>
        <v>279.20782832611059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323.95936017033449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323.95936017033449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369.00000000000011</v>
      </c>
      <c r="O161" s="13">
        <f>N161*VLOOKUP('Données projet'!$B$9,Paramètres!$A$1:$I$89,3,0)*VLOOKUP('Données projet'!$B$9,Paramètres!$A$1:$I$89,5,0)</f>
        <v>333.87120000000004</v>
      </c>
      <c r="P161" s="13">
        <f t="shared" si="141"/>
        <v>78.232360111376309</v>
      </c>
      <c r="Q161" s="20">
        <f t="shared" si="162"/>
        <v>717.74703386064709</v>
      </c>
      <c r="R161" s="59">
        <f t="shared" si="109"/>
        <v>1011.0803671939805</v>
      </c>
      <c r="S161" s="59">
        <f ca="1">AVERAGE(OFFSET($R$3,0,0,'Données projet'!$E$9+1,1))-AVERAGE(OFFSET($H$3,0,0,'Données projet'!$E$9+1,1))</f>
        <v>436.4497226650281</v>
      </c>
      <c r="T161" s="59">
        <f t="shared" si="142"/>
        <v>611.43967996341871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0.83794237628543666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0.83794237628543666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630</v>
      </c>
      <c r="AJ161" s="13">
        <f>AI161*VLOOKUP('Données projet'!$B$10,Paramètres!$A$1:$I$89,3,0)*VLOOKUP('Données projet'!$B$10,Paramètres!$A$1:$I$89,5,0)</f>
        <v>550.36800000000005</v>
      </c>
      <c r="AK161" s="13">
        <f t="shared" si="164"/>
        <v>121.67271812244785</v>
      </c>
      <c r="AL161" s="20">
        <f t="shared" si="165"/>
        <v>1170.4709173965966</v>
      </c>
      <c r="AM161" s="59">
        <f t="shared" si="113"/>
        <v>1463.8042507299299</v>
      </c>
      <c r="AN161" s="59">
        <f ca="1">AVERAGE(OFFSET($AM$3,0,0,'Données projet'!$E$10+1,1))-AVERAGE(OFFSET($H$3,0,0,'Données projet'!$E$10+1,1))</f>
        <v>662.13838733542616</v>
      </c>
      <c r="AO161" s="59">
        <f t="shared" si="144"/>
        <v>1194.915361841041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4.7800000000008822</v>
      </c>
      <c r="BE161" s="13">
        <f>BD161*VLOOKUP('Données projet'!$B$11,Paramètres!$A$1:$I$89,3,0)*VLOOKUP('Données projet'!$B$11,Paramètres!$A$1:$I$89,5,0)</f>
        <v>2.2370400000004129</v>
      </c>
      <c r="BF161" s="13">
        <f t="shared" si="167"/>
        <v>0.9386934556823372</v>
      </c>
      <c r="BG161" s="20">
        <f t="shared" si="168"/>
        <v>5.5310691019807896</v>
      </c>
      <c r="BH161" s="59">
        <f t="shared" si="116"/>
        <v>298.8644024353141</v>
      </c>
      <c r="BI161" s="59">
        <f ca="1">AVERAGE(OFFSET($BH$3,0,0,'Données projet'!$E$11+1,1))-AVERAGE(OFFSET($H$3,0,0,'Données projet'!$E$11+1,1))</f>
        <v>321.82962838167799</v>
      </c>
      <c r="BJ161" s="59">
        <f t="shared" si="146"/>
        <v>243.43396255104295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106.15329068435842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106.15329068435842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187.80389738728508</v>
      </c>
      <c r="CE161" s="59">
        <f t="shared" si="148"/>
        <v>439.28159165815265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9.7902084916350702</v>
      </c>
      <c r="CL161" s="21">
        <f>EXP(-LN(2)/25)*CL160+(1-EXP(-LN(2)/25))/(LN(2)/25)*Calculateur!CG161*Calculateur!CI161*VLOOKUP('Données projet'!$B$12,Paramètres!$A$1:$I$89,3,0)*0.475*44/12</f>
        <v>0.41343196066501336</v>
      </c>
      <c r="CM161" s="21">
        <f>EXP(-LN(2)/2)*CM160+(1-EXP(-LN(2)/2))/(LN(2)/2)*CG161*CJ161*VLOOKUP('Données projet'!$B$12,Paramètres!$A$1:$I$89,3,0)*0.475*44/12</f>
        <v>2.4373952293638153E-21</v>
      </c>
      <c r="CN161" s="22">
        <f t="shared" si="172"/>
        <v>10.203640452300084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8.8960000000000043</v>
      </c>
      <c r="CT161" s="12">
        <f>IF('Données projet'!$A$140&gt;35,CT160+CS161-DB160,IF(A161&lt;'Données projet'!$A$140,$CQ$205^A161,IF(A161='Données projet'!$A$140,'Données projet'!$B$140,CT160+CS161-DB160)))</f>
        <v>526.94400000000007</v>
      </c>
      <c r="CU161" s="17">
        <f>CT161*VLOOKUP('Données projet'!$B$13,Paramètres!$A$1:$I$89,3,0)*VLOOKUP('Données projet'!$B$13,Paramètres!$A$1:$I$89,5,0)</f>
        <v>600.08382720000009</v>
      </c>
      <c r="CV161" s="13">
        <f t="shared" si="173"/>
        <v>131.33489143126695</v>
      </c>
      <c r="CW161" s="20">
        <f t="shared" si="174"/>
        <v>1273.8876016161232</v>
      </c>
      <c r="CX161" s="59">
        <f t="shared" si="122"/>
        <v>1567.2209349494565</v>
      </c>
      <c r="CY161" s="59">
        <f ca="1">AVERAGE(OFFSET($CX$3,0,0,'Données projet'!$E$13+1,1))-AVERAGE(OFFSET($H$3,0,0,'Données projet'!$E$13+1,1))</f>
        <v>770.11410336045037</v>
      </c>
      <c r="CZ161" s="59">
        <f t="shared" si="150"/>
        <v>227.12611049004596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141.74472775551007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141.74472775551007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-0.7233333333333386</v>
      </c>
      <c r="DO161" s="12">
        <f>IF('Données projet'!$A$166&gt;35,DO160+DN161-DW160,IF(A161&lt;'Données projet'!$A$166,$DL$205^A161,IF(A161='Données projet'!$A$166,'Données projet'!$B$166,DO160+DN161-DW160)))</f>
        <v>202.20333333333326</v>
      </c>
      <c r="DP161" s="17">
        <f>DO161*VLOOKUP('Données projet'!$B$14,Paramètres!$A$1:$I$89,3,0)*VLOOKUP('Données projet'!$B$14,Paramètres!$A$1:$I$89,5,0)</f>
        <v>205.03417999999996</v>
      </c>
      <c r="DQ161" s="13">
        <f t="shared" si="176"/>
        <v>50.848922343722315</v>
      </c>
      <c r="DR161" s="20">
        <f t="shared" si="177"/>
        <v>445.66306991531627</v>
      </c>
      <c r="DS161" s="59">
        <f t="shared" si="125"/>
        <v>738.99640324864959</v>
      </c>
      <c r="DT161" s="59">
        <f ca="1">AVERAGE(OFFSET($DS$3,0,0,'Données projet'!$E$14+1,1))-AVERAGE(OFFSET($H$3,0,0,'Données projet'!$E$14+1,1))</f>
        <v>778.88878505968955</v>
      </c>
      <c r="DU161" s="59">
        <f t="shared" si="152"/>
        <v>279.20782832611059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317.60671471309297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317.60671471309297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369.00000000000011</v>
      </c>
      <c r="O162" s="13">
        <f>N162*VLOOKUP('Données projet'!$B$9,Paramètres!$A$1:$I$89,3,0)*VLOOKUP('Données projet'!$B$9,Paramètres!$A$1:$I$89,5,0)</f>
        <v>333.87120000000004</v>
      </c>
      <c r="P162" s="13">
        <f t="shared" si="141"/>
        <v>78.232360111376309</v>
      </c>
      <c r="Q162" s="20">
        <f t="shared" si="162"/>
        <v>717.74703386064709</v>
      </c>
      <c r="R162" s="59">
        <f t="shared" si="109"/>
        <v>1011.0803671939805</v>
      </c>
      <c r="S162" s="59">
        <f ca="1">AVERAGE(OFFSET($R$3,0,0,'Données projet'!$E$9+1,1))-AVERAGE(OFFSET($H$3,0,0,'Données projet'!$E$9+1,1))</f>
        <v>436.4497226650281</v>
      </c>
      <c r="T162" s="59">
        <f t="shared" si="142"/>
        <v>611.43967996341871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0.82151083738086239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0.82151083738086239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630</v>
      </c>
      <c r="AJ162" s="13">
        <f>AI162*VLOOKUP('Données projet'!$B$10,Paramètres!$A$1:$I$89,3,0)*VLOOKUP('Données projet'!$B$10,Paramètres!$A$1:$I$89,5,0)</f>
        <v>550.36800000000005</v>
      </c>
      <c r="AK162" s="13">
        <f t="shared" si="164"/>
        <v>121.67271812244785</v>
      </c>
      <c r="AL162" s="20">
        <f t="shared" si="165"/>
        <v>1170.4709173965966</v>
      </c>
      <c r="AM162" s="59">
        <f t="shared" si="113"/>
        <v>1463.8042507299299</v>
      </c>
      <c r="AN162" s="59">
        <f ca="1">AVERAGE(OFFSET($AM$3,0,0,'Données projet'!$E$10+1,1))-AVERAGE(OFFSET($H$3,0,0,'Données projet'!$E$10+1,1))</f>
        <v>662.13838733542616</v>
      </c>
      <c r="AO162" s="59">
        <f t="shared" si="144"/>
        <v>1194.915361841041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4.7800000000008822</v>
      </c>
      <c r="BE162" s="13">
        <f>BD162*VLOOKUP('Données projet'!$B$11,Paramètres!$A$1:$I$89,3,0)*VLOOKUP('Données projet'!$B$11,Paramètres!$A$1:$I$89,5,0)</f>
        <v>2.2370400000004129</v>
      </c>
      <c r="BF162" s="13">
        <f t="shared" si="167"/>
        <v>0.9386934556823372</v>
      </c>
      <c r="BG162" s="20">
        <f t="shared" si="168"/>
        <v>5.5310691019807896</v>
      </c>
      <c r="BH162" s="59">
        <f t="shared" si="116"/>
        <v>298.8644024353141</v>
      </c>
      <c r="BI162" s="59">
        <f ca="1">AVERAGE(OFFSET($BH$3,0,0,'Données projet'!$E$11+1,1))-AVERAGE(OFFSET($H$3,0,0,'Données projet'!$E$11+1,1))</f>
        <v>321.82962838167799</v>
      </c>
      <c r="BJ162" s="59">
        <f t="shared" si="146"/>
        <v>243.43396255104295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104.07168940115223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104.07168940115223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187.80389738728508</v>
      </c>
      <c r="CE162" s="59">
        <f t="shared" si="148"/>
        <v>439.28159165815265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9.5982284745516555</v>
      </c>
      <c r="CL162" s="21">
        <f>EXP(-LN(2)/25)*CL161+(1-EXP(-LN(2)/25))/(LN(2)/25)*Calculateur!CG162*Calculateur!CI162*VLOOKUP('Données projet'!$B$12,Paramètres!$A$1:$I$89,3,0)*0.475*44/12</f>
        <v>0.40212664195918668</v>
      </c>
      <c r="CM162" s="21">
        <f>EXP(-LN(2)/2)*CM161+(1-EXP(-LN(2)/2))/(LN(2)/2)*CG162*CJ162*VLOOKUP('Données projet'!$B$12,Paramètres!$A$1:$I$89,3,0)*0.475*44/12</f>
        <v>1.7234986951148941E-21</v>
      </c>
      <c r="CN162" s="22">
        <f t="shared" si="172"/>
        <v>10.000355116510843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8.8960000000000043</v>
      </c>
      <c r="CT162" s="12">
        <f>IF('Données projet'!$A$140&gt;35,CT161+CS162-DB161,IF(A162&lt;'Données projet'!$A$140,$CQ$205^A162,IF(A162='Données projet'!$A$140,'Données projet'!$B$140,CT161+CS162-DB161)))</f>
        <v>535.84</v>
      </c>
      <c r="CU162" s="17">
        <f>CT162*VLOOKUP('Données projet'!$B$13,Paramètres!$A$1:$I$89,3,0)*VLOOKUP('Données projet'!$B$13,Paramètres!$A$1:$I$89,5,0)</f>
        <v>610.21459200000004</v>
      </c>
      <c r="CV162" s="13">
        <f t="shared" si="173"/>
        <v>133.2921214689573</v>
      </c>
      <c r="CW162" s="20">
        <f t="shared" si="174"/>
        <v>1294.9408592917673</v>
      </c>
      <c r="CX162" s="59">
        <f t="shared" si="122"/>
        <v>1588.2741926251006</v>
      </c>
      <c r="CY162" s="59">
        <f ca="1">AVERAGE(OFFSET($CX$3,0,0,'Données projet'!$E$13+1,1))-AVERAGE(OFFSET($H$3,0,0,'Données projet'!$E$13+1,1))</f>
        <v>770.11410336045037</v>
      </c>
      <c r="CZ162" s="59">
        <f t="shared" si="150"/>
        <v>227.12611049004596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138.96520009997164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138.96520009997164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>
        <f>VLOOKUP(A162,'Données projet'!$A$165:$I$185,2,0)</f>
        <v>201.48</v>
      </c>
      <c r="DM162" s="12">
        <f>VLOOKUP(A162,'Données projet'!$A$165:$I$185,9,0)</f>
        <v>-0.7233333333333386</v>
      </c>
      <c r="DN162" s="12">
        <f t="array" ref="DN162">INDEX(DM:DM,MIN(IF(ISNUMBER(DM162:DM358),ROW(DM162:DM358),"")))</f>
        <v>-0.7233333333333386</v>
      </c>
      <c r="DO162" s="12">
        <f>IF('Données projet'!$A$166&gt;35,DO161+DN162-DW161,IF(A162&lt;'Données projet'!$A$166,$DL$205^A162,IF(A162='Données projet'!$A$166,'Données projet'!$B$166,DO161+DN162-DW161)))</f>
        <v>201.47999999999993</v>
      </c>
      <c r="DP162" s="17">
        <f>DO162*VLOOKUP('Données projet'!$B$14,Paramètres!$A$1:$I$89,3,0)*VLOOKUP('Données projet'!$B$14,Paramètres!$A$1:$I$89,5,0)</f>
        <v>204.30071999999996</v>
      </c>
      <c r="DQ162" s="13">
        <f t="shared" si="176"/>
        <v>50.688162284109914</v>
      </c>
      <c r="DR162" s="20">
        <f t="shared" si="177"/>
        <v>444.1056366448247</v>
      </c>
      <c r="DS162" s="59">
        <f t="shared" si="125"/>
        <v>737.43896997815796</v>
      </c>
      <c r="DT162" s="59">
        <f ca="1">AVERAGE(OFFSET($DS$3,0,0,'Données projet'!$E$14+1,1))-AVERAGE(OFFSET($H$3,0,0,'Données projet'!$E$14+1,1))</f>
        <v>778.88878505968955</v>
      </c>
      <c r="DU162" s="59">
        <f t="shared" si="152"/>
        <v>279.20782832611059</v>
      </c>
      <c r="DV162" s="15">
        <f>IF(ISNA(VLOOKUP(A162,'Données projet'!$A$165:$I$185,3,0)),0,VLOOKUP(A162,'Données projet'!$A$165:$I$185,3,0))</f>
        <v>17</v>
      </c>
      <c r="DW162" s="15">
        <f>IF(ISNA(VLOOKUP(A162,'Données projet'!$A$165:$I$185,4,0)),0,VLOOKUP(A162,'Données projet'!$A$165:$I$185,4,0))</f>
        <v>180.6</v>
      </c>
      <c r="DX162" s="16">
        <f>IF(ISNA(VLOOKUP(A162,'Données projet'!$A$165:$I$185,5,0)),0%,VLOOKUP(A162,'Données projet'!$A$165:$I$185,5,0)*VLOOKUP('Données projet'!$B$14,Paramètres!$A$1:$I$89,7,0))</f>
        <v>0.43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398.42914015457944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398.42914015457944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369.00000000000011</v>
      </c>
      <c r="O163" s="13">
        <f>N163*VLOOKUP('Données projet'!$B$9,Paramètres!$A$1:$I$89,3,0)*VLOOKUP('Données projet'!$B$9,Paramètres!$A$1:$I$89,5,0)</f>
        <v>333.87120000000004</v>
      </c>
      <c r="P163" s="13">
        <f t="shared" si="141"/>
        <v>78.232360111376309</v>
      </c>
      <c r="Q163" s="20">
        <f t="shared" si="162"/>
        <v>717.74703386064709</v>
      </c>
      <c r="R163" s="59">
        <f t="shared" si="109"/>
        <v>1011.0803671939805</v>
      </c>
      <c r="S163" s="59">
        <f ca="1">AVERAGE(OFFSET($R$3,0,0,'Données projet'!$E$9+1,1))-AVERAGE(OFFSET($H$3,0,0,'Données projet'!$E$9+1,1))</f>
        <v>436.4497226650281</v>
      </c>
      <c r="T163" s="59">
        <f t="shared" si="142"/>
        <v>611.43967996341871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0.80540151093195766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0.80540151093195766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630</v>
      </c>
      <c r="AJ163" s="13">
        <f>AI163*VLOOKUP('Données projet'!$B$10,Paramètres!$A$1:$I$89,3,0)*VLOOKUP('Données projet'!$B$10,Paramètres!$A$1:$I$89,5,0)</f>
        <v>550.36800000000005</v>
      </c>
      <c r="AK163" s="13">
        <f t="shared" si="164"/>
        <v>121.67271812244785</v>
      </c>
      <c r="AL163" s="20">
        <f t="shared" si="165"/>
        <v>1170.4709173965966</v>
      </c>
      <c r="AM163" s="59">
        <f t="shared" si="113"/>
        <v>1463.8042507299299</v>
      </c>
      <c r="AN163" s="59">
        <f ca="1">AVERAGE(OFFSET($AM$3,0,0,'Données projet'!$E$10+1,1))-AVERAGE(OFFSET($H$3,0,0,'Données projet'!$E$10+1,1))</f>
        <v>662.13838733542616</v>
      </c>
      <c r="AO163" s="59">
        <f t="shared" si="144"/>
        <v>1194.915361841041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4.7800000000008822</v>
      </c>
      <c r="BE163" s="13">
        <f>BD163*VLOOKUP('Données projet'!$B$11,Paramètres!$A$1:$I$89,3,0)*VLOOKUP('Données projet'!$B$11,Paramètres!$A$1:$I$89,5,0)</f>
        <v>2.2370400000004129</v>
      </c>
      <c r="BF163" s="13">
        <f t="shared" si="167"/>
        <v>0.9386934556823372</v>
      </c>
      <c r="BG163" s="20">
        <f t="shared" si="168"/>
        <v>5.5310691019807896</v>
      </c>
      <c r="BH163" s="59">
        <f t="shared" si="116"/>
        <v>298.8644024353141</v>
      </c>
      <c r="BI163" s="59">
        <f ca="1">AVERAGE(OFFSET($BH$3,0,0,'Données projet'!$E$11+1,1))-AVERAGE(OFFSET($H$3,0,0,'Données projet'!$E$11+1,1))</f>
        <v>321.82962838167799</v>
      </c>
      <c r="BJ163" s="59">
        <f t="shared" si="146"/>
        <v>243.43396255104295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102.03090704945829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102.03090704945829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187.80389738728508</v>
      </c>
      <c r="CE163" s="59">
        <f t="shared" si="148"/>
        <v>439.28159165815265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9.4100130685069985</v>
      </c>
      <c r="CL163" s="21">
        <f>EXP(-LN(2)/25)*CL162+(1-EXP(-LN(2)/25))/(LN(2)/25)*Calculateur!CG163*Calculateur!CI163*VLOOKUP('Données projet'!$B$12,Paramètres!$A$1:$I$89,3,0)*0.475*44/12</f>
        <v>0.39113046778789168</v>
      </c>
      <c r="CM163" s="21">
        <f>EXP(-LN(2)/2)*CM162+(1-EXP(-LN(2)/2))/(LN(2)/2)*CG163*CJ163*VLOOKUP('Données projet'!$B$12,Paramètres!$A$1:$I$89,3,0)*0.475*44/12</f>
        <v>1.2186976146819076E-21</v>
      </c>
      <c r="CN163" s="22">
        <f t="shared" si="172"/>
        <v>9.8011435362948909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8.8960000000000043</v>
      </c>
      <c r="CT163" s="12">
        <f>IF('Données projet'!$A$140&gt;35,CT162+CS163-DB162,IF(A163&lt;'Données projet'!$A$140,$CQ$205^A163,IF(A163='Données projet'!$A$140,'Données projet'!$B$140,CT162+CS163-DB162)))</f>
        <v>544.73599999999999</v>
      </c>
      <c r="CU163" s="17">
        <f>CT163*VLOOKUP('Données projet'!$B$13,Paramètres!$A$1:$I$89,3,0)*VLOOKUP('Données projet'!$B$13,Paramètres!$A$1:$I$89,5,0)</f>
        <v>620.34535679999999</v>
      </c>
      <c r="CV163" s="13">
        <f t="shared" si="173"/>
        <v>135.24557268819967</v>
      </c>
      <c r="CW163" s="20">
        <f t="shared" si="174"/>
        <v>1315.9875355252809</v>
      </c>
      <c r="CX163" s="59">
        <f t="shared" si="122"/>
        <v>1609.3208688586142</v>
      </c>
      <c r="CY163" s="59">
        <f ca="1">AVERAGE(OFFSET($CX$3,0,0,'Données projet'!$E$13+1,1))-AVERAGE(OFFSET($H$3,0,0,'Données projet'!$E$13+1,1))</f>
        <v>770.11410336045037</v>
      </c>
      <c r="CZ163" s="59">
        <f t="shared" si="150"/>
        <v>227.12611049004596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136.24017728641385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136.24017728641385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20.879999999999939</v>
      </c>
      <c r="DP163" s="17">
        <f>DO163*VLOOKUP('Données projet'!$B$14,Paramètres!$A$1:$I$89,3,0)*VLOOKUP('Données projet'!$B$14,Paramètres!$A$1:$I$89,5,0)</f>
        <v>21.172319999999939</v>
      </c>
      <c r="DQ163" s="13">
        <f t="shared" si="176"/>
        <v>6.8391332707776806</v>
      </c>
      <c r="DR163" s="20">
        <f t="shared" si="177"/>
        <v>48.786614446604354</v>
      </c>
      <c r="DS163" s="59">
        <f t="shared" si="125"/>
        <v>342.11994777993766</v>
      </c>
      <c r="DT163" s="59">
        <f ca="1">AVERAGE(OFFSET($DS$3,0,0,'Données projet'!$E$14+1,1))-AVERAGE(OFFSET($H$3,0,0,'Données projet'!$E$14+1,1))</f>
        <v>778.88878505968955</v>
      </c>
      <c r="DU163" s="59">
        <f t="shared" si="152"/>
        <v>279.20782832611059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390.61618773392763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390.61618773392763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369.00000000000011</v>
      </c>
      <c r="O164" s="13">
        <f>N164*VLOOKUP('Données projet'!$B$9,Paramètres!$A$1:$I$89,3,0)*VLOOKUP('Données projet'!$B$9,Paramètres!$A$1:$I$89,5,0)</f>
        <v>333.87120000000004</v>
      </c>
      <c r="P164" s="13">
        <f t="shared" si="141"/>
        <v>78.232360111376309</v>
      </c>
      <c r="Q164" s="20">
        <f t="shared" si="162"/>
        <v>717.74703386064709</v>
      </c>
      <c r="R164" s="59">
        <f t="shared" si="109"/>
        <v>1011.0803671939805</v>
      </c>
      <c r="S164" s="59">
        <f ca="1">AVERAGE(OFFSET($R$3,0,0,'Données projet'!$E$9+1,1))-AVERAGE(OFFSET($H$3,0,0,'Données projet'!$E$9+1,1))</f>
        <v>436.4497226650281</v>
      </c>
      <c r="T164" s="59">
        <f t="shared" si="142"/>
        <v>611.43967996341871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0.78960807854899706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0.78960807854899706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630</v>
      </c>
      <c r="AJ164" s="13">
        <f>AI164*VLOOKUP('Données projet'!$B$10,Paramètres!$A$1:$I$89,3,0)*VLOOKUP('Données projet'!$B$10,Paramètres!$A$1:$I$89,5,0)</f>
        <v>550.36800000000005</v>
      </c>
      <c r="AK164" s="13">
        <f t="shared" si="164"/>
        <v>121.67271812244785</v>
      </c>
      <c r="AL164" s="20">
        <f t="shared" si="165"/>
        <v>1170.4709173965966</v>
      </c>
      <c r="AM164" s="59">
        <f t="shared" si="113"/>
        <v>1463.8042507299299</v>
      </c>
      <c r="AN164" s="59">
        <f ca="1">AVERAGE(OFFSET($AM$3,0,0,'Données projet'!$E$10+1,1))-AVERAGE(OFFSET($H$3,0,0,'Données projet'!$E$10+1,1))</f>
        <v>662.13838733542616</v>
      </c>
      <c r="AO164" s="59">
        <f t="shared" si="144"/>
        <v>1194.915361841041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4.7800000000008822</v>
      </c>
      <c r="BE164" s="13">
        <f>BD164*VLOOKUP('Données projet'!$B$11,Paramètres!$A$1:$I$89,3,0)*VLOOKUP('Données projet'!$B$11,Paramètres!$A$1:$I$89,5,0)</f>
        <v>2.2370400000004129</v>
      </c>
      <c r="BF164" s="13">
        <f t="shared" si="167"/>
        <v>0.9386934556823372</v>
      </c>
      <c r="BG164" s="20">
        <f t="shared" si="168"/>
        <v>5.5310691019807896</v>
      </c>
      <c r="BH164" s="59">
        <f t="shared" si="116"/>
        <v>298.8644024353141</v>
      </c>
      <c r="BI164" s="59">
        <f ca="1">AVERAGE(OFFSET($BH$3,0,0,'Données projet'!$E$11+1,1))-AVERAGE(OFFSET($H$3,0,0,'Données projet'!$E$11+1,1))</f>
        <v>321.82962838167799</v>
      </c>
      <c r="BJ164" s="59">
        <f t="shared" si="146"/>
        <v>243.43396255104295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100.03014319492675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100.03014319492675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187.80389738728508</v>
      </c>
      <c r="CE164" s="59">
        <f t="shared" si="148"/>
        <v>439.28159165815265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9.2254884517748152</v>
      </c>
      <c r="CL164" s="21">
        <f>EXP(-LN(2)/25)*CL163+(1-EXP(-LN(2)/25))/(LN(2)/25)*Calculateur!CG164*Calculateur!CI164*VLOOKUP('Données projet'!$B$12,Paramètres!$A$1:$I$89,3,0)*0.475*44/12</f>
        <v>0.38043498457757441</v>
      </c>
      <c r="CM164" s="21">
        <f>EXP(-LN(2)/2)*CM163+(1-EXP(-LN(2)/2))/(LN(2)/2)*CG164*CJ164*VLOOKUP('Données projet'!$B$12,Paramètres!$A$1:$I$89,3,0)*0.475*44/12</f>
        <v>8.6174934755744706E-22</v>
      </c>
      <c r="CN164" s="22">
        <f t="shared" si="172"/>
        <v>9.6059234363523895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8.8960000000000043</v>
      </c>
      <c r="CT164" s="12">
        <f>IF('Données projet'!$A$140&gt;35,CT163+CS164-DB163,IF(A164&lt;'Données projet'!$A$140,$CQ$205^A164,IF(A164='Données projet'!$A$140,'Données projet'!$B$140,CT163+CS164-DB163)))</f>
        <v>553.63199999999995</v>
      </c>
      <c r="CU164" s="17">
        <f>CT164*VLOOKUP('Données projet'!$B$13,Paramètres!$A$1:$I$89,3,0)*VLOOKUP('Données projet'!$B$13,Paramètres!$A$1:$I$89,5,0)</f>
        <v>630.47612159999994</v>
      </c>
      <c r="CV164" s="13">
        <f t="shared" si="173"/>
        <v>137.19531392421899</v>
      </c>
      <c r="CW164" s="20">
        <f t="shared" si="174"/>
        <v>1337.0277502046813</v>
      </c>
      <c r="CX164" s="59">
        <f t="shared" si="122"/>
        <v>1630.3610835380146</v>
      </c>
      <c r="CY164" s="59">
        <f ca="1">AVERAGE(OFFSET($CX$3,0,0,'Données projet'!$E$13+1,1))-AVERAGE(OFFSET($H$3,0,0,'Données projet'!$E$13+1,1))</f>
        <v>770.11410336045037</v>
      </c>
      <c r="CZ164" s="59">
        <f t="shared" si="150"/>
        <v>227.12611049004596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133.56859050813014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133.56859050813014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20.879999999999939</v>
      </c>
      <c r="DP164" s="17">
        <f>DO164*VLOOKUP('Données projet'!$B$14,Paramètres!$A$1:$I$89,3,0)*VLOOKUP('Données projet'!$B$14,Paramètres!$A$1:$I$89,5,0)</f>
        <v>21.172319999999939</v>
      </c>
      <c r="DQ164" s="13">
        <f t="shared" si="176"/>
        <v>6.8391332707776806</v>
      </c>
      <c r="DR164" s="20">
        <f t="shared" si="177"/>
        <v>48.786614446604354</v>
      </c>
      <c r="DS164" s="59">
        <f t="shared" si="125"/>
        <v>342.11994777993766</v>
      </c>
      <c r="DT164" s="59">
        <f ca="1">AVERAGE(OFFSET($DS$3,0,0,'Données projet'!$E$14+1,1))-AVERAGE(OFFSET($H$3,0,0,'Données projet'!$E$14+1,1))</f>
        <v>778.88878505968955</v>
      </c>
      <c r="DU164" s="59">
        <f t="shared" si="152"/>
        <v>279.20782832611059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382.95644254481437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382.95644254481437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369.00000000000011</v>
      </c>
      <c r="O165" s="13">
        <f>N165*VLOOKUP('Données projet'!$B$9,Paramètres!$A$1:$I$89,3,0)*VLOOKUP('Données projet'!$B$9,Paramètres!$A$1:$I$89,5,0)</f>
        <v>333.87120000000004</v>
      </c>
      <c r="P165" s="13">
        <f t="shared" si="141"/>
        <v>78.232360111376309</v>
      </c>
      <c r="Q165" s="20">
        <f t="shared" si="162"/>
        <v>717.74703386064709</v>
      </c>
      <c r="R165" s="59">
        <f t="shared" si="109"/>
        <v>1011.0803671939805</v>
      </c>
      <c r="S165" s="59">
        <f ca="1">AVERAGE(OFFSET($R$3,0,0,'Données projet'!$E$9+1,1))-AVERAGE(OFFSET($H$3,0,0,'Données projet'!$E$9+1,1))</f>
        <v>436.4497226650281</v>
      </c>
      <c r="T165" s="59">
        <f t="shared" si="142"/>
        <v>611.43967996341871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0.77412434574202382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0.77412434574202382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630</v>
      </c>
      <c r="AJ165" s="13">
        <f>AI165*VLOOKUP('Données projet'!$B$10,Paramètres!$A$1:$I$89,3,0)*VLOOKUP('Données projet'!$B$10,Paramètres!$A$1:$I$89,5,0)</f>
        <v>550.36800000000005</v>
      </c>
      <c r="AK165" s="13">
        <f t="shared" si="164"/>
        <v>121.67271812244785</v>
      </c>
      <c r="AL165" s="20">
        <f t="shared" si="165"/>
        <v>1170.4709173965966</v>
      </c>
      <c r="AM165" s="59">
        <f t="shared" si="113"/>
        <v>1463.8042507299299</v>
      </c>
      <c r="AN165" s="59">
        <f ca="1">AVERAGE(OFFSET($AM$3,0,0,'Données projet'!$E$10+1,1))-AVERAGE(OFFSET($H$3,0,0,'Données projet'!$E$10+1,1))</f>
        <v>662.13838733542616</v>
      </c>
      <c r="AO165" s="59">
        <f t="shared" si="144"/>
        <v>1194.915361841041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4.7800000000008822</v>
      </c>
      <c r="BE165" s="13">
        <f>BD165*VLOOKUP('Données projet'!$B$11,Paramètres!$A$1:$I$89,3,0)*VLOOKUP('Données projet'!$B$11,Paramètres!$A$1:$I$89,5,0)</f>
        <v>2.2370400000004129</v>
      </c>
      <c r="BF165" s="13">
        <f t="shared" si="167"/>
        <v>0.9386934556823372</v>
      </c>
      <c r="BG165" s="20">
        <f t="shared" si="168"/>
        <v>5.5310691019807896</v>
      </c>
      <c r="BH165" s="59">
        <f t="shared" si="116"/>
        <v>298.8644024353141</v>
      </c>
      <c r="BI165" s="59">
        <f ca="1">AVERAGE(OFFSET($BH$3,0,0,'Données projet'!$E$11+1,1))-AVERAGE(OFFSET($H$3,0,0,'Données projet'!$E$11+1,1))</f>
        <v>321.82962838167799</v>
      </c>
      <c r="BJ165" s="59">
        <f t="shared" si="146"/>
        <v>243.43396255104295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98.068613099237112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98.068613099237112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187.80389738728508</v>
      </c>
      <c r="CE165" s="59">
        <f t="shared" si="148"/>
        <v>439.28159165815265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9.0445822502278475</v>
      </c>
      <c r="CL165" s="21">
        <f>EXP(-LN(2)/25)*CL164+(1-EXP(-LN(2)/25))/(LN(2)/25)*Calculateur!CG165*Calculateur!CI165*VLOOKUP('Données projet'!$B$12,Paramètres!$A$1:$I$89,3,0)*0.475*44/12</f>
        <v>0.37003196991809428</v>
      </c>
      <c r="CM165" s="21">
        <f>EXP(-LN(2)/2)*CM164+(1-EXP(-LN(2)/2))/(LN(2)/2)*CG165*CJ165*VLOOKUP('Données projet'!$B$12,Paramètres!$A$1:$I$89,3,0)*0.475*44/12</f>
        <v>6.0934880734095382E-22</v>
      </c>
      <c r="CN165" s="22">
        <f t="shared" si="172"/>
        <v>9.4146142201459426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8.8960000000000043</v>
      </c>
      <c r="CT165" s="12">
        <f>IF('Données projet'!$A$140&gt;35,CT164+CS165-DB164,IF(A165&lt;'Données projet'!$A$140,$CQ$205^A165,IF(A165='Données projet'!$A$140,'Données projet'!$B$140,CT164+CS165-DB164)))</f>
        <v>562.52799999999991</v>
      </c>
      <c r="CU165" s="17">
        <f>CT165*VLOOKUP('Données projet'!$B$13,Paramètres!$A$1:$I$89,3,0)*VLOOKUP('Données projet'!$B$13,Paramètres!$A$1:$I$89,5,0)</f>
        <v>640.60688639999989</v>
      </c>
      <c r="CV165" s="13">
        <f t="shared" si="173"/>
        <v>139.14141167323112</v>
      </c>
      <c r="CW165" s="20">
        <f t="shared" si="174"/>
        <v>1358.0616191442107</v>
      </c>
      <c r="CX165" s="59">
        <f t="shared" si="122"/>
        <v>1651.3949524775439</v>
      </c>
      <c r="CY165" s="59">
        <f ca="1">AVERAGE(OFFSET($CX$3,0,0,'Données projet'!$E$13+1,1))-AVERAGE(OFFSET($H$3,0,0,'Données projet'!$E$13+1,1))</f>
        <v>770.11410336045037</v>
      </c>
      <c r="CZ165" s="59">
        <f t="shared" si="150"/>
        <v>227.12611049004596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130.94939191706155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130.94939191706155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20.879999999999939</v>
      </c>
      <c r="DP165" s="17">
        <f>DO165*VLOOKUP('Données projet'!$B$14,Paramètres!$A$1:$I$89,3,0)*VLOOKUP('Données projet'!$B$14,Paramètres!$A$1:$I$89,5,0)</f>
        <v>21.172319999999939</v>
      </c>
      <c r="DQ165" s="13">
        <f t="shared" si="176"/>
        <v>6.8391332707776806</v>
      </c>
      <c r="DR165" s="20">
        <f t="shared" si="177"/>
        <v>48.786614446604354</v>
      </c>
      <c r="DS165" s="59">
        <f t="shared" si="125"/>
        <v>342.11994777993766</v>
      </c>
      <c r="DT165" s="59">
        <f ca="1">AVERAGE(OFFSET($DS$3,0,0,'Données projet'!$E$14+1,1))-AVERAGE(OFFSET($H$3,0,0,'Données projet'!$E$14+1,1))</f>
        <v>778.88878505968955</v>
      </c>
      <c r="DU165" s="59">
        <f t="shared" si="152"/>
        <v>279.20782832611059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375.44690028687637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375.44690028687637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369.00000000000011</v>
      </c>
      <c r="O166" s="13">
        <f>N166*VLOOKUP('Données projet'!$B$9,Paramètres!$A$1:$I$89,3,0)*VLOOKUP('Données projet'!$B$9,Paramètres!$A$1:$I$89,5,0)</f>
        <v>333.87120000000004</v>
      </c>
      <c r="P166" s="13">
        <f t="shared" si="141"/>
        <v>78.232360111376309</v>
      </c>
      <c r="Q166" s="20">
        <f t="shared" si="162"/>
        <v>717.74703386064709</v>
      </c>
      <c r="R166" s="59">
        <f t="shared" si="109"/>
        <v>1011.0803671939805</v>
      </c>
      <c r="S166" s="59">
        <f ca="1">AVERAGE(OFFSET($R$3,0,0,'Données projet'!$E$9+1,1))-AVERAGE(OFFSET($H$3,0,0,'Données projet'!$E$9+1,1))</f>
        <v>436.4497226650281</v>
      </c>
      <c r="T166" s="59">
        <f t="shared" si="142"/>
        <v>611.43967996341871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0.75894423949125078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0.75894423949125078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630</v>
      </c>
      <c r="AJ166" s="13">
        <f>AI166*VLOOKUP('Données projet'!$B$10,Paramètres!$A$1:$I$89,3,0)*VLOOKUP('Données projet'!$B$10,Paramètres!$A$1:$I$89,5,0)</f>
        <v>550.36800000000005</v>
      </c>
      <c r="AK166" s="13">
        <f t="shared" si="164"/>
        <v>121.67271812244785</v>
      </c>
      <c r="AL166" s="20">
        <f t="shared" si="165"/>
        <v>1170.4709173965966</v>
      </c>
      <c r="AM166" s="59">
        <f t="shared" si="113"/>
        <v>1463.8042507299299</v>
      </c>
      <c r="AN166" s="59">
        <f ca="1">AVERAGE(OFFSET($AM$3,0,0,'Données projet'!$E$10+1,1))-AVERAGE(OFFSET($H$3,0,0,'Données projet'!$E$10+1,1))</f>
        <v>662.13838733542616</v>
      </c>
      <c r="AO166" s="59">
        <f t="shared" si="144"/>
        <v>1194.915361841041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4.7800000000008822</v>
      </c>
      <c r="BE166" s="13">
        <f>BD166*VLOOKUP('Données projet'!$B$11,Paramètres!$A$1:$I$89,3,0)*VLOOKUP('Données projet'!$B$11,Paramètres!$A$1:$I$89,5,0)</f>
        <v>2.2370400000004129</v>
      </c>
      <c r="BF166" s="13">
        <f t="shared" si="167"/>
        <v>0.9386934556823372</v>
      </c>
      <c r="BG166" s="20">
        <f t="shared" si="168"/>
        <v>5.5310691019807896</v>
      </c>
      <c r="BH166" s="59">
        <f t="shared" si="116"/>
        <v>298.8644024353141</v>
      </c>
      <c r="BI166" s="59">
        <f ca="1">AVERAGE(OFFSET($BH$3,0,0,'Données projet'!$E$11+1,1))-AVERAGE(OFFSET($H$3,0,0,'Données projet'!$E$11+1,1))</f>
        <v>321.82962838167799</v>
      </c>
      <c r="BJ166" s="59">
        <f t="shared" si="146"/>
        <v>243.43396255104295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96.14554741230873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96.14554741230873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187.80389738728508</v>
      </c>
      <c r="CE166" s="59">
        <f t="shared" si="148"/>
        <v>439.28159165815265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8.8672235089513283</v>
      </c>
      <c r="CL166" s="21">
        <f>EXP(-LN(2)/25)*CL165+(1-EXP(-LN(2)/25))/(LN(2)/25)*Calculateur!CG166*Calculateur!CI166*VLOOKUP('Données projet'!$B$12,Paramètres!$A$1:$I$89,3,0)*0.475*44/12</f>
        <v>0.35991342624154843</v>
      </c>
      <c r="CM166" s="21">
        <f>EXP(-LN(2)/2)*CM165+(1-EXP(-LN(2)/2))/(LN(2)/2)*CG166*CJ166*VLOOKUP('Données projet'!$B$12,Paramètres!$A$1:$I$89,3,0)*0.475*44/12</f>
        <v>4.3087467377872353E-22</v>
      </c>
      <c r="CN166" s="22">
        <f t="shared" si="172"/>
        <v>9.2271369351928776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8.8960000000000043</v>
      </c>
      <c r="CT166" s="12">
        <f>IF('Données projet'!$A$140&gt;35,CT165+CS166-DB165,IF(A166&lt;'Données projet'!$A$140,$CQ$205^A166,IF(A166='Données projet'!$A$140,'Données projet'!$B$140,CT165+CS166-DB165)))</f>
        <v>571.42399999999986</v>
      </c>
      <c r="CU166" s="17">
        <f>CT166*VLOOKUP('Données projet'!$B$13,Paramètres!$A$1:$I$89,3,0)*VLOOKUP('Données projet'!$B$13,Paramètres!$A$1:$I$89,5,0)</f>
        <v>650.73765119999985</v>
      </c>
      <c r="CV166" s="13">
        <f t="shared" si="173"/>
        <v>141.08393020763194</v>
      </c>
      <c r="CW166" s="20">
        <f t="shared" si="174"/>
        <v>1379.0892542849588</v>
      </c>
      <c r="CX166" s="59">
        <f t="shared" si="122"/>
        <v>1672.422587618292</v>
      </c>
      <c r="CY166" s="59">
        <f ca="1">AVERAGE(OFFSET($CX$3,0,0,'Données projet'!$E$13+1,1))-AVERAGE(OFFSET($H$3,0,0,'Données projet'!$E$13+1,1))</f>
        <v>770.11410336045037</v>
      </c>
      <c r="CZ166" s="59">
        <f t="shared" si="150"/>
        <v>227.12611049004596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128.38155421281041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128.38155421281041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20.879999999999939</v>
      </c>
      <c r="DP166" s="17">
        <f>DO166*VLOOKUP('Données projet'!$B$14,Paramètres!$A$1:$I$89,3,0)*VLOOKUP('Données projet'!$B$14,Paramètres!$A$1:$I$89,5,0)</f>
        <v>21.172319999999939</v>
      </c>
      <c r="DQ166" s="13">
        <f t="shared" si="176"/>
        <v>6.8391332707776806</v>
      </c>
      <c r="DR166" s="20">
        <f t="shared" si="177"/>
        <v>48.786614446604354</v>
      </c>
      <c r="DS166" s="59">
        <f t="shared" si="125"/>
        <v>342.11994777993766</v>
      </c>
      <c r="DT166" s="59">
        <f ca="1">AVERAGE(OFFSET($DS$3,0,0,'Données projet'!$E$14+1,1))-AVERAGE(OFFSET($H$3,0,0,'Données projet'!$E$14+1,1))</f>
        <v>778.88878505968955</v>
      </c>
      <c r="DU166" s="59">
        <f t="shared" si="152"/>
        <v>279.20782832611059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368.08461557224803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368.08461557224803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369.00000000000011</v>
      </c>
      <c r="O167" s="13">
        <f>N167*VLOOKUP('Données projet'!$B$9,Paramètres!$A$1:$I$89,3,0)*VLOOKUP('Données projet'!$B$9,Paramètres!$A$1:$I$89,5,0)</f>
        <v>333.87120000000004</v>
      </c>
      <c r="P167" s="13">
        <f t="shared" si="141"/>
        <v>78.232360111376309</v>
      </c>
      <c r="Q167" s="20">
        <f t="shared" si="162"/>
        <v>717.74703386064709</v>
      </c>
      <c r="R167" s="59">
        <f t="shared" si="109"/>
        <v>1011.0803671939805</v>
      </c>
      <c r="S167" s="59">
        <f ca="1">AVERAGE(OFFSET($R$3,0,0,'Données projet'!$E$9+1,1))-AVERAGE(OFFSET($H$3,0,0,'Données projet'!$E$9+1,1))</f>
        <v>436.4497226650281</v>
      </c>
      <c r="T167" s="59">
        <f t="shared" si="142"/>
        <v>611.43967996341871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0.74406180586510484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0.74406180586510484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630</v>
      </c>
      <c r="AJ167" s="13">
        <f>AI167*VLOOKUP('Données projet'!$B$10,Paramètres!$A$1:$I$89,3,0)*VLOOKUP('Données projet'!$B$10,Paramètres!$A$1:$I$89,5,0)</f>
        <v>550.36800000000005</v>
      </c>
      <c r="AK167" s="13">
        <f t="shared" si="164"/>
        <v>121.67271812244785</v>
      </c>
      <c r="AL167" s="20">
        <f t="shared" si="165"/>
        <v>1170.4709173965966</v>
      </c>
      <c r="AM167" s="59">
        <f t="shared" si="113"/>
        <v>1463.8042507299299</v>
      </c>
      <c r="AN167" s="59">
        <f ca="1">AVERAGE(OFFSET($AM$3,0,0,'Données projet'!$E$10+1,1))-AVERAGE(OFFSET($H$3,0,0,'Données projet'!$E$10+1,1))</f>
        <v>662.13838733542616</v>
      </c>
      <c r="AO167" s="59">
        <f t="shared" si="144"/>
        <v>1194.915361841041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4.7800000000008822</v>
      </c>
      <c r="BE167" s="13">
        <f>BD167*VLOOKUP('Données projet'!$B$11,Paramètres!$A$1:$I$89,3,0)*VLOOKUP('Données projet'!$B$11,Paramètres!$A$1:$I$89,5,0)</f>
        <v>2.2370400000004129</v>
      </c>
      <c r="BF167" s="13">
        <f t="shared" si="167"/>
        <v>0.9386934556823372</v>
      </c>
      <c r="BG167" s="20">
        <f t="shared" si="168"/>
        <v>5.5310691019807896</v>
      </c>
      <c r="BH167" s="59">
        <f t="shared" si="116"/>
        <v>298.8644024353141</v>
      </c>
      <c r="BI167" s="59">
        <f ca="1">AVERAGE(OFFSET($BH$3,0,0,'Données projet'!$E$11+1,1))-AVERAGE(OFFSET($H$3,0,0,'Données projet'!$E$11+1,1))</f>
        <v>321.82962838167799</v>
      </c>
      <c r="BJ167" s="59">
        <f t="shared" si="146"/>
        <v>243.43396255104295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94.260191870546763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94.260191870546763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187.80389738728508</v>
      </c>
      <c r="CE167" s="59">
        <f t="shared" si="148"/>
        <v>439.28159165815265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8.6933426644130911</v>
      </c>
      <c r="CL167" s="21">
        <f>EXP(-LN(2)/25)*CL166+(1-EXP(-LN(2)/25))/(LN(2)/25)*Calculateur!CG167*Calculateur!CI167*VLOOKUP('Données projet'!$B$12,Paramètres!$A$1:$I$89,3,0)*0.475*44/12</f>
        <v>0.35007157467394878</v>
      </c>
      <c r="CM167" s="21">
        <f>EXP(-LN(2)/2)*CM166+(1-EXP(-LN(2)/2))/(LN(2)/2)*CG167*CJ167*VLOOKUP('Données projet'!$B$12,Paramètres!$A$1:$I$89,3,0)*0.475*44/12</f>
        <v>3.0467440367047691E-22</v>
      </c>
      <c r="CN167" s="22">
        <f t="shared" si="172"/>
        <v>9.0434142390870402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8.8960000000000043</v>
      </c>
      <c r="CS167" s="12">
        <f t="array" ref="CS167">INDEX(CR:CR,MIN(IF(ISNUMBER(CR167:CR363),ROW(CR167:CR363),"")))</f>
        <v>8.8960000000000043</v>
      </c>
      <c r="CT167" s="12">
        <f>IF('Données projet'!$A$140&gt;35,CT166+CS167-DB166,IF(A167&lt;'Données projet'!$A$140,$CQ$205^A167,IF(A167='Données projet'!$A$140,'Données projet'!$B$140,CT166+CS167-DB166)))</f>
        <v>580.31999999999982</v>
      </c>
      <c r="CU167" s="17">
        <f>CT167*VLOOKUP('Données projet'!$B$13,Paramètres!$A$1:$I$89,3,0)*VLOOKUP('Données projet'!$B$13,Paramètres!$A$1:$I$89,5,0)</f>
        <v>660.8684159999998</v>
      </c>
      <c r="CV167" s="13">
        <f t="shared" si="173"/>
        <v>143.0229316838082</v>
      </c>
      <c r="CW167" s="20">
        <f t="shared" si="174"/>
        <v>1400.1107638826322</v>
      </c>
      <c r="CX167" s="59">
        <f t="shared" si="122"/>
        <v>1693.4440972159655</v>
      </c>
      <c r="CY167" s="59">
        <f ca="1">AVERAGE(OFFSET($CX$3,0,0,'Données projet'!$E$13+1,1))-AVERAGE(OFFSET($H$3,0,0,'Données projet'!$E$13+1,1))</f>
        <v>770.11410336045037</v>
      </c>
      <c r="CZ167" s="59">
        <f t="shared" si="150"/>
        <v>227.12611049004596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0.43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158.11658059350697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158.11658059350697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20.879999999999939</v>
      </c>
      <c r="DP167" s="17">
        <f>DO167*VLOOKUP('Données projet'!$B$14,Paramètres!$A$1:$I$89,3,0)*VLOOKUP('Données projet'!$B$14,Paramètres!$A$1:$I$89,5,0)</f>
        <v>21.172319999999939</v>
      </c>
      <c r="DQ167" s="13">
        <f t="shared" si="176"/>
        <v>6.8391332707776806</v>
      </c>
      <c r="DR167" s="20">
        <f t="shared" si="177"/>
        <v>48.786614446604354</v>
      </c>
      <c r="DS167" s="59">
        <f t="shared" si="125"/>
        <v>342.11994777993766</v>
      </c>
      <c r="DT167" s="59">
        <f ca="1">AVERAGE(OFFSET($DS$3,0,0,'Données projet'!$E$14+1,1))-AVERAGE(OFFSET($H$3,0,0,'Données projet'!$E$14+1,1))</f>
        <v>778.88878505968955</v>
      </c>
      <c r="DU167" s="59">
        <f t="shared" si="152"/>
        <v>279.20782832611059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360.86670077032329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360.86670077032329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369.00000000000011</v>
      </c>
      <c r="O168" s="13">
        <f>N168*VLOOKUP('Données projet'!$B$9,Paramètres!$A$1:$I$89,3,0)*VLOOKUP('Données projet'!$B$9,Paramètres!$A$1:$I$89,5,0)</f>
        <v>333.87120000000004</v>
      </c>
      <c r="P168" s="13">
        <f t="shared" si="141"/>
        <v>78.232360111376309</v>
      </c>
      <c r="Q168" s="20">
        <f t="shared" si="162"/>
        <v>717.74703386064709</v>
      </c>
      <c r="R168" s="59">
        <f t="shared" si="109"/>
        <v>1011.0803671939805</v>
      </c>
      <c r="S168" s="59">
        <f ca="1">AVERAGE(OFFSET($R$3,0,0,'Données projet'!$E$9+1,1))-AVERAGE(OFFSET($H$3,0,0,'Données projet'!$E$9+1,1))</f>
        <v>436.4497226650281</v>
      </c>
      <c r="T168" s="59">
        <f t="shared" si="142"/>
        <v>611.43967996341871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0.72947120768497942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0.72947120768497942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630</v>
      </c>
      <c r="AJ168" s="13">
        <f>AI168*VLOOKUP('Données projet'!$B$10,Paramètres!$A$1:$I$89,3,0)*VLOOKUP('Données projet'!$B$10,Paramètres!$A$1:$I$89,5,0)</f>
        <v>550.36800000000005</v>
      </c>
      <c r="AK168" s="13">
        <f t="shared" si="164"/>
        <v>121.67271812244785</v>
      </c>
      <c r="AL168" s="20">
        <f t="shared" si="165"/>
        <v>1170.4709173965966</v>
      </c>
      <c r="AM168" s="59">
        <f t="shared" si="113"/>
        <v>1463.8042507299299</v>
      </c>
      <c r="AN168" s="59">
        <f ca="1">AVERAGE(OFFSET($AM$3,0,0,'Données projet'!$E$10+1,1))-AVERAGE(OFFSET($H$3,0,0,'Données projet'!$E$10+1,1))</f>
        <v>662.13838733542616</v>
      </c>
      <c r="AO168" s="59">
        <f t="shared" si="144"/>
        <v>1194.915361841041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4.7800000000008822</v>
      </c>
      <c r="BE168" s="13">
        <f>BD168*VLOOKUP('Données projet'!$B$11,Paramètres!$A$1:$I$89,3,0)*VLOOKUP('Données projet'!$B$11,Paramètres!$A$1:$I$89,5,0)</f>
        <v>2.2370400000004129</v>
      </c>
      <c r="BF168" s="13">
        <f t="shared" si="167"/>
        <v>0.9386934556823372</v>
      </c>
      <c r="BG168" s="20">
        <f t="shared" si="168"/>
        <v>5.5310691019807896</v>
      </c>
      <c r="BH168" s="59">
        <f t="shared" si="116"/>
        <v>298.8644024353141</v>
      </c>
      <c r="BI168" s="59">
        <f ca="1">AVERAGE(OFFSET($BH$3,0,0,'Données projet'!$E$11+1,1))-AVERAGE(OFFSET($H$3,0,0,'Données projet'!$E$11+1,1))</f>
        <v>321.82962838167799</v>
      </c>
      <c r="BJ168" s="59">
        <f t="shared" si="146"/>
        <v>243.43396255104295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92.411807001005414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92.411807001005414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187.80389738728508</v>
      </c>
      <c r="CE168" s="59">
        <f t="shared" si="148"/>
        <v>439.28159165815265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8.5228715171794054</v>
      </c>
      <c r="CL168" s="21">
        <f>EXP(-LN(2)/25)*CL167+(1-EXP(-LN(2)/25))/(LN(2)/25)*Calculateur!CG168*Calculateur!CI168*VLOOKUP('Données projet'!$B$12,Paramètres!$A$1:$I$89,3,0)*0.475*44/12</f>
        <v>0.34049884905502564</v>
      </c>
      <c r="CM168" s="21">
        <f>EXP(-LN(2)/2)*CM167+(1-EXP(-LN(2)/2))/(LN(2)/2)*CG168*CJ168*VLOOKUP('Données projet'!$B$12,Paramètres!$A$1:$I$89,3,0)*0.475*44/12</f>
        <v>2.1543733688936177E-22</v>
      </c>
      <c r="CN168" s="22">
        <f t="shared" si="172"/>
        <v>8.863370366234431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8.977999999999998</v>
      </c>
      <c r="CT168" s="12">
        <f>IF('Données projet'!$A$140&gt;35,CT167+CS168-DB167,IF(A168&lt;'Données projet'!$A$140,$CQ$205^A168,IF(A168='Données projet'!$A$140,'Données projet'!$B$140,CT167+CS168-DB167)))</f>
        <v>529.71799999999973</v>
      </c>
      <c r="CU168" s="17">
        <f>CT168*VLOOKUP('Données projet'!$B$13,Paramètres!$A$1:$I$89,3,0)*VLOOKUP('Données projet'!$B$13,Paramètres!$A$1:$I$89,5,0)</f>
        <v>603.2428583999997</v>
      </c>
      <c r="CV168" s="13">
        <f t="shared" si="173"/>
        <v>131.94561544750891</v>
      </c>
      <c r="CW168" s="20">
        <f t="shared" si="174"/>
        <v>1280.453258617744</v>
      </c>
      <c r="CX168" s="59">
        <f t="shared" si="122"/>
        <v>1573.7865919510773</v>
      </c>
      <c r="CY168" s="59">
        <f ca="1">AVERAGE(OFFSET($CX$3,0,0,'Données projet'!$E$13+1,1))-AVERAGE(OFFSET($H$3,0,0,'Données projet'!$E$13+1,1))</f>
        <v>770.11410336045037</v>
      </c>
      <c r="CZ168" s="59">
        <f t="shared" si="150"/>
        <v>227.12611049004596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155.01601088965964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155.01601088965964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20.879999999999939</v>
      </c>
      <c r="DP168" s="17">
        <f>DO168*VLOOKUP('Données projet'!$B$14,Paramètres!$A$1:$I$89,3,0)*VLOOKUP('Données projet'!$B$14,Paramètres!$A$1:$I$89,5,0)</f>
        <v>21.172319999999939</v>
      </c>
      <c r="DQ168" s="13">
        <f t="shared" si="176"/>
        <v>6.8391332707776806</v>
      </c>
      <c r="DR168" s="20">
        <f t="shared" si="177"/>
        <v>48.786614446604354</v>
      </c>
      <c r="DS168" s="59">
        <f t="shared" si="125"/>
        <v>342.11994777993766</v>
      </c>
      <c r="DT168" s="59">
        <f ca="1">AVERAGE(OFFSET($DS$3,0,0,'Données projet'!$E$14+1,1))-AVERAGE(OFFSET($H$3,0,0,'Données projet'!$E$14+1,1))</f>
        <v>778.88878505968955</v>
      </c>
      <c r="DU168" s="59">
        <f t="shared" si="152"/>
        <v>279.20782832611059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353.79032487517094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353.79032487517094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369.00000000000011</v>
      </c>
      <c r="O169" s="13">
        <f>N169*VLOOKUP('Données projet'!$B$9,Paramètres!$A$1:$I$89,3,0)*VLOOKUP('Données projet'!$B$9,Paramètres!$A$1:$I$89,5,0)</f>
        <v>333.87120000000004</v>
      </c>
      <c r="P169" s="13">
        <f t="shared" si="141"/>
        <v>78.232360111376309</v>
      </c>
      <c r="Q169" s="20">
        <f t="shared" si="162"/>
        <v>717.74703386064709</v>
      </c>
      <c r="R169" s="59">
        <f t="shared" si="109"/>
        <v>1011.0803671939805</v>
      </c>
      <c r="S169" s="59">
        <f ca="1">AVERAGE(OFFSET($R$3,0,0,'Données projet'!$E$9+1,1))-AVERAGE(OFFSET($H$3,0,0,'Données projet'!$E$9+1,1))</f>
        <v>436.4497226650281</v>
      </c>
      <c r="T169" s="59">
        <f t="shared" si="142"/>
        <v>611.43967996341871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0.71516672223578015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0.71516672223578015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630</v>
      </c>
      <c r="AJ169" s="13">
        <f>AI169*VLOOKUP('Données projet'!$B$10,Paramètres!$A$1:$I$89,3,0)*VLOOKUP('Données projet'!$B$10,Paramètres!$A$1:$I$89,5,0)</f>
        <v>550.36800000000005</v>
      </c>
      <c r="AK169" s="13">
        <f t="shared" si="164"/>
        <v>121.67271812244785</v>
      </c>
      <c r="AL169" s="20">
        <f t="shared" si="165"/>
        <v>1170.4709173965966</v>
      </c>
      <c r="AM169" s="59">
        <f t="shared" si="113"/>
        <v>1463.8042507299299</v>
      </c>
      <c r="AN169" s="59">
        <f ca="1">AVERAGE(OFFSET($AM$3,0,0,'Données projet'!$E$10+1,1))-AVERAGE(OFFSET($H$3,0,0,'Données projet'!$E$10+1,1))</f>
        <v>662.13838733542616</v>
      </c>
      <c r="AO169" s="59">
        <f t="shared" si="144"/>
        <v>1194.915361841041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4.7800000000008822</v>
      </c>
      <c r="BE169" s="13">
        <f>BD169*VLOOKUP('Données projet'!$B$11,Paramètres!$A$1:$I$89,3,0)*VLOOKUP('Données projet'!$B$11,Paramètres!$A$1:$I$89,5,0)</f>
        <v>2.2370400000004129</v>
      </c>
      <c r="BF169" s="13">
        <f t="shared" si="167"/>
        <v>0.9386934556823372</v>
      </c>
      <c r="BG169" s="20">
        <f t="shared" si="168"/>
        <v>5.5310691019807896</v>
      </c>
      <c r="BH169" s="59">
        <f t="shared" si="116"/>
        <v>298.8644024353141</v>
      </c>
      <c r="BI169" s="59">
        <f ca="1">AVERAGE(OFFSET($BH$3,0,0,'Données projet'!$E$11+1,1))-AVERAGE(OFFSET($H$3,0,0,'Données projet'!$E$11+1,1))</f>
        <v>321.82962838167799</v>
      </c>
      <c r="BJ169" s="59">
        <f t="shared" si="146"/>
        <v>243.43396255104295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90.59966783135232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90.59966783135232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187.80389738728508</v>
      </c>
      <c r="CE169" s="59">
        <f t="shared" si="148"/>
        <v>439.28159165815265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8.3557432051658402</v>
      </c>
      <c r="CL169" s="21">
        <f>EXP(-LN(2)/25)*CL168+(1-EXP(-LN(2)/25))/(LN(2)/25)*Calculateur!CG169*Calculateur!CI169*VLOOKUP('Données projet'!$B$12,Paramètres!$A$1:$I$89,3,0)*0.475*44/12</f>
        <v>0.33118789012155969</v>
      </c>
      <c r="CM169" s="21">
        <f>EXP(-LN(2)/2)*CM168+(1-EXP(-LN(2)/2))/(LN(2)/2)*CG169*CJ169*VLOOKUP('Données projet'!$B$12,Paramètres!$A$1:$I$89,3,0)*0.475*44/12</f>
        <v>1.5233720183523845E-22</v>
      </c>
      <c r="CN169" s="22">
        <f t="shared" si="172"/>
        <v>8.6869310952874006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8.977999999999998</v>
      </c>
      <c r="CT169" s="12">
        <f>IF('Données projet'!$A$140&gt;35,CT168+CS169-DB168,IF(A169&lt;'Données projet'!$A$140,$CQ$205^A169,IF(A169='Données projet'!$A$140,'Données projet'!$B$140,CT168+CS169-DB168)))</f>
        <v>538.69599999999969</v>
      </c>
      <c r="CU169" s="17">
        <f>CT169*VLOOKUP('Données projet'!$B$13,Paramètres!$A$1:$I$89,3,0)*VLOOKUP('Données projet'!$B$13,Paramètres!$A$1:$I$89,5,0)</f>
        <v>613.4670047999997</v>
      </c>
      <c r="CV169" s="13">
        <f t="shared" si="173"/>
        <v>133.91967212293693</v>
      </c>
      <c r="CW169" s="20">
        <f t="shared" si="174"/>
        <v>1301.6984623074479</v>
      </c>
      <c r="CX169" s="59">
        <f t="shared" si="122"/>
        <v>1595.0317956407812</v>
      </c>
      <c r="CY169" s="59">
        <f ca="1">AVERAGE(OFFSET($CX$3,0,0,'Données projet'!$E$13+1,1))-AVERAGE(OFFSET($H$3,0,0,'Données projet'!$E$13+1,1))</f>
        <v>770.11410336045037</v>
      </c>
      <c r="CZ169" s="59">
        <f t="shared" si="150"/>
        <v>227.12611049004596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151.97624146654397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151.97624146654397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20.879999999999939</v>
      </c>
      <c r="DP169" s="17">
        <f>DO169*VLOOKUP('Données projet'!$B$14,Paramètres!$A$1:$I$89,3,0)*VLOOKUP('Données projet'!$B$14,Paramètres!$A$1:$I$89,5,0)</f>
        <v>21.172319999999939</v>
      </c>
      <c r="DQ169" s="13">
        <f t="shared" si="176"/>
        <v>6.8391332707776806</v>
      </c>
      <c r="DR169" s="20">
        <f t="shared" si="177"/>
        <v>48.786614446604354</v>
      </c>
      <c r="DS169" s="59">
        <f t="shared" si="125"/>
        <v>342.11994777993766</v>
      </c>
      <c r="DT169" s="59">
        <f ca="1">AVERAGE(OFFSET($DS$3,0,0,'Données projet'!$E$14+1,1))-AVERAGE(OFFSET($H$3,0,0,'Données projet'!$E$14+1,1))</f>
        <v>778.88878505968955</v>
      </c>
      <c r="DU169" s="59">
        <f t="shared" si="152"/>
        <v>279.20782832611059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346.85271239515941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346.85271239515941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369.00000000000011</v>
      </c>
      <c r="O170" s="13">
        <f>N170*VLOOKUP('Données projet'!$B$9,Paramètres!$A$1:$I$89,3,0)*VLOOKUP('Données projet'!$B$9,Paramètres!$A$1:$I$89,5,0)</f>
        <v>333.87120000000004</v>
      </c>
      <c r="P170" s="13">
        <f t="shared" si="141"/>
        <v>78.232360111376309</v>
      </c>
      <c r="Q170" s="20">
        <f t="shared" si="162"/>
        <v>717.74703386064709</v>
      </c>
      <c r="R170" s="59">
        <f t="shared" si="109"/>
        <v>1011.0803671939805</v>
      </c>
      <c r="S170" s="59">
        <f ca="1">AVERAGE(OFFSET($R$3,0,0,'Données projet'!$E$9+1,1))-AVERAGE(OFFSET($H$3,0,0,'Données projet'!$E$9+1,1))</f>
        <v>436.4497226650281</v>
      </c>
      <c r="T170" s="59">
        <f t="shared" si="142"/>
        <v>611.43967996341871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0.70114273902136504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0.70114273902136504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630</v>
      </c>
      <c r="AJ170" s="13">
        <f>AI170*VLOOKUP('Données projet'!$B$10,Paramètres!$A$1:$I$89,3,0)*VLOOKUP('Données projet'!$B$10,Paramètres!$A$1:$I$89,5,0)</f>
        <v>550.36800000000005</v>
      </c>
      <c r="AK170" s="13">
        <f t="shared" si="164"/>
        <v>121.67271812244785</v>
      </c>
      <c r="AL170" s="20">
        <f t="shared" si="165"/>
        <v>1170.4709173965966</v>
      </c>
      <c r="AM170" s="59">
        <f t="shared" si="113"/>
        <v>1463.8042507299299</v>
      </c>
      <c r="AN170" s="59">
        <f ca="1">AVERAGE(OFFSET($AM$3,0,0,'Données projet'!$E$10+1,1))-AVERAGE(OFFSET($H$3,0,0,'Données projet'!$E$10+1,1))</f>
        <v>662.13838733542616</v>
      </c>
      <c r="AO170" s="59">
        <f t="shared" si="144"/>
        <v>1194.915361841041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4.7800000000008822</v>
      </c>
      <c r="BE170" s="13">
        <f>BD170*VLOOKUP('Données projet'!$B$11,Paramètres!$A$1:$I$89,3,0)*VLOOKUP('Données projet'!$B$11,Paramètres!$A$1:$I$89,5,0)</f>
        <v>2.2370400000004129</v>
      </c>
      <c r="BF170" s="13">
        <f t="shared" si="167"/>
        <v>0.9386934556823372</v>
      </c>
      <c r="BG170" s="20">
        <f t="shared" si="168"/>
        <v>5.5310691019807896</v>
      </c>
      <c r="BH170" s="59">
        <f t="shared" si="116"/>
        <v>298.8644024353141</v>
      </c>
      <c r="BI170" s="59">
        <f ca="1">AVERAGE(OFFSET($BH$3,0,0,'Données projet'!$E$11+1,1))-AVERAGE(OFFSET($H$3,0,0,'Données projet'!$E$11+1,1))</f>
        <v>321.82962838167799</v>
      </c>
      <c r="BJ170" s="59">
        <f t="shared" si="146"/>
        <v>243.43396255104295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88.823063605520375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88.823063605520375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187.80389738728508</v>
      </c>
      <c r="CE170" s="59">
        <f t="shared" si="148"/>
        <v>439.28159165815265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8.1918921774126563</v>
      </c>
      <c r="CL170" s="21">
        <f>EXP(-LN(2)/25)*CL169+(1-EXP(-LN(2)/25))/(LN(2)/25)*Calculateur!CG170*Calculateur!CI170*VLOOKUP('Données projet'!$B$12,Paramètres!$A$1:$I$89,3,0)*0.475*44/12</f>
        <v>0.32213153984977144</v>
      </c>
      <c r="CM170" s="21">
        <f>EXP(-LN(2)/2)*CM169+(1-EXP(-LN(2)/2))/(LN(2)/2)*CG170*CJ170*VLOOKUP('Données projet'!$B$12,Paramètres!$A$1:$I$89,3,0)*0.475*44/12</f>
        <v>1.0771866844468088E-22</v>
      </c>
      <c r="CN170" s="22">
        <f t="shared" si="172"/>
        <v>8.5140237172624271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8.977999999999998</v>
      </c>
      <c r="CT170" s="12">
        <f>IF('Données projet'!$A$140&gt;35,CT169+CS170-DB169,IF(A170&lt;'Données projet'!$A$140,$CQ$205^A170,IF(A170='Données projet'!$A$140,'Données projet'!$B$140,CT169+CS170-DB169)))</f>
        <v>547.67399999999964</v>
      </c>
      <c r="CU170" s="17">
        <f>CT170*VLOOKUP('Données projet'!$B$13,Paramètres!$A$1:$I$89,3,0)*VLOOKUP('Données projet'!$B$13,Paramètres!$A$1:$I$89,5,0)</f>
        <v>623.69115119999958</v>
      </c>
      <c r="CV170" s="13">
        <f t="shared" si="173"/>
        <v>135.88990276705948</v>
      </c>
      <c r="CW170" s="20">
        <f t="shared" si="174"/>
        <v>1322.937002325961</v>
      </c>
      <c r="CX170" s="59">
        <f t="shared" si="122"/>
        <v>1616.2703356592942</v>
      </c>
      <c r="CY170" s="59">
        <f ca="1">AVERAGE(OFFSET($CX$3,0,0,'Données projet'!$E$13+1,1))-AVERAGE(OFFSET($H$3,0,0,'Données projet'!$E$13+1,1))</f>
        <v>770.11410336045037</v>
      </c>
      <c r="CZ170" s="59">
        <f t="shared" si="150"/>
        <v>227.12611049004596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148.99608006773934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148.99608006773934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20.879999999999939</v>
      </c>
      <c r="DP170" s="17">
        <f>DO170*VLOOKUP('Données projet'!$B$14,Paramètres!$A$1:$I$89,3,0)*VLOOKUP('Données projet'!$B$14,Paramètres!$A$1:$I$89,5,0)</f>
        <v>21.172319999999939</v>
      </c>
      <c r="DQ170" s="13">
        <f t="shared" si="176"/>
        <v>6.8391332707776806</v>
      </c>
      <c r="DR170" s="20">
        <f t="shared" si="177"/>
        <v>48.786614446604354</v>
      </c>
      <c r="DS170" s="59">
        <f t="shared" si="125"/>
        <v>342.11994777993766</v>
      </c>
      <c r="DT170" s="59">
        <f ca="1">AVERAGE(OFFSET($DS$3,0,0,'Données projet'!$E$14+1,1))-AVERAGE(OFFSET($H$3,0,0,'Données projet'!$E$14+1,1))</f>
        <v>778.88878505968955</v>
      </c>
      <c r="DU170" s="59">
        <f t="shared" si="152"/>
        <v>279.20782832611059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340.05114226435518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340.05114226435518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369.00000000000011</v>
      </c>
      <c r="O171" s="13">
        <f>N171*VLOOKUP('Données projet'!$B$9,Paramètres!$A$1:$I$89,3,0)*VLOOKUP('Données projet'!$B$9,Paramètres!$A$1:$I$89,5,0)</f>
        <v>333.87120000000004</v>
      </c>
      <c r="P171" s="13">
        <f t="shared" si="141"/>
        <v>78.232360111376309</v>
      </c>
      <c r="Q171" s="20">
        <f t="shared" si="162"/>
        <v>717.74703386064709</v>
      </c>
      <c r="R171" s="59">
        <f t="shared" si="109"/>
        <v>1011.0803671939805</v>
      </c>
      <c r="S171" s="59">
        <f ca="1">AVERAGE(OFFSET($R$3,0,0,'Données projet'!$E$9+1,1))-AVERAGE(OFFSET($H$3,0,0,'Données projet'!$E$9+1,1))</f>
        <v>436.4497226650281</v>
      </c>
      <c r="T171" s="59">
        <f t="shared" si="142"/>
        <v>611.43967996341871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0.68739375756399945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0.68739375756399945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630</v>
      </c>
      <c r="AJ171" s="13">
        <f>AI171*VLOOKUP('Données projet'!$B$10,Paramètres!$A$1:$I$89,3,0)*VLOOKUP('Données projet'!$B$10,Paramètres!$A$1:$I$89,5,0)</f>
        <v>550.36800000000005</v>
      </c>
      <c r="AK171" s="13">
        <f t="shared" si="164"/>
        <v>121.67271812244785</v>
      </c>
      <c r="AL171" s="20">
        <f t="shared" si="165"/>
        <v>1170.4709173965966</v>
      </c>
      <c r="AM171" s="59">
        <f t="shared" si="113"/>
        <v>1463.8042507299299</v>
      </c>
      <c r="AN171" s="59">
        <f ca="1">AVERAGE(OFFSET($AM$3,0,0,'Données projet'!$E$10+1,1))-AVERAGE(OFFSET($H$3,0,0,'Données projet'!$E$10+1,1))</f>
        <v>662.13838733542616</v>
      </c>
      <c r="AO171" s="59">
        <f t="shared" si="144"/>
        <v>1194.915361841041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4.7800000000008822</v>
      </c>
      <c r="BE171" s="13">
        <f>BD171*VLOOKUP('Données projet'!$B$11,Paramètres!$A$1:$I$89,3,0)*VLOOKUP('Données projet'!$B$11,Paramètres!$A$1:$I$89,5,0)</f>
        <v>2.2370400000004129</v>
      </c>
      <c r="BF171" s="13">
        <f t="shared" si="167"/>
        <v>0.9386934556823372</v>
      </c>
      <c r="BG171" s="20">
        <f t="shared" si="168"/>
        <v>5.5310691019807896</v>
      </c>
      <c r="BH171" s="59">
        <f t="shared" si="116"/>
        <v>298.8644024353141</v>
      </c>
      <c r="BI171" s="59">
        <f ca="1">AVERAGE(OFFSET($BH$3,0,0,'Données projet'!$E$11+1,1))-AVERAGE(OFFSET($H$3,0,0,'Données projet'!$E$11+1,1))</f>
        <v>321.82962838167799</v>
      </c>
      <c r="BJ171" s="59">
        <f t="shared" si="146"/>
        <v>243.43396255104295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87.081297504935407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87.081297504935407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187.80389738728508</v>
      </c>
      <c r="CE171" s="59">
        <f t="shared" si="148"/>
        <v>439.28159165815265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8.0312541683744527</v>
      </c>
      <c r="CL171" s="21">
        <f>EXP(-LN(2)/25)*CL170+(1-EXP(-LN(2)/25))/(LN(2)/25)*Calculateur!CG171*Calculateur!CI171*VLOOKUP('Données projet'!$B$12,Paramètres!$A$1:$I$89,3,0)*0.475*44/12</f>
        <v>0.313322835952418</v>
      </c>
      <c r="CM171" s="21">
        <f>EXP(-LN(2)/2)*CM170+(1-EXP(-LN(2)/2))/(LN(2)/2)*CG171*CJ171*VLOOKUP('Données projet'!$B$12,Paramètres!$A$1:$I$89,3,0)*0.475*44/12</f>
        <v>7.6168600917619227E-23</v>
      </c>
      <c r="CN171" s="22">
        <f t="shared" si="172"/>
        <v>8.3445770043268706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8.977999999999998</v>
      </c>
      <c r="CT171" s="12">
        <f>IF('Données projet'!$A$140&gt;35,CT170+CS171-DB170,IF(A171&lt;'Données projet'!$A$140,$CQ$205^A171,IF(A171='Données projet'!$A$140,'Données projet'!$B$140,CT170+CS171-DB170)))</f>
        <v>556.65199999999959</v>
      </c>
      <c r="CU171" s="17">
        <f>CT171*VLOOKUP('Données projet'!$B$13,Paramètres!$A$1:$I$89,3,0)*VLOOKUP('Données projet'!$B$13,Paramètres!$A$1:$I$89,5,0)</f>
        <v>633.91529759999958</v>
      </c>
      <c r="CV171" s="13">
        <f t="shared" si="173"/>
        <v>137.85637734002734</v>
      </c>
      <c r="CW171" s="20">
        <f t="shared" si="174"/>
        <v>1344.1690005205469</v>
      </c>
      <c r="CX171" s="59">
        <f t="shared" si="122"/>
        <v>1637.5023338538801</v>
      </c>
      <c r="CY171" s="59">
        <f ca="1">AVERAGE(OFFSET($CX$3,0,0,'Données projet'!$E$13+1,1))-AVERAGE(OFFSET($H$3,0,0,'Données projet'!$E$13+1,1))</f>
        <v>770.11410336045037</v>
      </c>
      <c r="CZ171" s="59">
        <f t="shared" si="150"/>
        <v>227.12611049004596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146.07435781624631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146.07435781624631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20.879999999999939</v>
      </c>
      <c r="DP171" s="17">
        <f>DO171*VLOOKUP('Données projet'!$B$14,Paramètres!$A$1:$I$89,3,0)*VLOOKUP('Données projet'!$B$14,Paramètres!$A$1:$I$89,5,0)</f>
        <v>21.172319999999939</v>
      </c>
      <c r="DQ171" s="13">
        <f t="shared" si="176"/>
        <v>6.8391332707776806</v>
      </c>
      <c r="DR171" s="20">
        <f t="shared" si="177"/>
        <v>48.786614446604354</v>
      </c>
      <c r="DS171" s="59">
        <f t="shared" si="125"/>
        <v>342.11994777993766</v>
      </c>
      <c r="DT171" s="59">
        <f ca="1">AVERAGE(OFFSET($DS$3,0,0,'Données projet'!$E$14+1,1))-AVERAGE(OFFSET($H$3,0,0,'Données projet'!$E$14+1,1))</f>
        <v>778.88878505968955</v>
      </c>
      <c r="DU171" s="59">
        <f t="shared" si="152"/>
        <v>279.20782832611059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333.38294677526784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333.38294677526784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369.00000000000011</v>
      </c>
      <c r="O172" s="13">
        <f>N172*VLOOKUP('Données projet'!$B$9,Paramètres!$A$1:$I$89,3,0)*VLOOKUP('Données projet'!$B$9,Paramètres!$A$1:$I$89,5,0)</f>
        <v>333.87120000000004</v>
      </c>
      <c r="P172" s="13">
        <f t="shared" si="141"/>
        <v>78.232360111376309</v>
      </c>
      <c r="Q172" s="20">
        <f t="shared" si="162"/>
        <v>717.74703386064709</v>
      </c>
      <c r="R172" s="59">
        <f t="shared" si="109"/>
        <v>1011.0803671939805</v>
      </c>
      <c r="S172" s="59">
        <f ca="1">AVERAGE(OFFSET($R$3,0,0,'Données projet'!$E$9+1,1))-AVERAGE(OFFSET($H$3,0,0,'Données projet'!$E$9+1,1))</f>
        <v>436.4497226650281</v>
      </c>
      <c r="T172" s="59">
        <f t="shared" si="142"/>
        <v>611.43967996341871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0.67391438524696223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0.67391438524696223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630</v>
      </c>
      <c r="AJ172" s="13">
        <f>AI172*VLOOKUP('Données projet'!$B$10,Paramètres!$A$1:$I$89,3,0)*VLOOKUP('Données projet'!$B$10,Paramètres!$A$1:$I$89,5,0)</f>
        <v>550.36800000000005</v>
      </c>
      <c r="AK172" s="13">
        <f t="shared" si="164"/>
        <v>121.67271812244785</v>
      </c>
      <c r="AL172" s="20">
        <f t="shared" si="165"/>
        <v>1170.4709173965966</v>
      </c>
      <c r="AM172" s="59">
        <f t="shared" si="113"/>
        <v>1463.8042507299299</v>
      </c>
      <c r="AN172" s="59">
        <f ca="1">AVERAGE(OFFSET($AM$3,0,0,'Données projet'!$E$10+1,1))-AVERAGE(OFFSET($H$3,0,0,'Données projet'!$E$10+1,1))</f>
        <v>662.13838733542616</v>
      </c>
      <c r="AO172" s="59">
        <f t="shared" si="144"/>
        <v>1194.915361841041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4.7800000000008822</v>
      </c>
      <c r="BE172" s="13">
        <f>BD172*VLOOKUP('Données projet'!$B$11,Paramètres!$A$1:$I$89,3,0)*VLOOKUP('Données projet'!$B$11,Paramètres!$A$1:$I$89,5,0)</f>
        <v>2.2370400000004129</v>
      </c>
      <c r="BF172" s="13">
        <f t="shared" si="167"/>
        <v>0.9386934556823372</v>
      </c>
      <c r="BG172" s="20">
        <f t="shared" si="168"/>
        <v>5.5310691019807896</v>
      </c>
      <c r="BH172" s="59">
        <f t="shared" si="116"/>
        <v>298.8644024353141</v>
      </c>
      <c r="BI172" s="59">
        <f ca="1">AVERAGE(OFFSET($BH$3,0,0,'Données projet'!$E$11+1,1))-AVERAGE(OFFSET($H$3,0,0,'Données projet'!$E$11+1,1))</f>
        <v>321.82962838167799</v>
      </c>
      <c r="BJ172" s="59">
        <f t="shared" si="146"/>
        <v>243.43396255104295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85.373686375210497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85.373686375210497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187.80389738728508</v>
      </c>
      <c r="CE172" s="59">
        <f t="shared" si="148"/>
        <v>439.28159165815265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7.8737661727139781</v>
      </c>
      <c r="CL172" s="21">
        <f>EXP(-LN(2)/25)*CL171+(1-EXP(-LN(2)/25))/(LN(2)/25)*Calculateur!CG172*Calculateur!CI172*VLOOKUP('Données projet'!$B$12,Paramètres!$A$1:$I$89,3,0)*0.475*44/12</f>
        <v>0.30475500652636728</v>
      </c>
      <c r="CM172" s="21">
        <f>EXP(-LN(2)/2)*CM171+(1-EXP(-LN(2)/2))/(LN(2)/2)*CG172*CJ172*VLOOKUP('Données projet'!$B$12,Paramètres!$A$1:$I$89,3,0)*0.475*44/12</f>
        <v>5.3859334222340442E-23</v>
      </c>
      <c r="CN172" s="22">
        <f t="shared" si="172"/>
        <v>8.1785211792403452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8.977999999999998</v>
      </c>
      <c r="CT172" s="12">
        <f>IF('Données projet'!$A$140&gt;35,CT171+CS172-DB171,IF(A172&lt;'Données projet'!$A$140,$CQ$205^A172,IF(A172='Données projet'!$A$140,'Données projet'!$B$140,CT171+CS172-DB171)))</f>
        <v>565.62999999999954</v>
      </c>
      <c r="CU172" s="17">
        <f>CT172*VLOOKUP('Données projet'!$B$13,Paramètres!$A$1:$I$89,3,0)*VLOOKUP('Données projet'!$B$13,Paramètres!$A$1:$I$89,5,0)</f>
        <v>644.13944399999946</v>
      </c>
      <c r="CV172" s="13">
        <f t="shared" si="173"/>
        <v>139.81916341586702</v>
      </c>
      <c r="CW172" s="20">
        <f t="shared" si="174"/>
        <v>1365.394574582634</v>
      </c>
      <c r="CX172" s="59">
        <f t="shared" si="122"/>
        <v>1658.7279079159673</v>
      </c>
      <c r="CY172" s="59">
        <f ca="1">AVERAGE(OFFSET($CX$3,0,0,'Données projet'!$E$13+1,1))-AVERAGE(OFFSET($H$3,0,0,'Données projet'!$E$13+1,1))</f>
        <v>770.11410336045037</v>
      </c>
      <c r="CZ172" s="59">
        <f t="shared" si="150"/>
        <v>227.12611049004596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143.20992875603042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143.20992875603042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20.879999999999939</v>
      </c>
      <c r="DP172" s="17">
        <f>DO172*VLOOKUP('Données projet'!$B$14,Paramètres!$A$1:$I$89,3,0)*VLOOKUP('Données projet'!$B$14,Paramètres!$A$1:$I$89,5,0)</f>
        <v>21.172319999999939</v>
      </c>
      <c r="DQ172" s="13">
        <f t="shared" si="176"/>
        <v>6.8391332707776806</v>
      </c>
      <c r="DR172" s="20">
        <f t="shared" si="177"/>
        <v>48.786614446604354</v>
      </c>
      <c r="DS172" s="59">
        <f t="shared" si="125"/>
        <v>342.11994777993766</v>
      </c>
      <c r="DT172" s="59">
        <f ca="1">AVERAGE(OFFSET($DS$3,0,0,'Données projet'!$E$14+1,1))-AVERAGE(OFFSET($H$3,0,0,'Données projet'!$E$14+1,1))</f>
        <v>778.88878505968955</v>
      </c>
      <c r="DU172" s="59">
        <f t="shared" si="152"/>
        <v>279.20782832611059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326.84551053252386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326.84551053252386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369.00000000000011</v>
      </c>
      <c r="O173" s="13">
        <f>N173*VLOOKUP('Données projet'!$B$9,Paramètres!$A$1:$I$89,3,0)*VLOOKUP('Données projet'!$B$9,Paramètres!$A$1:$I$89,5,0)</f>
        <v>333.87120000000004</v>
      </c>
      <c r="P173" s="13">
        <f t="shared" si="141"/>
        <v>78.232360111376309</v>
      </c>
      <c r="Q173" s="20">
        <f t="shared" si="162"/>
        <v>717.74703386064709</v>
      </c>
      <c r="R173" s="59">
        <f t="shared" si="109"/>
        <v>1011.0803671939805</v>
      </c>
      <c r="S173" s="59">
        <f ca="1">AVERAGE(OFFSET($R$3,0,0,'Données projet'!$E$9+1,1))-AVERAGE(OFFSET($H$3,0,0,'Données projet'!$E$9+1,1))</f>
        <v>436.4497226650281</v>
      </c>
      <c r="T173" s="59">
        <f t="shared" si="142"/>
        <v>611.43967996341871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0.66069933519945678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0.66069933519945678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630</v>
      </c>
      <c r="AJ173" s="13">
        <f>AI173*VLOOKUP('Données projet'!$B$10,Paramètres!$A$1:$I$89,3,0)*VLOOKUP('Données projet'!$B$10,Paramètres!$A$1:$I$89,5,0)</f>
        <v>550.36800000000005</v>
      </c>
      <c r="AK173" s="13">
        <f t="shared" si="164"/>
        <v>121.67271812244785</v>
      </c>
      <c r="AL173" s="20">
        <f t="shared" si="165"/>
        <v>1170.4709173965966</v>
      </c>
      <c r="AM173" s="59">
        <f t="shared" si="113"/>
        <v>1463.8042507299299</v>
      </c>
      <c r="AN173" s="59">
        <f ca="1">AVERAGE(OFFSET($AM$3,0,0,'Données projet'!$E$10+1,1))-AVERAGE(OFFSET($H$3,0,0,'Données projet'!$E$10+1,1))</f>
        <v>662.13838733542616</v>
      </c>
      <c r="AO173" s="59">
        <f t="shared" si="144"/>
        <v>1194.915361841041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4.7800000000008822</v>
      </c>
      <c r="BE173" s="13">
        <f>BD173*VLOOKUP('Données projet'!$B$11,Paramètres!$A$1:$I$89,3,0)*VLOOKUP('Données projet'!$B$11,Paramètres!$A$1:$I$89,5,0)</f>
        <v>2.2370400000004129</v>
      </c>
      <c r="BF173" s="13">
        <f t="shared" si="167"/>
        <v>0.9386934556823372</v>
      </c>
      <c r="BG173" s="20">
        <f t="shared" si="168"/>
        <v>5.5310691019807896</v>
      </c>
      <c r="BH173" s="59">
        <f t="shared" si="116"/>
        <v>298.8644024353141</v>
      </c>
      <c r="BI173" s="59">
        <f ca="1">AVERAGE(OFFSET($BH$3,0,0,'Données projet'!$E$11+1,1))-AVERAGE(OFFSET($H$3,0,0,'Données projet'!$E$11+1,1))</f>
        <v>321.82962838167799</v>
      </c>
      <c r="BJ173" s="59">
        <f t="shared" si="146"/>
        <v>243.43396255104295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83.699560458199542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83.699560458199542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187.80389738728508</v>
      </c>
      <c r="CE173" s="59">
        <f t="shared" si="148"/>
        <v>439.28159165815265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7.7193664205902124</v>
      </c>
      <c r="CL173" s="21">
        <f>EXP(-LN(2)/25)*CL172+(1-EXP(-LN(2)/25))/(LN(2)/25)*Calculateur!CG173*Calculateur!CI173*VLOOKUP('Données projet'!$B$12,Paramètres!$A$1:$I$89,3,0)*0.475*44/12</f>
        <v>0.29642146484653448</v>
      </c>
      <c r="CM173" s="21">
        <f>EXP(-LN(2)/2)*CM172+(1-EXP(-LN(2)/2))/(LN(2)/2)*CG173*CJ173*VLOOKUP('Données projet'!$B$12,Paramètres!$A$1:$I$89,3,0)*0.475*44/12</f>
        <v>3.8084300458809614E-23</v>
      </c>
      <c r="CN173" s="22">
        <f t="shared" si="172"/>
        <v>8.0157878854367475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8.977999999999998</v>
      </c>
      <c r="CT173" s="12">
        <f>IF('Données projet'!$A$140&gt;35,CT172+CS173-DB172,IF(A173&lt;'Données projet'!$A$140,$CQ$205^A173,IF(A173='Données projet'!$A$140,'Données projet'!$B$140,CT172+CS173-DB172)))</f>
        <v>574.60799999999949</v>
      </c>
      <c r="CU173" s="17">
        <f>CT173*VLOOKUP('Données projet'!$B$13,Paramètres!$A$1:$I$89,3,0)*VLOOKUP('Données projet'!$B$13,Paramètres!$A$1:$I$89,5,0)</f>
        <v>654.36359039999945</v>
      </c>
      <c r="CV173" s="13">
        <f t="shared" si="173"/>
        <v>141.77832630042258</v>
      </c>
      <c r="CW173" s="20">
        <f t="shared" si="174"/>
        <v>1386.6138382532347</v>
      </c>
      <c r="CX173" s="59">
        <f t="shared" si="122"/>
        <v>1679.9471715865679</v>
      </c>
      <c r="CY173" s="59">
        <f ca="1">AVERAGE(OFFSET($CX$3,0,0,'Données projet'!$E$13+1,1))-AVERAGE(OFFSET($H$3,0,0,'Données projet'!$E$13+1,1))</f>
        <v>770.11410336045037</v>
      </c>
      <c r="CZ173" s="59">
        <f t="shared" si="150"/>
        <v>227.12611049004596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140.40166940255617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140.40166940255617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20.879999999999939</v>
      </c>
      <c r="DP173" s="17">
        <f>DO173*VLOOKUP('Données projet'!$B$14,Paramètres!$A$1:$I$89,3,0)*VLOOKUP('Données projet'!$B$14,Paramètres!$A$1:$I$89,5,0)</f>
        <v>21.172319999999939</v>
      </c>
      <c r="DQ173" s="13">
        <f t="shared" si="176"/>
        <v>6.8391332707776806</v>
      </c>
      <c r="DR173" s="20">
        <f t="shared" si="177"/>
        <v>48.786614446604354</v>
      </c>
      <c r="DS173" s="59">
        <f t="shared" si="125"/>
        <v>342.11994777993766</v>
      </c>
      <c r="DT173" s="59">
        <f ca="1">AVERAGE(OFFSET($DS$3,0,0,'Données projet'!$E$14+1,1))-AVERAGE(OFFSET($H$3,0,0,'Données projet'!$E$14+1,1))</f>
        <v>778.88878505968955</v>
      </c>
      <c r="DU173" s="59">
        <f t="shared" si="152"/>
        <v>279.20782832611059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320.43626942705771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320.43626942705771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369.00000000000011</v>
      </c>
      <c r="O174" s="13">
        <f>N174*VLOOKUP('Données projet'!$B$9,Paramètres!$A$1:$I$89,3,0)*VLOOKUP('Données projet'!$B$9,Paramètres!$A$1:$I$89,5,0)</f>
        <v>333.87120000000004</v>
      </c>
      <c r="P174" s="13">
        <f t="shared" si="141"/>
        <v>78.232360111376309</v>
      </c>
      <c r="Q174" s="20">
        <f t="shared" si="162"/>
        <v>717.74703386064709</v>
      </c>
      <c r="R174" s="59">
        <f t="shared" si="109"/>
        <v>1011.0803671939805</v>
      </c>
      <c r="S174" s="59">
        <f ca="1">AVERAGE(OFFSET($R$3,0,0,'Données projet'!$E$9+1,1))-AVERAGE(OFFSET($H$3,0,0,'Données projet'!$E$9+1,1))</f>
        <v>436.4497226650281</v>
      </c>
      <c r="T174" s="59">
        <f t="shared" si="142"/>
        <v>611.43967996341871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0.64774342422299824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0.64774342422299824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630</v>
      </c>
      <c r="AJ174" s="13">
        <f>AI174*VLOOKUP('Données projet'!$B$10,Paramètres!$A$1:$I$89,3,0)*VLOOKUP('Données projet'!$B$10,Paramètres!$A$1:$I$89,5,0)</f>
        <v>550.36800000000005</v>
      </c>
      <c r="AK174" s="13">
        <f t="shared" si="164"/>
        <v>121.67271812244785</v>
      </c>
      <c r="AL174" s="20">
        <f t="shared" si="165"/>
        <v>1170.4709173965966</v>
      </c>
      <c r="AM174" s="59">
        <f t="shared" si="113"/>
        <v>1463.8042507299299</v>
      </c>
      <c r="AN174" s="59">
        <f ca="1">AVERAGE(OFFSET($AM$3,0,0,'Données projet'!$E$10+1,1))-AVERAGE(OFFSET($H$3,0,0,'Données projet'!$E$10+1,1))</f>
        <v>662.13838733542616</v>
      </c>
      <c r="AO174" s="59">
        <f t="shared" si="144"/>
        <v>1194.915361841041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4.7800000000008822</v>
      </c>
      <c r="BE174" s="13">
        <f>BD174*VLOOKUP('Données projet'!$B$11,Paramètres!$A$1:$I$89,3,0)*VLOOKUP('Données projet'!$B$11,Paramètres!$A$1:$I$89,5,0)</f>
        <v>2.2370400000004129</v>
      </c>
      <c r="BF174" s="13">
        <f t="shared" si="167"/>
        <v>0.9386934556823372</v>
      </c>
      <c r="BG174" s="20">
        <f t="shared" si="168"/>
        <v>5.5310691019807896</v>
      </c>
      <c r="BH174" s="59">
        <f t="shared" si="116"/>
        <v>298.8644024353141</v>
      </c>
      <c r="BI174" s="59">
        <f ca="1">AVERAGE(OFFSET($BH$3,0,0,'Données projet'!$E$11+1,1))-AVERAGE(OFFSET($H$3,0,0,'Données projet'!$E$11+1,1))</f>
        <v>321.82962838167799</v>
      </c>
      <c r="BJ174" s="59">
        <f t="shared" si="146"/>
        <v>243.43396255104295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82.058263129305189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82.058263129305189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187.80389738728508</v>
      </c>
      <c r="CE174" s="59">
        <f t="shared" si="148"/>
        <v>439.28159165815265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7.5679943534310441</v>
      </c>
      <c r="CL174" s="21">
        <f>EXP(-LN(2)/25)*CL173+(1-EXP(-LN(2)/25))/(LN(2)/25)*Calculateur!CG174*Calculateur!CI174*VLOOKUP('Données projet'!$B$12,Paramètres!$A$1:$I$89,3,0)*0.475*44/12</f>
        <v>0.28831580430217862</v>
      </c>
      <c r="CM174" s="21">
        <f>EXP(-LN(2)/2)*CM173+(1-EXP(-LN(2)/2))/(LN(2)/2)*CG174*CJ174*VLOOKUP('Données projet'!$B$12,Paramètres!$A$1:$I$89,3,0)*0.475*44/12</f>
        <v>2.6929667111170221E-23</v>
      </c>
      <c r="CN174" s="22">
        <f t="shared" si="172"/>
        <v>7.8563101577332226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8.977999999999998</v>
      </c>
      <c r="CT174" s="12">
        <f>IF('Données projet'!$A$140&gt;35,CT173+CS174-DB173,IF(A174&lt;'Données projet'!$A$140,$CQ$205^A174,IF(A174='Données projet'!$A$140,'Données projet'!$B$140,CT173+CS174-DB173)))</f>
        <v>583.58599999999944</v>
      </c>
      <c r="CU174" s="17">
        <f>CT174*VLOOKUP('Données projet'!$B$13,Paramètres!$A$1:$I$89,3,0)*VLOOKUP('Données projet'!$B$13,Paramètres!$A$1:$I$89,5,0)</f>
        <v>664.58773679999933</v>
      </c>
      <c r="CV174" s="13">
        <f t="shared" si="173"/>
        <v>143.73392914171606</v>
      </c>
      <c r="CW174" s="20">
        <f t="shared" si="174"/>
        <v>1407.8269015151543</v>
      </c>
      <c r="CX174" s="59">
        <f t="shared" si="122"/>
        <v>1701.1602348484876</v>
      </c>
      <c r="CY174" s="59">
        <f ca="1">AVERAGE(OFFSET($CX$3,0,0,'Données projet'!$E$13+1,1))-AVERAGE(OFFSET($H$3,0,0,'Données projet'!$E$13+1,1))</f>
        <v>770.11410336045037</v>
      </c>
      <c r="CZ174" s="59">
        <f t="shared" si="150"/>
        <v>227.12611049004596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137.64847830213446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137.64847830213446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20.879999999999939</v>
      </c>
      <c r="DP174" s="17">
        <f>DO174*VLOOKUP('Données projet'!$B$14,Paramètres!$A$1:$I$89,3,0)*VLOOKUP('Données projet'!$B$14,Paramètres!$A$1:$I$89,5,0)</f>
        <v>21.172319999999939</v>
      </c>
      <c r="DQ174" s="13">
        <f t="shared" si="176"/>
        <v>6.8391332707776806</v>
      </c>
      <c r="DR174" s="20">
        <f t="shared" si="177"/>
        <v>48.786614446604354</v>
      </c>
      <c r="DS174" s="59">
        <f t="shared" si="125"/>
        <v>342.11994777993766</v>
      </c>
      <c r="DT174" s="59">
        <f ca="1">AVERAGE(OFFSET($DS$3,0,0,'Données projet'!$E$14+1,1))-AVERAGE(OFFSET($H$3,0,0,'Données projet'!$E$14+1,1))</f>
        <v>778.88878505968955</v>
      </c>
      <c r="DU174" s="59">
        <f t="shared" si="152"/>
        <v>279.20782832611059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314.15270963041871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314.15270963041871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369.00000000000011</v>
      </c>
      <c r="O175" s="13">
        <f>N175*VLOOKUP('Données projet'!$B$9,Paramètres!$A$1:$I$89,3,0)*VLOOKUP('Données projet'!$B$9,Paramètres!$A$1:$I$89,5,0)</f>
        <v>333.87120000000004</v>
      </c>
      <c r="P175" s="13">
        <f t="shared" si="141"/>
        <v>78.232360111376309</v>
      </c>
      <c r="Q175" s="20">
        <f t="shared" si="162"/>
        <v>717.74703386064709</v>
      </c>
      <c r="R175" s="59">
        <f t="shared" si="109"/>
        <v>1011.0803671939805</v>
      </c>
      <c r="S175" s="59">
        <f ca="1">AVERAGE(OFFSET($R$3,0,0,'Données projet'!$E$9+1,1))-AVERAGE(OFFSET($H$3,0,0,'Données projet'!$E$9+1,1))</f>
        <v>436.4497226650281</v>
      </c>
      <c r="T175" s="59">
        <f t="shared" si="142"/>
        <v>611.43967996341871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0.63504157075846268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0.63504157075846268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630</v>
      </c>
      <c r="AJ175" s="13">
        <f>AI175*VLOOKUP('Données projet'!$B$10,Paramètres!$A$1:$I$89,3,0)*VLOOKUP('Données projet'!$B$10,Paramètres!$A$1:$I$89,5,0)</f>
        <v>550.36800000000005</v>
      </c>
      <c r="AK175" s="13">
        <f t="shared" si="164"/>
        <v>121.67271812244785</v>
      </c>
      <c r="AL175" s="20">
        <f t="shared" si="165"/>
        <v>1170.4709173965966</v>
      </c>
      <c r="AM175" s="59">
        <f t="shared" si="113"/>
        <v>1463.8042507299299</v>
      </c>
      <c r="AN175" s="59">
        <f ca="1">AVERAGE(OFFSET($AM$3,0,0,'Données projet'!$E$10+1,1))-AVERAGE(OFFSET($H$3,0,0,'Données projet'!$E$10+1,1))</f>
        <v>662.13838733542616</v>
      </c>
      <c r="AO175" s="59">
        <f t="shared" si="144"/>
        <v>1194.915361841041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4.7800000000008822</v>
      </c>
      <c r="BE175" s="13">
        <f>BD175*VLOOKUP('Données projet'!$B$11,Paramètres!$A$1:$I$89,3,0)*VLOOKUP('Données projet'!$B$11,Paramètres!$A$1:$I$89,5,0)</f>
        <v>2.2370400000004129</v>
      </c>
      <c r="BF175" s="13">
        <f t="shared" si="167"/>
        <v>0.9386934556823372</v>
      </c>
      <c r="BG175" s="20">
        <f t="shared" si="168"/>
        <v>5.5310691019807896</v>
      </c>
      <c r="BH175" s="59">
        <f t="shared" si="116"/>
        <v>298.8644024353141</v>
      </c>
      <c r="BI175" s="59">
        <f ca="1">AVERAGE(OFFSET($BH$3,0,0,'Données projet'!$E$11+1,1))-AVERAGE(OFFSET($H$3,0,0,'Données projet'!$E$11+1,1))</f>
        <v>321.82962838167799</v>
      </c>
      <c r="BJ175" s="59">
        <f t="shared" si="146"/>
        <v>243.43396255104295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80.44915063993794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80.44915063993794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187.80389738728508</v>
      </c>
      <c r="CE175" s="59">
        <f t="shared" si="148"/>
        <v>439.28159165815265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7.4195906001810226</v>
      </c>
      <c r="CL175" s="21">
        <f>EXP(-LN(2)/25)*CL174+(1-EXP(-LN(2)/25))/(LN(2)/25)*Calculateur!CG175*Calculateur!CI175*VLOOKUP('Données projet'!$B$12,Paramètres!$A$1:$I$89,3,0)*0.475*44/12</f>
        <v>0.28043179347166636</v>
      </c>
      <c r="CM175" s="21">
        <f>EXP(-LN(2)/2)*CM174+(1-EXP(-LN(2)/2))/(LN(2)/2)*CG175*CJ175*VLOOKUP('Données projet'!$B$12,Paramètres!$A$1:$I$89,3,0)*0.475*44/12</f>
        <v>1.9042150229404807E-23</v>
      </c>
      <c r="CN175" s="22">
        <f t="shared" si="172"/>
        <v>7.7000223936526888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8.977999999999998</v>
      </c>
      <c r="CT175" s="12">
        <f>IF('Données projet'!$A$140&gt;35,CT174+CS175-DB174,IF(A175&lt;'Données projet'!$A$140,$CQ$205^A175,IF(A175='Données projet'!$A$140,'Données projet'!$B$140,CT174+CS175-DB174)))</f>
        <v>592.5639999999994</v>
      </c>
      <c r="CU175" s="17">
        <f>CT175*VLOOKUP('Données projet'!$B$13,Paramètres!$A$1:$I$89,3,0)*VLOOKUP('Données projet'!$B$13,Paramètres!$A$1:$I$89,5,0)</f>
        <v>674.81188319999933</v>
      </c>
      <c r="CV175" s="13">
        <f t="shared" si="173"/>
        <v>145.68603303332364</v>
      </c>
      <c r="CW175" s="20">
        <f t="shared" si="174"/>
        <v>1429.0338707730373</v>
      </c>
      <c r="CX175" s="59">
        <f t="shared" si="122"/>
        <v>1722.3672041063705</v>
      </c>
      <c r="CY175" s="59">
        <f ca="1">AVERAGE(OFFSET($CX$3,0,0,'Données projet'!$E$13+1,1))-AVERAGE(OFFSET($H$3,0,0,'Données projet'!$E$13+1,1))</f>
        <v>770.11410336045037</v>
      </c>
      <c r="CZ175" s="59">
        <f t="shared" si="150"/>
        <v>227.12611049004596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134.94927559991129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134.94927559991129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20.879999999999939</v>
      </c>
      <c r="DP175" s="17">
        <f>DO175*VLOOKUP('Données projet'!$B$14,Paramètres!$A$1:$I$89,3,0)*VLOOKUP('Données projet'!$B$14,Paramètres!$A$1:$I$89,5,0)</f>
        <v>21.172319999999939</v>
      </c>
      <c r="DQ175" s="13">
        <f t="shared" si="176"/>
        <v>6.8391332707776806</v>
      </c>
      <c r="DR175" s="20">
        <f t="shared" si="177"/>
        <v>48.786614446604354</v>
      </c>
      <c r="DS175" s="59">
        <f t="shared" si="125"/>
        <v>342.11994777993766</v>
      </c>
      <c r="DT175" s="59">
        <f ca="1">AVERAGE(OFFSET($DS$3,0,0,'Données projet'!$E$14+1,1))-AVERAGE(OFFSET($H$3,0,0,'Données projet'!$E$14+1,1))</f>
        <v>778.88878505968955</v>
      </c>
      <c r="DU175" s="59">
        <f t="shared" si="152"/>
        <v>279.20782832611059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307.99236660879876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307.99236660879876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369.00000000000011</v>
      </c>
      <c r="O176" s="13">
        <f>N176*VLOOKUP('Données projet'!$B$9,Paramètres!$A$1:$I$89,3,0)*VLOOKUP('Données projet'!$B$9,Paramètres!$A$1:$I$89,5,0)</f>
        <v>333.87120000000004</v>
      </c>
      <c r="P176" s="13">
        <f t="shared" si="141"/>
        <v>78.232360111376309</v>
      </c>
      <c r="Q176" s="20">
        <f t="shared" si="162"/>
        <v>717.74703386064709</v>
      </c>
      <c r="R176" s="59">
        <f t="shared" si="109"/>
        <v>1011.0803671939805</v>
      </c>
      <c r="S176" s="59">
        <f ca="1">AVERAGE(OFFSET($R$3,0,0,'Données projet'!$E$9+1,1))-AVERAGE(OFFSET($H$3,0,0,'Données projet'!$E$9+1,1))</f>
        <v>436.4497226650281</v>
      </c>
      <c r="T176" s="59">
        <f t="shared" si="142"/>
        <v>611.43967996341871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0.62258879289300106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0.62258879289300106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630</v>
      </c>
      <c r="AJ176" s="13">
        <f>AI176*VLOOKUP('Données projet'!$B$10,Paramètres!$A$1:$I$89,3,0)*VLOOKUP('Données projet'!$B$10,Paramètres!$A$1:$I$89,5,0)</f>
        <v>550.36800000000005</v>
      </c>
      <c r="AK176" s="13">
        <f t="shared" si="164"/>
        <v>121.67271812244785</v>
      </c>
      <c r="AL176" s="20">
        <f t="shared" si="165"/>
        <v>1170.4709173965966</v>
      </c>
      <c r="AM176" s="59">
        <f t="shared" si="113"/>
        <v>1463.8042507299299</v>
      </c>
      <c r="AN176" s="59">
        <f ca="1">AVERAGE(OFFSET($AM$3,0,0,'Données projet'!$E$10+1,1))-AVERAGE(OFFSET($H$3,0,0,'Données projet'!$E$10+1,1))</f>
        <v>662.13838733542616</v>
      </c>
      <c r="AO176" s="59">
        <f t="shared" si="144"/>
        <v>1194.915361841041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4.7800000000008822</v>
      </c>
      <c r="BE176" s="13">
        <f>BD176*VLOOKUP('Données projet'!$B$11,Paramètres!$A$1:$I$89,3,0)*VLOOKUP('Données projet'!$B$11,Paramètres!$A$1:$I$89,5,0)</f>
        <v>2.2370400000004129</v>
      </c>
      <c r="BF176" s="13">
        <f t="shared" si="167"/>
        <v>0.9386934556823372</v>
      </c>
      <c r="BG176" s="20">
        <f t="shared" si="168"/>
        <v>5.5310691019807896</v>
      </c>
      <c r="BH176" s="59">
        <f t="shared" si="116"/>
        <v>298.8644024353141</v>
      </c>
      <c r="BI176" s="59">
        <f ca="1">AVERAGE(OFFSET($BH$3,0,0,'Données projet'!$E$11+1,1))-AVERAGE(OFFSET($H$3,0,0,'Données projet'!$E$11+1,1))</f>
        <v>321.82962838167799</v>
      </c>
      <c r="BJ176" s="59">
        <f t="shared" si="146"/>
        <v>243.43396255104295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78.871591865025479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78.871591865025479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187.80389738728508</v>
      </c>
      <c r="CE176" s="59">
        <f t="shared" si="148"/>
        <v>439.28159165815265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7.2740969540148823</v>
      </c>
      <c r="CL176" s="21">
        <f>EXP(-LN(2)/25)*CL175+(1-EXP(-LN(2)/25))/(LN(2)/25)*Calculateur!CG176*Calculateur!CI176*VLOOKUP('Données projet'!$B$12,Paramètres!$A$1:$I$89,3,0)*0.475*44/12</f>
        <v>0.27276337133191658</v>
      </c>
      <c r="CM176" s="21">
        <f>EXP(-LN(2)/2)*CM175+(1-EXP(-LN(2)/2))/(LN(2)/2)*CG176*CJ176*VLOOKUP('Données projet'!$B$12,Paramètres!$A$1:$I$89,3,0)*0.475*44/12</f>
        <v>1.346483355558511E-23</v>
      </c>
      <c r="CN176" s="22">
        <f t="shared" si="172"/>
        <v>7.546860325346799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8.977999999999998</v>
      </c>
      <c r="CT176" s="12">
        <f>IF('Données projet'!$A$140&gt;35,CT175+CS176-DB175,IF(A176&lt;'Données projet'!$A$140,$CQ$205^A176,IF(A176='Données projet'!$A$140,'Données projet'!$B$140,CT175+CS176-DB175)))</f>
        <v>601.54199999999935</v>
      </c>
      <c r="CU176" s="17">
        <f>CT176*VLOOKUP('Données projet'!$B$13,Paramètres!$A$1:$I$89,3,0)*VLOOKUP('Données projet'!$B$13,Paramètres!$A$1:$I$89,5,0)</f>
        <v>685.03602959999932</v>
      </c>
      <c r="CV176" s="13">
        <f t="shared" si="173"/>
        <v>147.63469711131015</v>
      </c>
      <c r="CW176" s="20">
        <f t="shared" si="174"/>
        <v>1450.2348490221973</v>
      </c>
      <c r="CX176" s="59">
        <f t="shared" si="122"/>
        <v>1743.5681823555306</v>
      </c>
      <c r="CY176" s="59">
        <f ca="1">AVERAGE(OFFSET($CX$3,0,0,'Données projet'!$E$13+1,1))-AVERAGE(OFFSET($H$3,0,0,'Données projet'!$E$13+1,1))</f>
        <v>770.11410336045037</v>
      </c>
      <c r="CZ176" s="59">
        <f t="shared" si="150"/>
        <v>227.12611049004596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132.3030026163276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132.3030026163276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20.879999999999939</v>
      </c>
      <c r="DP176" s="17">
        <f>DO176*VLOOKUP('Données projet'!$B$14,Paramètres!$A$1:$I$89,3,0)*VLOOKUP('Données projet'!$B$14,Paramètres!$A$1:$I$89,5,0)</f>
        <v>21.172319999999939</v>
      </c>
      <c r="DQ176" s="13">
        <f t="shared" si="176"/>
        <v>6.8391332707776806</v>
      </c>
      <c r="DR176" s="20">
        <f t="shared" si="177"/>
        <v>48.786614446604354</v>
      </c>
      <c r="DS176" s="59">
        <f t="shared" si="125"/>
        <v>342.11994777993766</v>
      </c>
      <c r="DT176" s="59">
        <f ca="1">AVERAGE(OFFSET($DS$3,0,0,'Données projet'!$E$14+1,1))-AVERAGE(OFFSET($H$3,0,0,'Données projet'!$E$14+1,1))</f>
        <v>778.88878505968955</v>
      </c>
      <c r="DU176" s="59">
        <f t="shared" si="152"/>
        <v>279.20782832611059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301.95282415639451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301.95282415639451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369.00000000000011</v>
      </c>
      <c r="O177" s="13">
        <f>N177*VLOOKUP('Données projet'!$B$9,Paramètres!$A$1:$I$89,3,0)*VLOOKUP('Données projet'!$B$9,Paramètres!$A$1:$I$89,5,0)</f>
        <v>333.87120000000004</v>
      </c>
      <c r="P177" s="13">
        <f t="shared" si="141"/>
        <v>78.232360111376309</v>
      </c>
      <c r="Q177" s="20">
        <f t="shared" si="162"/>
        <v>717.74703386064709</v>
      </c>
      <c r="R177" s="59">
        <f t="shared" si="109"/>
        <v>1011.0803671939805</v>
      </c>
      <c r="S177" s="59">
        <f ca="1">AVERAGE(OFFSET($R$3,0,0,'Données projet'!$E$9+1,1))-AVERAGE(OFFSET($H$3,0,0,'Données projet'!$E$9+1,1))</f>
        <v>436.4497226650281</v>
      </c>
      <c r="T177" s="59">
        <f t="shared" si="142"/>
        <v>611.43967996341871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0.61038020640603663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0.61038020640603663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630</v>
      </c>
      <c r="AJ177" s="13">
        <f>AI177*VLOOKUP('Données projet'!$B$10,Paramètres!$A$1:$I$89,3,0)*VLOOKUP('Données projet'!$B$10,Paramètres!$A$1:$I$89,5,0)</f>
        <v>550.36800000000005</v>
      </c>
      <c r="AK177" s="13">
        <f t="shared" si="164"/>
        <v>121.67271812244785</v>
      </c>
      <c r="AL177" s="20">
        <f t="shared" si="165"/>
        <v>1170.4709173965966</v>
      </c>
      <c r="AM177" s="59">
        <f t="shared" si="113"/>
        <v>1463.8042507299299</v>
      </c>
      <c r="AN177" s="59">
        <f ca="1">AVERAGE(OFFSET($AM$3,0,0,'Données projet'!$E$10+1,1))-AVERAGE(OFFSET($H$3,0,0,'Données projet'!$E$10+1,1))</f>
        <v>662.13838733542616</v>
      </c>
      <c r="AO177" s="59">
        <f t="shared" si="144"/>
        <v>1194.915361841041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4.7800000000008822</v>
      </c>
      <c r="BE177" s="13">
        <f>BD177*VLOOKUP('Données projet'!$B$11,Paramètres!$A$1:$I$89,3,0)*VLOOKUP('Données projet'!$B$11,Paramètres!$A$1:$I$89,5,0)</f>
        <v>2.2370400000004129</v>
      </c>
      <c r="BF177" s="13">
        <f t="shared" si="167"/>
        <v>0.9386934556823372</v>
      </c>
      <c r="BG177" s="20">
        <f t="shared" si="168"/>
        <v>5.5310691019807896</v>
      </c>
      <c r="BH177" s="59">
        <f t="shared" si="116"/>
        <v>298.8644024353141</v>
      </c>
      <c r="BI177" s="59">
        <f ca="1">AVERAGE(OFFSET($BH$3,0,0,'Données projet'!$E$11+1,1))-AVERAGE(OFFSET($H$3,0,0,'Données projet'!$E$11+1,1))</f>
        <v>321.82962838167799</v>
      </c>
      <c r="BJ177" s="59">
        <f t="shared" si="146"/>
        <v>243.43396255104295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77.324968055473207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77.324968055473207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187.80389738728508</v>
      </c>
      <c r="CE177" s="59">
        <f t="shared" si="148"/>
        <v>439.28159165815265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7.1314563495076984</v>
      </c>
      <c r="CL177" s="21">
        <f>EXP(-LN(2)/25)*CL176+(1-EXP(-LN(2)/25))/(LN(2)/25)*Calculateur!CG177*Calculateur!CI177*VLOOKUP('Données projet'!$B$12,Paramètres!$A$1:$I$89,3,0)*0.475*44/12</f>
        <v>0.26530464259884301</v>
      </c>
      <c r="CM177" s="21">
        <f>EXP(-LN(2)/2)*CM176+(1-EXP(-LN(2)/2))/(LN(2)/2)*CG177*CJ177*VLOOKUP('Données projet'!$B$12,Paramètres!$A$1:$I$89,3,0)*0.475*44/12</f>
        <v>9.5210751147024034E-24</v>
      </c>
      <c r="CN177" s="22">
        <f t="shared" si="172"/>
        <v>7.3967609921065414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8.977999999999998</v>
      </c>
      <c r="CS177" s="12">
        <f t="array" ref="CS177">INDEX(CR:CR,MIN(IF(ISNUMBER(CR177:CR373),ROW(CR177:CR373),"")))</f>
        <v>8.977999999999998</v>
      </c>
      <c r="CT177" s="12">
        <f>IF('Données projet'!$A$140&gt;35,CT176+CS177-DB176,IF(A177&lt;'Données projet'!$A$140,$CQ$205^A177,IF(A177='Données projet'!$A$140,'Données projet'!$B$140,CT176+CS177-DB176)))</f>
        <v>610.5199999999993</v>
      </c>
      <c r="CU177" s="17">
        <f>CT177*VLOOKUP('Données projet'!$B$13,Paramètres!$A$1:$I$89,3,0)*VLOOKUP('Données projet'!$B$13,Paramètres!$A$1:$I$89,5,0)</f>
        <v>695.26017599999921</v>
      </c>
      <c r="CV177" s="13">
        <f t="shared" si="173"/>
        <v>149.57997864521161</v>
      </c>
      <c r="CW177" s="20">
        <f t="shared" si="174"/>
        <v>1471.4299360070752</v>
      </c>
      <c r="CX177" s="59">
        <f t="shared" si="122"/>
        <v>1764.7632693404084</v>
      </c>
      <c r="CY177" s="59">
        <f ca="1">AVERAGE(OFFSET($CX$3,0,0,'Données projet'!$E$13+1,1))-AVERAGE(OFFSET($H$3,0,0,'Données projet'!$E$13+1,1))</f>
        <v>770.11410336045037</v>
      </c>
      <c r="CZ177" s="59">
        <f t="shared" si="150"/>
        <v>227.12611049004596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0.43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245.97031409190953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245.97031409190953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20.879999999999939</v>
      </c>
      <c r="DP177" s="17">
        <f>DO177*VLOOKUP('Données projet'!$B$14,Paramètres!$A$1:$I$89,3,0)*VLOOKUP('Données projet'!$B$14,Paramètres!$A$1:$I$89,5,0)</f>
        <v>21.172319999999939</v>
      </c>
      <c r="DQ177" s="13">
        <f t="shared" si="176"/>
        <v>6.8391332707776806</v>
      </c>
      <c r="DR177" s="20">
        <f t="shared" si="177"/>
        <v>48.786614446604354</v>
      </c>
      <c r="DS177" s="59">
        <f t="shared" si="125"/>
        <v>342.11994777993766</v>
      </c>
      <c r="DT177" s="59">
        <f ca="1">AVERAGE(OFFSET($DS$3,0,0,'Données projet'!$E$14+1,1))-AVERAGE(OFFSET($H$3,0,0,'Données projet'!$E$14+1,1))</f>
        <v>778.88878505968955</v>
      </c>
      <c r="DU177" s="59">
        <f t="shared" si="152"/>
        <v>279.20782832611059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296.03171344772477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296.03171344772477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369.00000000000011</v>
      </c>
      <c r="O178" s="13">
        <f>N178*VLOOKUP('Données projet'!$B$9,Paramètres!$A$1:$I$89,3,0)*VLOOKUP('Données projet'!$B$9,Paramètres!$A$1:$I$89,5,0)</f>
        <v>333.87120000000004</v>
      </c>
      <c r="P178" s="13">
        <f t="shared" si="141"/>
        <v>78.232360111376309</v>
      </c>
      <c r="Q178" s="20">
        <f t="shared" si="162"/>
        <v>717.74703386064709</v>
      </c>
      <c r="R178" s="59">
        <f t="shared" si="109"/>
        <v>1011.0803671939805</v>
      </c>
      <c r="S178" s="59">
        <f ca="1">AVERAGE(OFFSET($R$3,0,0,'Données projet'!$E$9+1,1))-AVERAGE(OFFSET($H$3,0,0,'Données projet'!$E$9+1,1))</f>
        <v>436.4497226650281</v>
      </c>
      <c r="T178" s="59">
        <f t="shared" si="142"/>
        <v>611.43967996341871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0.59841102285357906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0.59841102285357906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630</v>
      </c>
      <c r="AJ178" s="13">
        <f>AI178*VLOOKUP('Données projet'!$B$10,Paramètres!$A$1:$I$89,3,0)*VLOOKUP('Données projet'!$B$10,Paramètres!$A$1:$I$89,5,0)</f>
        <v>550.36800000000005</v>
      </c>
      <c r="AK178" s="13">
        <f t="shared" si="164"/>
        <v>121.67271812244785</v>
      </c>
      <c r="AL178" s="20">
        <f t="shared" si="165"/>
        <v>1170.4709173965966</v>
      </c>
      <c r="AM178" s="59">
        <f t="shared" si="113"/>
        <v>1463.8042507299299</v>
      </c>
      <c r="AN178" s="59">
        <f ca="1">AVERAGE(OFFSET($AM$3,0,0,'Données projet'!$E$10+1,1))-AVERAGE(OFFSET($H$3,0,0,'Données projet'!$E$10+1,1))</f>
        <v>662.13838733542616</v>
      </c>
      <c r="AO178" s="59">
        <f t="shared" si="144"/>
        <v>1194.915361841041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4.7800000000008822</v>
      </c>
      <c r="BE178" s="13">
        <f>BD178*VLOOKUP('Données projet'!$B$11,Paramètres!$A$1:$I$89,3,0)*VLOOKUP('Données projet'!$B$11,Paramètres!$A$1:$I$89,5,0)</f>
        <v>2.2370400000004129</v>
      </c>
      <c r="BF178" s="13">
        <f t="shared" si="167"/>
        <v>0.9386934556823372</v>
      </c>
      <c r="BG178" s="20">
        <f t="shared" si="168"/>
        <v>5.5310691019807896</v>
      </c>
      <c r="BH178" s="59">
        <f t="shared" si="116"/>
        <v>298.8644024353141</v>
      </c>
      <c r="BI178" s="59">
        <f ca="1">AVERAGE(OFFSET($BH$3,0,0,'Données projet'!$E$11+1,1))-AVERAGE(OFFSET($H$3,0,0,'Données projet'!$E$11+1,1))</f>
        <v>321.82962838167799</v>
      </c>
      <c r="BJ178" s="59">
        <f t="shared" si="146"/>
        <v>243.43396255104295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75.808672595478882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75.808672595478882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187.80389738728508</v>
      </c>
      <c r="CE178" s="59">
        <f t="shared" si="148"/>
        <v>439.28159165815265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6.9916128402527224</v>
      </c>
      <c r="CL178" s="21">
        <f>EXP(-LN(2)/25)*CL177+(1-EXP(-LN(2)/25))/(LN(2)/25)*Calculateur!CG178*Calculateur!CI178*VLOOKUP('Données projet'!$B$12,Paramètres!$A$1:$I$89,3,0)*0.475*44/12</f>
        <v>0.25804987319521283</v>
      </c>
      <c r="CM178" s="21">
        <f>EXP(-LN(2)/2)*CM177+(1-EXP(-LN(2)/2))/(LN(2)/2)*CG178*CJ178*VLOOKUP('Données projet'!$B$12,Paramètres!$A$1:$I$89,3,0)*0.475*44/12</f>
        <v>6.7324167777925552E-24</v>
      </c>
      <c r="CN178" s="22">
        <f t="shared" si="172"/>
        <v>7.2496627134479352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-2.2700000000000009</v>
      </c>
      <c r="CT178" s="12">
        <f>IF('Données projet'!$A$140&gt;35,CT177+CS178-DB177,IF(A178&lt;'Données projet'!$A$140,$CQ$205^A178,IF(A178='Données projet'!$A$140,'Données projet'!$B$140,CT177+CS178-DB177)))</f>
        <v>393.47999999999934</v>
      </c>
      <c r="CU178" s="17">
        <f>CT178*VLOOKUP('Données projet'!$B$13,Paramètres!$A$1:$I$89,3,0)*VLOOKUP('Données projet'!$B$13,Paramètres!$A$1:$I$89,5,0)</f>
        <v>448.09502399999923</v>
      </c>
      <c r="CV178" s="13">
        <f t="shared" si="173"/>
        <v>101.46183299507237</v>
      </c>
      <c r="CW178" s="20">
        <f t="shared" si="174"/>
        <v>957.14485926641635</v>
      </c>
      <c r="CX178" s="59">
        <f t="shared" si="122"/>
        <v>1250.4781925997497</v>
      </c>
      <c r="CY178" s="59">
        <f ca="1">AVERAGE(OFFSET($CX$3,0,0,'Données projet'!$E$13+1,1))-AVERAGE(OFFSET($H$3,0,0,'Données projet'!$E$13+1,1))</f>
        <v>770.11410336045037</v>
      </c>
      <c r="CZ178" s="59">
        <f t="shared" si="150"/>
        <v>227.12611049004596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241.14698625964485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241.14698625964485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20.879999999999939</v>
      </c>
      <c r="DP178" s="17">
        <f>DO178*VLOOKUP('Données projet'!$B$14,Paramètres!$A$1:$I$89,3,0)*VLOOKUP('Données projet'!$B$14,Paramètres!$A$1:$I$89,5,0)</f>
        <v>21.172319999999939</v>
      </c>
      <c r="DQ178" s="13">
        <f t="shared" si="176"/>
        <v>6.8391332707776806</v>
      </c>
      <c r="DR178" s="20">
        <f t="shared" si="177"/>
        <v>48.786614446604354</v>
      </c>
      <c r="DS178" s="59">
        <f t="shared" si="125"/>
        <v>342.11994777993766</v>
      </c>
      <c r="DT178" s="59">
        <f ca="1">AVERAGE(OFFSET($DS$3,0,0,'Données projet'!$E$14+1,1))-AVERAGE(OFFSET($H$3,0,0,'Données projet'!$E$14+1,1))</f>
        <v>778.88878505968955</v>
      </c>
      <c r="DU178" s="59">
        <f t="shared" si="152"/>
        <v>279.20782832611059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290.2267121085311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290.2267121085311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369.00000000000011</v>
      </c>
      <c r="O179" s="13">
        <f>N179*VLOOKUP('Données projet'!$B$9,Paramètres!$A$1:$I$89,3,0)*VLOOKUP('Données projet'!$B$9,Paramètres!$A$1:$I$89,5,0)</f>
        <v>333.87120000000004</v>
      </c>
      <c r="P179" s="13">
        <f t="shared" si="141"/>
        <v>78.232360111376309</v>
      </c>
      <c r="Q179" s="20">
        <f t="shared" si="162"/>
        <v>717.74703386064709</v>
      </c>
      <c r="R179" s="59">
        <f t="shared" si="109"/>
        <v>1011.0803671939805</v>
      </c>
      <c r="S179" s="59">
        <f ca="1">AVERAGE(OFFSET($R$3,0,0,'Données projet'!$E$9+1,1))-AVERAGE(OFFSET($H$3,0,0,'Données projet'!$E$9+1,1))</f>
        <v>436.4497226650281</v>
      </c>
      <c r="T179" s="59">
        <f t="shared" si="142"/>
        <v>611.43967996341871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0.58667654769010413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0.58667654769010413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630</v>
      </c>
      <c r="AJ179" s="13">
        <f>AI179*VLOOKUP('Données projet'!$B$10,Paramètres!$A$1:$I$89,3,0)*VLOOKUP('Données projet'!$B$10,Paramètres!$A$1:$I$89,5,0)</f>
        <v>550.36800000000005</v>
      </c>
      <c r="AK179" s="13">
        <f t="shared" si="164"/>
        <v>121.67271812244785</v>
      </c>
      <c r="AL179" s="20">
        <f t="shared" si="165"/>
        <v>1170.4709173965966</v>
      </c>
      <c r="AM179" s="59">
        <f t="shared" si="113"/>
        <v>1463.8042507299299</v>
      </c>
      <c r="AN179" s="59">
        <f ca="1">AVERAGE(OFFSET($AM$3,0,0,'Données projet'!$E$10+1,1))-AVERAGE(OFFSET($H$3,0,0,'Données projet'!$E$10+1,1))</f>
        <v>662.13838733542616</v>
      </c>
      <c r="AO179" s="59">
        <f t="shared" si="144"/>
        <v>1194.915361841041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4.7800000000008822</v>
      </c>
      <c r="BE179" s="13">
        <f>BD179*VLOOKUP('Données projet'!$B$11,Paramètres!$A$1:$I$89,3,0)*VLOOKUP('Données projet'!$B$11,Paramètres!$A$1:$I$89,5,0)</f>
        <v>2.2370400000004129</v>
      </c>
      <c r="BF179" s="13">
        <f t="shared" si="167"/>
        <v>0.9386934556823372</v>
      </c>
      <c r="BG179" s="20">
        <f t="shared" si="168"/>
        <v>5.5310691019807896</v>
      </c>
      <c r="BH179" s="59">
        <f t="shared" si="116"/>
        <v>298.8644024353141</v>
      </c>
      <c r="BI179" s="59">
        <f ca="1">AVERAGE(OFFSET($BH$3,0,0,'Données projet'!$E$11+1,1))-AVERAGE(OFFSET($H$3,0,0,'Données projet'!$E$11+1,1))</f>
        <v>321.82962838167799</v>
      </c>
      <c r="BJ179" s="59">
        <f t="shared" si="146"/>
        <v>243.43396255104295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74.322110764606123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74.322110764606123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187.80389738728508</v>
      </c>
      <c r="CE179" s="59">
        <f t="shared" si="148"/>
        <v>439.28159165815265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6.8545115769181182</v>
      </c>
      <c r="CL179" s="21">
        <f>EXP(-LN(2)/25)*CL178+(1-EXP(-LN(2)/25))/(LN(2)/25)*Calculateur!CG179*Calculateur!CI179*VLOOKUP('Données projet'!$B$12,Paramètres!$A$1:$I$89,3,0)*0.475*44/12</f>
        <v>0.25099348584243669</v>
      </c>
      <c r="CM179" s="21">
        <f>EXP(-LN(2)/2)*CM178+(1-EXP(-LN(2)/2))/(LN(2)/2)*CG179*CJ179*VLOOKUP('Données projet'!$B$12,Paramètres!$A$1:$I$89,3,0)*0.475*44/12</f>
        <v>4.7605375573512017E-24</v>
      </c>
      <c r="CN179" s="22">
        <f t="shared" si="172"/>
        <v>7.1055050627605549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-2.2700000000000009</v>
      </c>
      <c r="CT179" s="12">
        <f>IF('Données projet'!$A$140&gt;35,CT178+CS179-DB178,IF(A179&lt;'Données projet'!$A$140,$CQ$205^A179,IF(A179='Données projet'!$A$140,'Données projet'!$B$140,CT178+CS179-DB178)))</f>
        <v>391.20999999999935</v>
      </c>
      <c r="CU179" s="17">
        <f>CT179*VLOOKUP('Données projet'!$B$13,Paramètres!$A$1:$I$89,3,0)*VLOOKUP('Données projet'!$B$13,Paramètres!$A$1:$I$89,5,0)</f>
        <v>445.50994799999921</v>
      </c>
      <c r="CV179" s="13">
        <f t="shared" si="173"/>
        <v>100.94445528672527</v>
      </c>
      <c r="CW179" s="20">
        <f t="shared" si="174"/>
        <v>951.74141905771182</v>
      </c>
      <c r="CX179" s="59">
        <f t="shared" si="122"/>
        <v>1245.0747523910452</v>
      </c>
      <c r="CY179" s="59">
        <f ca="1">AVERAGE(OFFSET($CX$3,0,0,'Données projet'!$E$13+1,1))-AVERAGE(OFFSET($H$3,0,0,'Données projet'!$E$13+1,1))</f>
        <v>770.11410336045037</v>
      </c>
      <c r="CZ179" s="59">
        <f t="shared" si="150"/>
        <v>227.12611049004596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236.41824094423137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236.41824094423137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20.879999999999939</v>
      </c>
      <c r="DP179" s="17">
        <f>DO179*VLOOKUP('Données projet'!$B$14,Paramètres!$A$1:$I$89,3,0)*VLOOKUP('Données projet'!$B$14,Paramètres!$A$1:$I$89,5,0)</f>
        <v>21.172319999999939</v>
      </c>
      <c r="DQ179" s="13">
        <f t="shared" si="176"/>
        <v>6.8391332707776806</v>
      </c>
      <c r="DR179" s="20">
        <f t="shared" si="177"/>
        <v>48.786614446604354</v>
      </c>
      <c r="DS179" s="59">
        <f t="shared" si="125"/>
        <v>342.11994777993766</v>
      </c>
      <c r="DT179" s="59">
        <f ca="1">AVERAGE(OFFSET($DS$3,0,0,'Données projet'!$E$14+1,1))-AVERAGE(OFFSET($H$3,0,0,'Données projet'!$E$14+1,1))</f>
        <v>778.88878505968955</v>
      </c>
      <c r="DU179" s="59">
        <f t="shared" si="152"/>
        <v>279.20782832611059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284.53554330489783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284.53554330489783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369.00000000000011</v>
      </c>
      <c r="O180" s="13">
        <f>N180*VLOOKUP('Données projet'!$B$9,Paramètres!$A$1:$I$89,3,0)*VLOOKUP('Données projet'!$B$9,Paramètres!$A$1:$I$89,5,0)</f>
        <v>333.87120000000004</v>
      </c>
      <c r="P180" s="13">
        <f t="shared" si="141"/>
        <v>78.232360111376309</v>
      </c>
      <c r="Q180" s="20">
        <f t="shared" si="162"/>
        <v>717.74703386064709</v>
      </c>
      <c r="R180" s="59">
        <f t="shared" si="109"/>
        <v>1011.0803671939805</v>
      </c>
      <c r="S180" s="59">
        <f ca="1">AVERAGE(OFFSET($R$3,0,0,'Données projet'!$E$9+1,1))-AVERAGE(OFFSET($H$3,0,0,'Données projet'!$E$9+1,1))</f>
        <v>436.4497226650281</v>
      </c>
      <c r="T180" s="59">
        <f t="shared" si="142"/>
        <v>611.43967996341871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0.57517217842726176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0.57517217842726176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630</v>
      </c>
      <c r="AJ180" s="13">
        <f>AI180*VLOOKUP('Données projet'!$B$10,Paramètres!$A$1:$I$89,3,0)*VLOOKUP('Données projet'!$B$10,Paramètres!$A$1:$I$89,5,0)</f>
        <v>550.36800000000005</v>
      </c>
      <c r="AK180" s="13">
        <f t="shared" si="164"/>
        <v>121.67271812244785</v>
      </c>
      <c r="AL180" s="20">
        <f t="shared" si="165"/>
        <v>1170.4709173965966</v>
      </c>
      <c r="AM180" s="59">
        <f t="shared" si="113"/>
        <v>1463.8042507299299</v>
      </c>
      <c r="AN180" s="59">
        <f ca="1">AVERAGE(OFFSET($AM$3,0,0,'Données projet'!$E$10+1,1))-AVERAGE(OFFSET($H$3,0,0,'Données projet'!$E$10+1,1))</f>
        <v>662.13838733542616</v>
      </c>
      <c r="AO180" s="59">
        <f t="shared" si="144"/>
        <v>1194.915361841041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4.7800000000008822</v>
      </c>
      <c r="BE180" s="13">
        <f>BD180*VLOOKUP('Données projet'!$B$11,Paramètres!$A$1:$I$89,3,0)*VLOOKUP('Données projet'!$B$11,Paramètres!$A$1:$I$89,5,0)</f>
        <v>2.2370400000004129</v>
      </c>
      <c r="BF180" s="13">
        <f t="shared" si="167"/>
        <v>0.9386934556823372</v>
      </c>
      <c r="BG180" s="20">
        <f t="shared" si="168"/>
        <v>5.5310691019807896</v>
      </c>
      <c r="BH180" s="59">
        <f t="shared" si="116"/>
        <v>298.8644024353141</v>
      </c>
      <c r="BI180" s="59">
        <f ca="1">AVERAGE(OFFSET($BH$3,0,0,'Données projet'!$E$11+1,1))-AVERAGE(OFFSET($H$3,0,0,'Données projet'!$E$11+1,1))</f>
        <v>321.82962838167799</v>
      </c>
      <c r="BJ180" s="59">
        <f t="shared" si="146"/>
        <v>243.43396255104295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72.8646995045236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72.8646995045236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187.80389738728508</v>
      </c>
      <c r="CE180" s="59">
        <f t="shared" si="148"/>
        <v>439.28159165815265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6.7200987857339927</v>
      </c>
      <c r="CL180" s="21">
        <f>EXP(-LN(2)/25)*CL179+(1-EXP(-LN(2)/25))/(LN(2)/25)*Calculateur!CG180*Calculateur!CI180*VLOOKUP('Données projet'!$B$12,Paramètres!$A$1:$I$89,3,0)*0.475*44/12</f>
        <v>0.24413005577290151</v>
      </c>
      <c r="CM180" s="21">
        <f>EXP(-LN(2)/2)*CM179+(1-EXP(-LN(2)/2))/(LN(2)/2)*CG180*CJ180*VLOOKUP('Données projet'!$B$12,Paramètres!$A$1:$I$89,3,0)*0.475*44/12</f>
        <v>3.3662083888962776E-24</v>
      </c>
      <c r="CN180" s="22">
        <f t="shared" si="172"/>
        <v>6.9642288415068938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-2.2700000000000009</v>
      </c>
      <c r="CS180" s="12">
        <f t="array" ref="CS180">INDEX(CR:CR,MIN(IF(ISNUMBER(CR180:CR376),ROW(CR180:CR376),"")))</f>
        <v>-2.2700000000000009</v>
      </c>
      <c r="CT180" s="12">
        <f>IF('Données projet'!$A$140&gt;35,CT179+CS180-DB179,IF(A180&lt;'Données projet'!$A$140,$CQ$205^A180,IF(A180='Données projet'!$A$140,'Données projet'!$B$140,CT179+CS180-DB179)))</f>
        <v>388.93999999999937</v>
      </c>
      <c r="CU180" s="17">
        <f>CT180*VLOOKUP('Données projet'!$B$13,Paramètres!$A$1:$I$89,3,0)*VLOOKUP('Données projet'!$B$13,Paramètres!$A$1:$I$89,5,0)</f>
        <v>442.92487199999931</v>
      </c>
      <c r="CV180" s="13">
        <f t="shared" si="173"/>
        <v>100.42672801505884</v>
      </c>
      <c r="CW180" s="20">
        <f t="shared" si="174"/>
        <v>946.33737002622627</v>
      </c>
      <c r="CX180" s="59">
        <f t="shared" si="122"/>
        <v>1239.6707033595596</v>
      </c>
      <c r="CY180" s="59">
        <f ca="1">AVERAGE(OFFSET($CX$3,0,0,'Données projet'!$E$13+1,1))-AVERAGE(OFFSET($H$3,0,0,'Données projet'!$E$13+1,1))</f>
        <v>770.11410336045037</v>
      </c>
      <c r="CZ180" s="59">
        <f t="shared" si="150"/>
        <v>227.12611049004596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0.43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294.13815945318578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294.13815945318578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20.879999999999939</v>
      </c>
      <c r="DP180" s="17">
        <f>DO180*VLOOKUP('Données projet'!$B$14,Paramètres!$A$1:$I$89,3,0)*VLOOKUP('Données projet'!$B$14,Paramètres!$A$1:$I$89,5,0)</f>
        <v>21.172319999999939</v>
      </c>
      <c r="DQ180" s="13">
        <f t="shared" si="176"/>
        <v>6.8391332707776806</v>
      </c>
      <c r="DR180" s="20">
        <f t="shared" si="177"/>
        <v>48.786614446604354</v>
      </c>
      <c r="DS180" s="59">
        <f t="shared" si="125"/>
        <v>342.11994777993766</v>
      </c>
      <c r="DT180" s="59">
        <f ca="1">AVERAGE(OFFSET($DS$3,0,0,'Données projet'!$E$14+1,1))-AVERAGE(OFFSET($H$3,0,0,'Données projet'!$E$14+1,1))</f>
        <v>778.88878505968955</v>
      </c>
      <c r="DU180" s="59">
        <f t="shared" si="152"/>
        <v>279.20782832611059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278.95597485023359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278.95597485023359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369.00000000000011</v>
      </c>
      <c r="O181" s="13">
        <f>N181*VLOOKUP('Données projet'!$B$9,Paramètres!$A$1:$I$89,3,0)*VLOOKUP('Données projet'!$B$9,Paramètres!$A$1:$I$89,5,0)</f>
        <v>333.87120000000004</v>
      </c>
      <c r="P181" s="13">
        <f t="shared" si="141"/>
        <v>78.232360111376309</v>
      </c>
      <c r="Q181" s="20">
        <f t="shared" si="162"/>
        <v>717.74703386064709</v>
      </c>
      <c r="R181" s="59">
        <f t="shared" si="109"/>
        <v>1011.0803671939805</v>
      </c>
      <c r="S181" s="59">
        <f ca="1">AVERAGE(OFFSET($R$3,0,0,'Données projet'!$E$9+1,1))-AVERAGE(OFFSET($H$3,0,0,'Données projet'!$E$9+1,1))</f>
        <v>436.4497226650281</v>
      </c>
      <c r="T181" s="59">
        <f t="shared" si="142"/>
        <v>611.43967996341871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0.56389340282869138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0.56389340282869138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630</v>
      </c>
      <c r="AJ181" s="13">
        <f>AI181*VLOOKUP('Données projet'!$B$10,Paramètres!$A$1:$I$89,3,0)*VLOOKUP('Données projet'!$B$10,Paramètres!$A$1:$I$89,5,0)</f>
        <v>550.36800000000005</v>
      </c>
      <c r="AK181" s="13">
        <f t="shared" si="164"/>
        <v>121.67271812244785</v>
      </c>
      <c r="AL181" s="20">
        <f t="shared" si="165"/>
        <v>1170.4709173965966</v>
      </c>
      <c r="AM181" s="59">
        <f t="shared" si="113"/>
        <v>1463.8042507299299</v>
      </c>
      <c r="AN181" s="59">
        <f ca="1">AVERAGE(OFFSET($AM$3,0,0,'Données projet'!$E$10+1,1))-AVERAGE(OFFSET($H$3,0,0,'Données projet'!$E$10+1,1))</f>
        <v>662.13838733542616</v>
      </c>
      <c r="AO181" s="59">
        <f t="shared" si="144"/>
        <v>1194.915361841041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4.7800000000008822</v>
      </c>
      <c r="BE181" s="13">
        <f>BD181*VLOOKUP('Données projet'!$B$11,Paramètres!$A$1:$I$89,3,0)*VLOOKUP('Données projet'!$B$11,Paramètres!$A$1:$I$89,5,0)</f>
        <v>2.2370400000004129</v>
      </c>
      <c r="BF181" s="13">
        <f t="shared" si="167"/>
        <v>0.9386934556823372</v>
      </c>
      <c r="BG181" s="20">
        <f t="shared" si="168"/>
        <v>5.5310691019807896</v>
      </c>
      <c r="BH181" s="59">
        <f t="shared" si="116"/>
        <v>298.8644024353141</v>
      </c>
      <c r="BI181" s="59">
        <f ca="1">AVERAGE(OFFSET($BH$3,0,0,'Données projet'!$E$11+1,1))-AVERAGE(OFFSET($H$3,0,0,'Données projet'!$E$11+1,1))</f>
        <v>321.82962838167799</v>
      </c>
      <c r="BJ181" s="59">
        <f t="shared" si="146"/>
        <v>243.43396255104295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71.435867190318206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71.435867190318206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187.80389738728508</v>
      </c>
      <c r="CE181" s="59">
        <f t="shared" si="148"/>
        <v>439.28159165815265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6.5883217474012801</v>
      </c>
      <c r="CL181" s="21">
        <f>EXP(-LN(2)/25)*CL180+(1-EXP(-LN(2)/25))/(LN(2)/25)*Calculateur!CG181*Calculateur!CI181*VLOOKUP('Données projet'!$B$12,Paramètres!$A$1:$I$89,3,0)*0.475*44/12</f>
        <v>0.23745430655954985</v>
      </c>
      <c r="CM181" s="21">
        <f>EXP(-LN(2)/2)*CM180+(1-EXP(-LN(2)/2))/(LN(2)/2)*CG181*CJ181*VLOOKUP('Données projet'!$B$12,Paramètres!$A$1:$I$89,3,0)*0.475*44/12</f>
        <v>2.3802687786756008E-24</v>
      </c>
      <c r="CN181" s="22">
        <f t="shared" si="172"/>
        <v>6.8257760539608299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-0.72999999999999921</v>
      </c>
      <c r="CT181" s="12">
        <f>IF('Données projet'!$A$140&gt;35,CT180+CS181-DB180,IF(A181&lt;'Données projet'!$A$140,$CQ$205^A181,IF(A181='Données projet'!$A$140,'Données projet'!$B$140,CT180+CS181-DB180)))</f>
        <v>273.01999999999936</v>
      </c>
      <c r="CU181" s="17">
        <f>CT181*VLOOKUP('Données projet'!$B$13,Paramètres!$A$1:$I$89,3,0)*VLOOKUP('Données projet'!$B$13,Paramètres!$A$1:$I$89,5,0)</f>
        <v>310.91517599999929</v>
      </c>
      <c r="CV181" s="13">
        <f t="shared" si="173"/>
        <v>73.459922543071386</v>
      </c>
      <c r="CW181" s="20">
        <f t="shared" si="174"/>
        <v>669.45329662918141</v>
      </c>
      <c r="CX181" s="59">
        <f t="shared" si="122"/>
        <v>962.78662996251478</v>
      </c>
      <c r="CY181" s="59">
        <f ca="1">AVERAGE(OFFSET($CX$3,0,0,'Données projet'!$E$13+1,1))-AVERAGE(OFFSET($H$3,0,0,'Données projet'!$E$13+1,1))</f>
        <v>770.11410336045037</v>
      </c>
      <c r="CZ181" s="59">
        <f t="shared" si="150"/>
        <v>227.12611049004596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288.37028955287116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288.37028955287116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20.879999999999939</v>
      </c>
      <c r="DP181" s="17">
        <f>DO181*VLOOKUP('Données projet'!$B$14,Paramètres!$A$1:$I$89,3,0)*VLOOKUP('Données projet'!$B$14,Paramètres!$A$1:$I$89,5,0)</f>
        <v>21.172319999999939</v>
      </c>
      <c r="DQ181" s="13">
        <f t="shared" si="176"/>
        <v>6.8391332707776806</v>
      </c>
      <c r="DR181" s="20">
        <f t="shared" si="177"/>
        <v>48.786614446604354</v>
      </c>
      <c r="DS181" s="59">
        <f t="shared" si="125"/>
        <v>342.11994777993766</v>
      </c>
      <c r="DT181" s="59">
        <f ca="1">AVERAGE(OFFSET($DS$3,0,0,'Données projet'!$E$14+1,1))-AVERAGE(OFFSET($H$3,0,0,'Données projet'!$E$14+1,1))</f>
        <v>778.88878505968955</v>
      </c>
      <c r="DU181" s="59">
        <f t="shared" si="152"/>
        <v>279.20782832611059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273.48581832976458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273.48581832976458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369.00000000000011</v>
      </c>
      <c r="O182" s="13">
        <f>N182*VLOOKUP('Données projet'!$B$9,Paramètres!$A$1:$I$89,3,0)*VLOOKUP('Données projet'!$B$9,Paramètres!$A$1:$I$89,5,0)</f>
        <v>333.87120000000004</v>
      </c>
      <c r="P182" s="13">
        <f t="shared" si="141"/>
        <v>78.232360111376309</v>
      </c>
      <c r="Q182" s="20">
        <f t="shared" si="162"/>
        <v>717.74703386064709</v>
      </c>
      <c r="R182" s="59">
        <f t="shared" si="109"/>
        <v>1011.0803671939805</v>
      </c>
      <c r="S182" s="59">
        <f ca="1">AVERAGE(OFFSET($R$3,0,0,'Données projet'!$E$9+1,1))-AVERAGE(OFFSET($H$3,0,0,'Données projet'!$E$9+1,1))</f>
        <v>436.4497226650281</v>
      </c>
      <c r="T182" s="59">
        <f t="shared" si="142"/>
        <v>611.43967996341871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0.55283579714023512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0.55283579714023512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630</v>
      </c>
      <c r="AJ182" s="13">
        <f>AI182*VLOOKUP('Données projet'!$B$10,Paramètres!$A$1:$I$89,3,0)*VLOOKUP('Données projet'!$B$10,Paramètres!$A$1:$I$89,5,0)</f>
        <v>550.36800000000005</v>
      </c>
      <c r="AK182" s="13">
        <f t="shared" si="164"/>
        <v>121.67271812244785</v>
      </c>
      <c r="AL182" s="20">
        <f t="shared" si="165"/>
        <v>1170.4709173965966</v>
      </c>
      <c r="AM182" s="59">
        <f t="shared" si="113"/>
        <v>1463.8042507299299</v>
      </c>
      <c r="AN182" s="59">
        <f ca="1">AVERAGE(OFFSET($AM$3,0,0,'Données projet'!$E$10+1,1))-AVERAGE(OFFSET($H$3,0,0,'Données projet'!$E$10+1,1))</f>
        <v>662.13838733542616</v>
      </c>
      <c r="AO182" s="59">
        <f t="shared" si="144"/>
        <v>1194.915361841041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4.7800000000008822</v>
      </c>
      <c r="BE182" s="13">
        <f>BD182*VLOOKUP('Données projet'!$B$11,Paramètres!$A$1:$I$89,3,0)*VLOOKUP('Données projet'!$B$11,Paramètres!$A$1:$I$89,5,0)</f>
        <v>2.2370400000004129</v>
      </c>
      <c r="BF182" s="13">
        <f t="shared" si="167"/>
        <v>0.9386934556823372</v>
      </c>
      <c r="BG182" s="20">
        <f t="shared" si="168"/>
        <v>5.5310691019807896</v>
      </c>
      <c r="BH182" s="59">
        <f t="shared" si="116"/>
        <v>298.8644024353141</v>
      </c>
      <c r="BI182" s="59">
        <f ca="1">AVERAGE(OFFSET($BH$3,0,0,'Données projet'!$E$11+1,1))-AVERAGE(OFFSET($H$3,0,0,'Données projet'!$E$11+1,1))</f>
        <v>321.82962838167799</v>
      </c>
      <c r="BJ182" s="59">
        <f t="shared" si="146"/>
        <v>243.43396255104295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70.035053406292718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70.035053406292718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187.80389738728508</v>
      </c>
      <c r="CE182" s="59">
        <f t="shared" si="148"/>
        <v>439.28159165815265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6.4591287764142153</v>
      </c>
      <c r="CL182" s="21">
        <f>EXP(-LN(2)/25)*CL181+(1-EXP(-LN(2)/25))/(LN(2)/25)*Calculateur!CG182*Calculateur!CI182*VLOOKUP('Données projet'!$B$12,Paramètres!$A$1:$I$89,3,0)*0.475*44/12</f>
        <v>0.23096110605949968</v>
      </c>
      <c r="CM182" s="21">
        <f>EXP(-LN(2)/2)*CM181+(1-EXP(-LN(2)/2))/(LN(2)/2)*CG182*CJ182*VLOOKUP('Données projet'!$B$12,Paramètres!$A$1:$I$89,3,0)*0.475*44/12</f>
        <v>1.6831041944481388E-24</v>
      </c>
      <c r="CN182" s="22">
        <f t="shared" si="172"/>
        <v>6.6900898824737149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-0.72999999999999921</v>
      </c>
      <c r="CT182" s="12">
        <f>IF('Données projet'!$A$140&gt;35,CT181+CS182-DB181,IF(A182&lt;'Données projet'!$A$140,$CQ$205^A182,IF(A182='Données projet'!$A$140,'Données projet'!$B$140,CT181+CS182-DB181)))</f>
        <v>272.28999999999934</v>
      </c>
      <c r="CU182" s="17">
        <f>CT182*VLOOKUP('Données projet'!$B$13,Paramètres!$A$1:$I$89,3,0)*VLOOKUP('Données projet'!$B$13,Paramètres!$A$1:$I$89,5,0)</f>
        <v>310.08385199999924</v>
      </c>
      <c r="CV182" s="13">
        <f t="shared" si="173"/>
        <v>73.286341531132351</v>
      </c>
      <c r="CW182" s="20">
        <f t="shared" si="174"/>
        <v>667.70308706672074</v>
      </c>
      <c r="CX182" s="59">
        <f t="shared" si="122"/>
        <v>961.03642040005411</v>
      </c>
      <c r="CY182" s="59">
        <f ca="1">AVERAGE(OFFSET($CX$3,0,0,'Données projet'!$E$13+1,1))-AVERAGE(OFFSET($H$3,0,0,'Données projet'!$E$13+1,1))</f>
        <v>770.11410336045037</v>
      </c>
      <c r="CZ182" s="59">
        <f t="shared" si="150"/>
        <v>227.12611049004596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282.71552406324844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282.71552406324844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20.879999999999939</v>
      </c>
      <c r="DP182" s="17">
        <f>DO182*VLOOKUP('Données projet'!$B$14,Paramètres!$A$1:$I$89,3,0)*VLOOKUP('Données projet'!$B$14,Paramètres!$A$1:$I$89,5,0)</f>
        <v>21.172319999999939</v>
      </c>
      <c r="DQ182" s="13">
        <f t="shared" si="176"/>
        <v>6.8391332707776806</v>
      </c>
      <c r="DR182" s="20">
        <f t="shared" si="177"/>
        <v>48.786614446604354</v>
      </c>
      <c r="DS182" s="59">
        <f t="shared" si="125"/>
        <v>342.11994777993766</v>
      </c>
      <c r="DT182" s="59">
        <f ca="1">AVERAGE(OFFSET($DS$3,0,0,'Données projet'!$E$14+1,1))-AVERAGE(OFFSET($H$3,0,0,'Données projet'!$E$14+1,1))</f>
        <v>778.88878505968955</v>
      </c>
      <c r="DU182" s="59">
        <f t="shared" si="152"/>
        <v>279.20782832611059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268.122928242196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268.122928242196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369.00000000000011</v>
      </c>
      <c r="O183" s="13">
        <f>N183*VLOOKUP('Données projet'!$B$9,Paramètres!$A$1:$I$89,3,0)*VLOOKUP('Données projet'!$B$9,Paramètres!$A$1:$I$89,5,0)</f>
        <v>333.87120000000004</v>
      </c>
      <c r="P183" s="13">
        <f t="shared" si="141"/>
        <v>78.232360111376309</v>
      </c>
      <c r="Q183" s="20">
        <f t="shared" si="162"/>
        <v>717.74703386064709</v>
      </c>
      <c r="R183" s="59">
        <f t="shared" si="109"/>
        <v>1011.0803671939805</v>
      </c>
      <c r="S183" s="59">
        <f ca="1">AVERAGE(OFFSET($R$3,0,0,'Données projet'!$E$9+1,1))-AVERAGE(OFFSET($H$3,0,0,'Données projet'!$E$9+1,1))</f>
        <v>436.4497226650281</v>
      </c>
      <c r="T183" s="59">
        <f t="shared" si="142"/>
        <v>611.43967996341871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0.54199502435485603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0.54199502435485603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630</v>
      </c>
      <c r="AJ183" s="13">
        <f>AI183*VLOOKUP('Données projet'!$B$10,Paramètres!$A$1:$I$89,3,0)*VLOOKUP('Données projet'!$B$10,Paramètres!$A$1:$I$89,5,0)</f>
        <v>550.36800000000005</v>
      </c>
      <c r="AK183" s="13">
        <f t="shared" si="164"/>
        <v>121.67271812244785</v>
      </c>
      <c r="AL183" s="20">
        <f t="shared" si="165"/>
        <v>1170.4709173965966</v>
      </c>
      <c r="AM183" s="59">
        <f t="shared" si="113"/>
        <v>1463.8042507299299</v>
      </c>
      <c r="AN183" s="59">
        <f ca="1">AVERAGE(OFFSET($AM$3,0,0,'Données projet'!$E$10+1,1))-AVERAGE(OFFSET($H$3,0,0,'Données projet'!$E$10+1,1))</f>
        <v>662.13838733542616</v>
      </c>
      <c r="AO183" s="59">
        <f t="shared" si="144"/>
        <v>1194.915361841041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4.7800000000008822</v>
      </c>
      <c r="BE183" s="13">
        <f>BD183*VLOOKUP('Données projet'!$B$11,Paramètres!$A$1:$I$89,3,0)*VLOOKUP('Données projet'!$B$11,Paramètres!$A$1:$I$89,5,0)</f>
        <v>2.2370400000004129</v>
      </c>
      <c r="BF183" s="13">
        <f t="shared" si="167"/>
        <v>0.9386934556823372</v>
      </c>
      <c r="BG183" s="20">
        <f t="shared" si="168"/>
        <v>5.5310691019807896</v>
      </c>
      <c r="BH183" s="59">
        <f t="shared" si="116"/>
        <v>298.8644024353141</v>
      </c>
      <c r="BI183" s="59">
        <f ca="1">AVERAGE(OFFSET($BH$3,0,0,'Données projet'!$E$11+1,1))-AVERAGE(OFFSET($H$3,0,0,'Données projet'!$E$11+1,1))</f>
        <v>321.82962838167799</v>
      </c>
      <c r="BJ183" s="59">
        <f t="shared" si="146"/>
        <v>243.43396255104295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68.661708726159929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68.661708726159929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187.80389738728508</v>
      </c>
      <c r="CE183" s="59">
        <f t="shared" si="148"/>
        <v>439.28159165815265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6.3324692007882755</v>
      </c>
      <c r="CL183" s="21">
        <f>EXP(-LN(2)/25)*CL182+(1-EXP(-LN(2)/25))/(LN(2)/25)*Calculateur!CG183*Calculateur!CI183*VLOOKUP('Données projet'!$B$12,Paramètres!$A$1:$I$89,3,0)*0.475*44/12</f>
        <v>0.22464546246858597</v>
      </c>
      <c r="CM183" s="21">
        <f>EXP(-LN(2)/2)*CM182+(1-EXP(-LN(2)/2))/(LN(2)/2)*CG183*CJ183*VLOOKUP('Données projet'!$B$12,Paramètres!$A$1:$I$89,3,0)*0.475*44/12</f>
        <v>1.1901343893378004E-24</v>
      </c>
      <c r="CN183" s="22">
        <f t="shared" si="172"/>
        <v>6.5571146632568613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-0.72999999999999921</v>
      </c>
      <c r="CS183" s="12">
        <f t="array" ref="CS183">INDEX(CR:CR,MIN(IF(ISNUMBER(CR183:CR379),ROW(CR183:CR379),"")))</f>
        <v>-0.72999999999999921</v>
      </c>
      <c r="CT183" s="12">
        <f>IF('Données projet'!$A$140&gt;35,CT182+CS183-DB182,IF(A183&lt;'Données projet'!$A$140,$CQ$205^A183,IF(A183='Données projet'!$A$140,'Données projet'!$B$140,CT182+CS183-DB182)))</f>
        <v>271.55999999999932</v>
      </c>
      <c r="CU183" s="17">
        <f>CT183*VLOOKUP('Données projet'!$B$13,Paramètres!$A$1:$I$89,3,0)*VLOOKUP('Données projet'!$B$13,Paramètres!$A$1:$I$89,5,0)</f>
        <v>309.25252799999919</v>
      </c>
      <c r="CV183" s="13">
        <f t="shared" si="173"/>
        <v>73.112706342227156</v>
      </c>
      <c r="CW183" s="20">
        <f t="shared" si="174"/>
        <v>665.95278314604423</v>
      </c>
      <c r="CX183" s="59">
        <f t="shared" si="122"/>
        <v>959.2861164793776</v>
      </c>
      <c r="CY183" s="59">
        <f ca="1">AVERAGE(OFFSET($CX$3,0,0,'Données projet'!$E$13+1,1))-AVERAGE(OFFSET($H$3,0,0,'Données projet'!$E$13+1,1))</f>
        <v>770.11410336045037</v>
      </c>
      <c r="CZ183" s="59">
        <f t="shared" si="150"/>
        <v>227.12611049004596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0.43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319.2439026235927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319.2439026235927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20.879999999999939</v>
      </c>
      <c r="DP183" s="17">
        <f>DO183*VLOOKUP('Données projet'!$B$14,Paramètres!$A$1:$I$89,3,0)*VLOOKUP('Données projet'!$B$14,Paramètres!$A$1:$I$89,5,0)</f>
        <v>21.172319999999939</v>
      </c>
      <c r="DQ183" s="13">
        <f t="shared" si="176"/>
        <v>6.8391332707776806</v>
      </c>
      <c r="DR183" s="20">
        <f t="shared" si="177"/>
        <v>48.786614446604354</v>
      </c>
      <c r="DS183" s="59">
        <f t="shared" si="125"/>
        <v>342.11994777993766</v>
      </c>
      <c r="DT183" s="59">
        <f ca="1">AVERAGE(OFFSET($DS$3,0,0,'Données projet'!$E$14+1,1))-AVERAGE(OFFSET($H$3,0,0,'Données projet'!$E$14+1,1))</f>
        <v>778.88878505968955</v>
      </c>
      <c r="DU183" s="59">
        <f t="shared" si="152"/>
        <v>279.20782832611059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262.86520115820463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262.86520115820463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369.00000000000011</v>
      </c>
      <c r="O184" s="13">
        <f>N184*VLOOKUP('Données projet'!$B$9,Paramètres!$A$1:$I$89,3,0)*VLOOKUP('Données projet'!$B$9,Paramètres!$A$1:$I$89,5,0)</f>
        <v>333.87120000000004</v>
      </c>
      <c r="P184" s="13">
        <f t="shared" si="141"/>
        <v>78.232360111376309</v>
      </c>
      <c r="Q184" s="20">
        <f t="shared" si="162"/>
        <v>717.74703386064709</v>
      </c>
      <c r="R184" s="59">
        <f t="shared" si="109"/>
        <v>1011.0803671939805</v>
      </c>
      <c r="S184" s="59">
        <f ca="1">AVERAGE(OFFSET($R$3,0,0,'Données projet'!$E$9+1,1))-AVERAGE(OFFSET($H$3,0,0,'Données projet'!$E$9+1,1))</f>
        <v>436.4497226650281</v>
      </c>
      <c r="T184" s="59">
        <f t="shared" si="142"/>
        <v>611.43967996341871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0.53136683251157968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0.53136683251157968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630</v>
      </c>
      <c r="AJ184" s="13">
        <f>AI184*VLOOKUP('Données projet'!$B$10,Paramètres!$A$1:$I$89,3,0)*VLOOKUP('Données projet'!$B$10,Paramètres!$A$1:$I$89,5,0)</f>
        <v>550.36800000000005</v>
      </c>
      <c r="AK184" s="13">
        <f t="shared" si="164"/>
        <v>121.67271812244785</v>
      </c>
      <c r="AL184" s="20">
        <f t="shared" si="165"/>
        <v>1170.4709173965966</v>
      </c>
      <c r="AM184" s="59">
        <f t="shared" si="113"/>
        <v>1463.8042507299299</v>
      </c>
      <c r="AN184" s="59">
        <f ca="1">AVERAGE(OFFSET($AM$3,0,0,'Données projet'!$E$10+1,1))-AVERAGE(OFFSET($H$3,0,0,'Données projet'!$E$10+1,1))</f>
        <v>662.13838733542616</v>
      </c>
      <c r="AO184" s="59">
        <f t="shared" si="144"/>
        <v>1194.915361841041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4.7800000000008822</v>
      </c>
      <c r="BE184" s="13">
        <f>BD184*VLOOKUP('Données projet'!$B$11,Paramètres!$A$1:$I$89,3,0)*VLOOKUP('Données projet'!$B$11,Paramètres!$A$1:$I$89,5,0)</f>
        <v>2.2370400000004129</v>
      </c>
      <c r="BF184" s="13">
        <f t="shared" si="167"/>
        <v>0.9386934556823372</v>
      </c>
      <c r="BG184" s="20">
        <f t="shared" si="168"/>
        <v>5.5310691019807896</v>
      </c>
      <c r="BH184" s="59">
        <f t="shared" si="116"/>
        <v>298.8644024353141</v>
      </c>
      <c r="BI184" s="59">
        <f ca="1">AVERAGE(OFFSET($BH$3,0,0,'Données projet'!$E$11+1,1))-AVERAGE(OFFSET($H$3,0,0,'Données projet'!$E$11+1,1))</f>
        <v>321.82962838167799</v>
      </c>
      <c r="BJ184" s="59">
        <f t="shared" si="146"/>
        <v>243.43396255104295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67.315294497547001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67.315294497547001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187.80389738728508</v>
      </c>
      <c r="CE184" s="59">
        <f t="shared" si="148"/>
        <v>439.28159165815265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6.2082933421856472</v>
      </c>
      <c r="CL184" s="21">
        <f>EXP(-LN(2)/25)*CL183+(1-EXP(-LN(2)/25))/(LN(2)/25)*Calculateur!CG184*Calculateur!CI184*VLOOKUP('Données projet'!$B$12,Paramètres!$A$1:$I$89,3,0)*0.475*44/12</f>
        <v>0.21850252048379104</v>
      </c>
      <c r="CM184" s="21">
        <f>EXP(-LN(2)/2)*CM183+(1-EXP(-LN(2)/2))/(LN(2)/2)*CG184*CJ184*VLOOKUP('Données projet'!$B$12,Paramètres!$A$1:$I$89,3,0)*0.475*44/12</f>
        <v>8.415520972240694E-25</v>
      </c>
      <c r="CN184" s="22">
        <f t="shared" si="172"/>
        <v>6.4267958626694384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-0.79000000000000148</v>
      </c>
      <c r="CT184" s="12">
        <f>IF('Données projet'!$A$140&gt;35,CT183+CS184-DB183,IF(A184&lt;'Données projet'!$A$140,$CQ$205^A184,IF(A184='Données projet'!$A$140,'Données projet'!$B$140,CT183+CS184-DB183)))</f>
        <v>193.0499999999993</v>
      </c>
      <c r="CU184" s="17">
        <f>CT184*VLOOKUP('Données projet'!$B$13,Paramètres!$A$1:$I$89,3,0)*VLOOKUP('Données projet'!$B$13,Paramètres!$A$1:$I$89,5,0)</f>
        <v>219.84533999999923</v>
      </c>
      <c r="CV184" s="13">
        <f t="shared" si="173"/>
        <v>54.081269758053544</v>
      </c>
      <c r="CW184" s="20">
        <f t="shared" si="174"/>
        <v>477.08884532860861</v>
      </c>
      <c r="CX184" s="59">
        <f t="shared" si="122"/>
        <v>770.42217866194187</v>
      </c>
      <c r="CY184" s="59">
        <f ca="1">AVERAGE(OFFSET($CX$3,0,0,'Données projet'!$E$13+1,1))-AVERAGE(OFFSET($H$3,0,0,'Données projet'!$E$13+1,1))</f>
        <v>770.11410336045037</v>
      </c>
      <c r="CZ184" s="59">
        <f t="shared" si="150"/>
        <v>227.12611049004596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312.98372441269771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312.98372441269771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20.879999999999939</v>
      </c>
      <c r="DP184" s="17">
        <f>DO184*VLOOKUP('Données projet'!$B$14,Paramètres!$A$1:$I$89,3,0)*VLOOKUP('Données projet'!$B$14,Paramètres!$A$1:$I$89,5,0)</f>
        <v>21.172319999999939</v>
      </c>
      <c r="DQ184" s="13">
        <f t="shared" si="176"/>
        <v>6.8391332707776806</v>
      </c>
      <c r="DR184" s="20">
        <f t="shared" si="177"/>
        <v>48.786614446604354</v>
      </c>
      <c r="DS184" s="59">
        <f t="shared" si="125"/>
        <v>342.11994777993766</v>
      </c>
      <c r="DT184" s="59">
        <f ca="1">AVERAGE(OFFSET($DS$3,0,0,'Données projet'!$E$14+1,1))-AVERAGE(OFFSET($H$3,0,0,'Données projet'!$E$14+1,1))</f>
        <v>778.88878505968955</v>
      </c>
      <c r="DU184" s="59">
        <f t="shared" si="152"/>
        <v>279.20782832611059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257.71057489543347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257.71057489543347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369.00000000000011</v>
      </c>
      <c r="O185" s="13">
        <f>N185*VLOOKUP('Données projet'!$B$9,Paramètres!$A$1:$I$89,3,0)*VLOOKUP('Données projet'!$B$9,Paramètres!$A$1:$I$89,5,0)</f>
        <v>333.87120000000004</v>
      </c>
      <c r="P185" s="13">
        <f t="shared" si="141"/>
        <v>78.232360111376309</v>
      </c>
      <c r="Q185" s="20">
        <f t="shared" si="162"/>
        <v>717.74703386064709</v>
      </c>
      <c r="R185" s="59">
        <f t="shared" si="109"/>
        <v>1011.0803671939805</v>
      </c>
      <c r="S185" s="59">
        <f ca="1">AVERAGE(OFFSET($R$3,0,0,'Données projet'!$E$9+1,1))-AVERAGE(OFFSET($H$3,0,0,'Données projet'!$E$9+1,1))</f>
        <v>436.4497226650281</v>
      </c>
      <c r="T185" s="59">
        <f t="shared" si="142"/>
        <v>611.43967996341871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0.52094705302779309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0.52094705302779309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630</v>
      </c>
      <c r="AJ185" s="13">
        <f>AI185*VLOOKUP('Données projet'!$B$10,Paramètres!$A$1:$I$89,3,0)*VLOOKUP('Données projet'!$B$10,Paramètres!$A$1:$I$89,5,0)</f>
        <v>550.36800000000005</v>
      </c>
      <c r="AK185" s="13">
        <f t="shared" si="164"/>
        <v>121.67271812244785</v>
      </c>
      <c r="AL185" s="20">
        <f t="shared" si="165"/>
        <v>1170.4709173965966</v>
      </c>
      <c r="AM185" s="59">
        <f t="shared" si="113"/>
        <v>1463.8042507299299</v>
      </c>
      <c r="AN185" s="59">
        <f ca="1">AVERAGE(OFFSET($AM$3,0,0,'Données projet'!$E$10+1,1))-AVERAGE(OFFSET($H$3,0,0,'Données projet'!$E$10+1,1))</f>
        <v>662.13838733542616</v>
      </c>
      <c r="AO185" s="59">
        <f t="shared" si="144"/>
        <v>1194.915361841041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4.7800000000008822</v>
      </c>
      <c r="BE185" s="13">
        <f>BD185*VLOOKUP('Données projet'!$B$11,Paramètres!$A$1:$I$89,3,0)*VLOOKUP('Données projet'!$B$11,Paramètres!$A$1:$I$89,5,0)</f>
        <v>2.2370400000004129</v>
      </c>
      <c r="BF185" s="13">
        <f t="shared" si="167"/>
        <v>0.9386934556823372</v>
      </c>
      <c r="BG185" s="20">
        <f t="shared" si="168"/>
        <v>5.5310691019807896</v>
      </c>
      <c r="BH185" s="59">
        <f t="shared" si="116"/>
        <v>298.8644024353141</v>
      </c>
      <c r="BI185" s="59">
        <f ca="1">AVERAGE(OFFSET($BH$3,0,0,'Données projet'!$E$11+1,1))-AVERAGE(OFFSET($H$3,0,0,'Données projet'!$E$11+1,1))</f>
        <v>321.82962838167799</v>
      </c>
      <c r="BJ185" s="59">
        <f t="shared" si="146"/>
        <v>243.43396255104295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65.995282630725583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65.995282630725583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187.80389738728508</v>
      </c>
      <c r="CE185" s="59">
        <f t="shared" si="148"/>
        <v>439.28159165815265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6.0865524964304214</v>
      </c>
      <c r="CL185" s="21">
        <f>EXP(-LN(2)/25)*CL184+(1-EXP(-LN(2)/25))/(LN(2)/25)*Calculateur!CG185*Calculateur!CI185*VLOOKUP('Données projet'!$B$12,Paramètres!$A$1:$I$89,3,0)*0.475*44/12</f>
        <v>0.21252755757061362</v>
      </c>
      <c r="CM185" s="21">
        <f>EXP(-LN(2)/2)*CM184+(1-EXP(-LN(2)/2))/(LN(2)/2)*CG185*CJ185*VLOOKUP('Données projet'!$B$12,Paramètres!$A$1:$I$89,3,0)*0.475*44/12</f>
        <v>5.9506719466890021E-25</v>
      </c>
      <c r="CN185" s="22">
        <f t="shared" si="172"/>
        <v>6.2990800540010348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-0.79000000000000148</v>
      </c>
      <c r="CT185" s="12">
        <f>IF('Données projet'!$A$140&gt;35,CT184+CS185-DB184,IF(A185&lt;'Données projet'!$A$140,$CQ$205^A185,IF(A185='Données projet'!$A$140,'Données projet'!$B$140,CT184+CS185-DB184)))</f>
        <v>192.25999999999931</v>
      </c>
      <c r="CU185" s="17">
        <f>CT185*VLOOKUP('Données projet'!$B$13,Paramètres!$A$1:$I$89,3,0)*VLOOKUP('Données projet'!$B$13,Paramètres!$A$1:$I$89,5,0)</f>
        <v>218.94568799999922</v>
      </c>
      <c r="CV185" s="13">
        <f t="shared" si="173"/>
        <v>53.885672189397447</v>
      </c>
      <c r="CW185" s="20">
        <f t="shared" si="174"/>
        <v>475.18128566319916</v>
      </c>
      <c r="CX185" s="59">
        <f t="shared" si="122"/>
        <v>768.51461899653248</v>
      </c>
      <c r="CY185" s="59">
        <f ca="1">AVERAGE(OFFSET($CX$3,0,0,'Données projet'!$E$13+1,1))-AVERAGE(OFFSET($H$3,0,0,'Données projet'!$E$13+1,1))</f>
        <v>770.11410336045037</v>
      </c>
      <c r="CZ185" s="59">
        <f t="shared" si="150"/>
        <v>227.12611049004596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306.84630447818665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306.84630447818665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20.879999999999939</v>
      </c>
      <c r="DP185" s="17">
        <f>DO185*VLOOKUP('Données projet'!$B$14,Paramètres!$A$1:$I$89,3,0)*VLOOKUP('Données projet'!$B$14,Paramètres!$A$1:$I$89,5,0)</f>
        <v>21.172319999999939</v>
      </c>
      <c r="DQ185" s="13">
        <f t="shared" si="176"/>
        <v>6.8391332707776806</v>
      </c>
      <c r="DR185" s="20">
        <f t="shared" si="177"/>
        <v>48.786614446604354</v>
      </c>
      <c r="DS185" s="59">
        <f t="shared" si="125"/>
        <v>342.11994777993766</v>
      </c>
      <c r="DT185" s="59">
        <f ca="1">AVERAGE(OFFSET($DS$3,0,0,'Données projet'!$E$14+1,1))-AVERAGE(OFFSET($H$3,0,0,'Données projet'!$E$14+1,1))</f>
        <v>778.88878505968955</v>
      </c>
      <c r="DU185" s="59">
        <f t="shared" si="152"/>
        <v>279.20782832611059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252.65702770966368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252.65702770966368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369.00000000000011</v>
      </c>
      <c r="O186" s="13">
        <f>N186*VLOOKUP('Données projet'!$B$9,Paramètres!$A$1:$I$89,3,0)*VLOOKUP('Données projet'!$B$9,Paramètres!$A$1:$I$89,5,0)</f>
        <v>333.87120000000004</v>
      </c>
      <c r="P186" s="13">
        <f t="shared" si="141"/>
        <v>78.232360111376309</v>
      </c>
      <c r="Q186" s="20">
        <f t="shared" si="162"/>
        <v>717.74703386064709</v>
      </c>
      <c r="R186" s="59">
        <f t="shared" si="109"/>
        <v>1011.0803671939805</v>
      </c>
      <c r="S186" s="59">
        <f ca="1">AVERAGE(OFFSET($R$3,0,0,'Données projet'!$E$9+1,1))-AVERAGE(OFFSET($H$3,0,0,'Données projet'!$E$9+1,1))</f>
        <v>436.4497226650281</v>
      </c>
      <c r="T186" s="59">
        <f t="shared" si="142"/>
        <v>611.43967996341871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0.51073159906424559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0.51073159906424559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630</v>
      </c>
      <c r="AJ186" s="13">
        <f>AI186*VLOOKUP('Données projet'!$B$10,Paramètres!$A$1:$I$89,3,0)*VLOOKUP('Données projet'!$B$10,Paramètres!$A$1:$I$89,5,0)</f>
        <v>550.36800000000005</v>
      </c>
      <c r="AK186" s="13">
        <f t="shared" si="164"/>
        <v>121.67271812244785</v>
      </c>
      <c r="AL186" s="20">
        <f t="shared" si="165"/>
        <v>1170.4709173965966</v>
      </c>
      <c r="AM186" s="59">
        <f t="shared" si="113"/>
        <v>1463.8042507299299</v>
      </c>
      <c r="AN186" s="59">
        <f ca="1">AVERAGE(OFFSET($AM$3,0,0,'Données projet'!$E$10+1,1))-AVERAGE(OFFSET($H$3,0,0,'Données projet'!$E$10+1,1))</f>
        <v>662.13838733542616</v>
      </c>
      <c r="AO186" s="59">
        <f t="shared" si="144"/>
        <v>1194.915361841041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4.7800000000008822</v>
      </c>
      <c r="BE186" s="13">
        <f>BD186*VLOOKUP('Données projet'!$B$11,Paramètres!$A$1:$I$89,3,0)*VLOOKUP('Données projet'!$B$11,Paramètres!$A$1:$I$89,5,0)</f>
        <v>2.2370400000004129</v>
      </c>
      <c r="BF186" s="13">
        <f t="shared" si="167"/>
        <v>0.9386934556823372</v>
      </c>
      <c r="BG186" s="20">
        <f t="shared" si="168"/>
        <v>5.5310691019807896</v>
      </c>
      <c r="BH186" s="59">
        <f t="shared" si="116"/>
        <v>298.8644024353141</v>
      </c>
      <c r="BI186" s="59">
        <f ca="1">AVERAGE(OFFSET($BH$3,0,0,'Données projet'!$E$11+1,1))-AVERAGE(OFFSET($H$3,0,0,'Données projet'!$E$11+1,1))</f>
        <v>321.82962838167799</v>
      </c>
      <c r="BJ186" s="59">
        <f t="shared" si="146"/>
        <v>243.43396255104295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64.701155391484789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64.701155391484789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187.80389738728508</v>
      </c>
      <c r="CE186" s="59">
        <f t="shared" si="148"/>
        <v>439.28159165815265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5.9671989144058717</v>
      </c>
      <c r="CL186" s="21">
        <f>EXP(-LN(2)/25)*CL185+(1-EXP(-LN(2)/25))/(LN(2)/25)*Calculateur!CG186*Calculateur!CI186*VLOOKUP('Données projet'!$B$12,Paramètres!$A$1:$I$89,3,0)*0.475*44/12</f>
        <v>0.20671598033250668</v>
      </c>
      <c r="CM186" s="21">
        <f>EXP(-LN(2)/2)*CM185+(1-EXP(-LN(2)/2))/(LN(2)/2)*CG186*CJ186*VLOOKUP('Données projet'!$B$12,Paramètres!$A$1:$I$89,3,0)*0.475*44/12</f>
        <v>4.207760486120347E-25</v>
      </c>
      <c r="CN186" s="22">
        <f t="shared" si="172"/>
        <v>6.1739148947383784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-0.79000000000000148</v>
      </c>
      <c r="CS186" s="12">
        <f t="array" ref="CS186">INDEX(CR:CR,MIN(IF(ISNUMBER(CR186:CR382),ROW(CR186:CR382),"")))</f>
        <v>-0.79000000000000148</v>
      </c>
      <c r="CT186" s="12">
        <f>IF('Données projet'!$A$140&gt;35,CT185+CS186-DB185,IF(A186&lt;'Données projet'!$A$140,$CQ$205^A186,IF(A186='Données projet'!$A$140,'Données projet'!$B$140,CT185+CS186-DB185)))</f>
        <v>191.46999999999932</v>
      </c>
      <c r="CU186" s="17">
        <f>CT186*VLOOKUP('Données projet'!$B$13,Paramètres!$A$1:$I$89,3,0)*VLOOKUP('Données projet'!$B$13,Paramètres!$A$1:$I$89,5,0)</f>
        <v>218.04603599999922</v>
      </c>
      <c r="CV186" s="13">
        <f t="shared" si="173"/>
        <v>53.6899810457614</v>
      </c>
      <c r="CW186" s="20">
        <f t="shared" si="174"/>
        <v>473.27356302136633</v>
      </c>
      <c r="CX186" s="59">
        <f t="shared" si="122"/>
        <v>766.60689635469964</v>
      </c>
      <c r="CY186" s="59">
        <f ca="1">AVERAGE(OFFSET($CX$3,0,0,'Données projet'!$E$13+1,1))-AVERAGE(OFFSET($H$3,0,0,'Données projet'!$E$13+1,1))</f>
        <v>770.11410336045037</v>
      </c>
      <c r="CZ186" s="59">
        <f t="shared" si="150"/>
        <v>227.12611049004596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0.43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392.7256128736816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392.7256128736816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20.879999999999939</v>
      </c>
      <c r="DP186" s="17">
        <f>DO186*VLOOKUP('Données projet'!$B$14,Paramètres!$A$1:$I$89,3,0)*VLOOKUP('Données projet'!$B$14,Paramètres!$A$1:$I$89,5,0)</f>
        <v>21.172319999999939</v>
      </c>
      <c r="DQ186" s="13">
        <f t="shared" si="176"/>
        <v>6.8391332707776806</v>
      </c>
      <c r="DR186" s="20">
        <f t="shared" si="177"/>
        <v>48.786614446604354</v>
      </c>
      <c r="DS186" s="59">
        <f t="shared" si="125"/>
        <v>342.11994777993766</v>
      </c>
      <c r="DT186" s="59">
        <f ca="1">AVERAGE(OFFSET($DS$3,0,0,'Données projet'!$E$14+1,1))-AVERAGE(OFFSET($H$3,0,0,'Données projet'!$E$14+1,1))</f>
        <v>778.88878505968955</v>
      </c>
      <c r="DU186" s="59">
        <f t="shared" si="152"/>
        <v>279.20782832611059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247.70257750184743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247.70257750184743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369.00000000000011</v>
      </c>
      <c r="O187" s="13">
        <f>N187*VLOOKUP('Données projet'!$B$9,Paramètres!$A$1:$I$89,3,0)*VLOOKUP('Données projet'!$B$9,Paramètres!$A$1:$I$89,5,0)</f>
        <v>333.87120000000004</v>
      </c>
      <c r="P187" s="13">
        <f t="shared" si="141"/>
        <v>78.232360111376309</v>
      </c>
      <c r="Q187" s="20">
        <f t="shared" si="162"/>
        <v>717.74703386064709</v>
      </c>
      <c r="R187" s="59">
        <f t="shared" si="109"/>
        <v>1011.0803671939805</v>
      </c>
      <c r="S187" s="59">
        <f ca="1">AVERAGE(OFFSET($R$3,0,0,'Données projet'!$E$9+1,1))-AVERAGE(OFFSET($H$3,0,0,'Données projet'!$E$9+1,1))</f>
        <v>436.4497226650281</v>
      </c>
      <c r="T187" s="59">
        <f t="shared" si="142"/>
        <v>611.43967996341871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0.50071646392211155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0.50071646392211155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630</v>
      </c>
      <c r="AJ187" s="13">
        <f>AI187*VLOOKUP('Données projet'!$B$10,Paramètres!$A$1:$I$89,3,0)*VLOOKUP('Données projet'!$B$10,Paramètres!$A$1:$I$89,5,0)</f>
        <v>550.36800000000005</v>
      </c>
      <c r="AK187" s="13">
        <f t="shared" si="164"/>
        <v>121.67271812244785</v>
      </c>
      <c r="AL187" s="20">
        <f t="shared" si="165"/>
        <v>1170.4709173965966</v>
      </c>
      <c r="AM187" s="59">
        <f t="shared" si="113"/>
        <v>1463.8042507299299</v>
      </c>
      <c r="AN187" s="59">
        <f ca="1">AVERAGE(OFFSET($AM$3,0,0,'Données projet'!$E$10+1,1))-AVERAGE(OFFSET($H$3,0,0,'Données projet'!$E$10+1,1))</f>
        <v>662.13838733542616</v>
      </c>
      <c r="AO187" s="59">
        <f t="shared" si="144"/>
        <v>1194.915361841041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4.7800000000008822</v>
      </c>
      <c r="BE187" s="13">
        <f>BD187*VLOOKUP('Données projet'!$B$11,Paramètres!$A$1:$I$89,3,0)*VLOOKUP('Données projet'!$B$11,Paramètres!$A$1:$I$89,5,0)</f>
        <v>2.2370400000004129</v>
      </c>
      <c r="BF187" s="13">
        <f t="shared" si="167"/>
        <v>0.9386934556823372</v>
      </c>
      <c r="BG187" s="20">
        <f t="shared" si="168"/>
        <v>5.5310691019807896</v>
      </c>
      <c r="BH187" s="59">
        <f t="shared" si="116"/>
        <v>298.8644024353141</v>
      </c>
      <c r="BI187" s="59">
        <f ca="1">AVERAGE(OFFSET($BH$3,0,0,'Données projet'!$E$11+1,1))-AVERAGE(OFFSET($H$3,0,0,'Données projet'!$E$11+1,1))</f>
        <v>321.82962838167799</v>
      </c>
      <c r="BJ187" s="59">
        <f t="shared" si="146"/>
        <v>243.43396255104295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63.432405198065837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63.432405198065837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187.80389738728508</v>
      </c>
      <c r="CE187" s="59">
        <f t="shared" si="148"/>
        <v>439.28159165815265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5.8501857833263262</v>
      </c>
      <c r="CL187" s="21">
        <f>EXP(-LN(2)/25)*CL186+(1-EXP(-LN(2)/25))/(LN(2)/25)*Calculateur!CG187*Calculateur!CI187*VLOOKUP('Données projet'!$B$12,Paramètres!$A$1:$I$89,3,0)*0.475*44/12</f>
        <v>0.20106332097959334</v>
      </c>
      <c r="CM187" s="21">
        <f>EXP(-LN(2)/2)*CM186+(1-EXP(-LN(2)/2))/(LN(2)/2)*CG187*CJ187*VLOOKUP('Données projet'!$B$12,Paramètres!$A$1:$I$89,3,0)*0.475*44/12</f>
        <v>2.9753359733445011E-25</v>
      </c>
      <c r="CN187" s="22">
        <f t="shared" si="172"/>
        <v>6.0512491043059198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21.709999999999326</v>
      </c>
      <c r="CU187" s="17">
        <f>CT187*VLOOKUP('Données projet'!$B$13,Paramètres!$A$1:$I$89,3,0)*VLOOKUP('Données projet'!$B$13,Paramètres!$A$1:$I$89,5,0)</f>
        <v>24.723347999999234</v>
      </c>
      <c r="CV187" s="13">
        <f t="shared" si="173"/>
        <v>7.8433511535672826</v>
      </c>
      <c r="CW187" s="20">
        <f t="shared" si="174"/>
        <v>56.720334359128351</v>
      </c>
      <c r="CX187" s="59">
        <f t="shared" si="122"/>
        <v>350.05366769246166</v>
      </c>
      <c r="CY187" s="59">
        <f ca="1">AVERAGE(OFFSET($CX$3,0,0,'Données projet'!$E$13+1,1))-AVERAGE(OFFSET($H$3,0,0,'Données projet'!$E$13+1,1))</f>
        <v>770.11410336045037</v>
      </c>
      <c r="CZ187" s="59">
        <f t="shared" si="150"/>
        <v>227.12611049004596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385.02450314420003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385.02450314420003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20.879999999999939</v>
      </c>
      <c r="DP187" s="17">
        <f>DO187*VLOOKUP('Données projet'!$B$14,Paramètres!$A$1:$I$89,3,0)*VLOOKUP('Données projet'!$B$14,Paramètres!$A$1:$I$89,5,0)</f>
        <v>21.172319999999939</v>
      </c>
      <c r="DQ187" s="13">
        <f t="shared" si="176"/>
        <v>6.8391332707776806</v>
      </c>
      <c r="DR187" s="20">
        <f t="shared" si="177"/>
        <v>48.786614446604354</v>
      </c>
      <c r="DS187" s="59">
        <f t="shared" si="125"/>
        <v>342.11994777993766</v>
      </c>
      <c r="DT187" s="59">
        <f ca="1">AVERAGE(OFFSET($DS$3,0,0,'Données projet'!$E$14+1,1))-AVERAGE(OFFSET($H$3,0,0,'Données projet'!$E$14+1,1))</f>
        <v>778.88878505968955</v>
      </c>
      <c r="DU187" s="59">
        <f t="shared" si="152"/>
        <v>279.20782832611059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242.8452810406902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242.8452810406902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369.00000000000011</v>
      </c>
      <c r="O188" s="13">
        <f>N188*VLOOKUP('Données projet'!$B$9,Paramètres!$A$1:$I$89,3,0)*VLOOKUP('Données projet'!$B$9,Paramètres!$A$1:$I$89,5,0)</f>
        <v>333.87120000000004</v>
      </c>
      <c r="P188" s="13">
        <f t="shared" si="141"/>
        <v>78.232360111376309</v>
      </c>
      <c r="Q188" s="20">
        <f t="shared" si="162"/>
        <v>717.74703386064709</v>
      </c>
      <c r="R188" s="59">
        <f t="shared" si="109"/>
        <v>1011.0803671939805</v>
      </c>
      <c r="S188" s="59">
        <f ca="1">AVERAGE(OFFSET($R$3,0,0,'Données projet'!$E$9+1,1))-AVERAGE(OFFSET($H$3,0,0,'Données projet'!$E$9+1,1))</f>
        <v>436.4497226650281</v>
      </c>
      <c r="T188" s="59">
        <f t="shared" si="142"/>
        <v>611.43967996341871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0.49089771947148553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0.49089771947148553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630</v>
      </c>
      <c r="AJ188" s="13">
        <f>AI188*VLOOKUP('Données projet'!$B$10,Paramètres!$A$1:$I$89,3,0)*VLOOKUP('Données projet'!$B$10,Paramètres!$A$1:$I$89,5,0)</f>
        <v>550.36800000000005</v>
      </c>
      <c r="AK188" s="13">
        <f t="shared" si="164"/>
        <v>121.67271812244785</v>
      </c>
      <c r="AL188" s="20">
        <f t="shared" si="165"/>
        <v>1170.4709173965966</v>
      </c>
      <c r="AM188" s="59">
        <f t="shared" si="113"/>
        <v>1463.8042507299299</v>
      </c>
      <c r="AN188" s="59">
        <f ca="1">AVERAGE(OFFSET($AM$3,0,0,'Données projet'!$E$10+1,1))-AVERAGE(OFFSET($H$3,0,0,'Données projet'!$E$10+1,1))</f>
        <v>662.13838733542616</v>
      </c>
      <c r="AO188" s="59">
        <f t="shared" si="144"/>
        <v>1194.915361841041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4.7800000000008822</v>
      </c>
      <c r="BE188" s="13">
        <f>BD188*VLOOKUP('Données projet'!$B$11,Paramètres!$A$1:$I$89,3,0)*VLOOKUP('Données projet'!$B$11,Paramètres!$A$1:$I$89,5,0)</f>
        <v>2.2370400000004129</v>
      </c>
      <c r="BF188" s="13">
        <f t="shared" si="167"/>
        <v>0.9386934556823372</v>
      </c>
      <c r="BG188" s="20">
        <f t="shared" si="168"/>
        <v>5.5310691019807896</v>
      </c>
      <c r="BH188" s="59">
        <f t="shared" si="116"/>
        <v>298.8644024353141</v>
      </c>
      <c r="BI188" s="59">
        <f ca="1">AVERAGE(OFFSET($BH$3,0,0,'Données projet'!$E$11+1,1))-AVERAGE(OFFSET($H$3,0,0,'Données projet'!$E$11+1,1))</f>
        <v>321.82962838167799</v>
      </c>
      <c r="BJ188" s="59">
        <f t="shared" si="146"/>
        <v>243.43396255104295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62.188534422078625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62.188534422078625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187.80389738728508</v>
      </c>
      <c r="CE188" s="59">
        <f t="shared" si="148"/>
        <v>439.28159165815265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5.7354672083762885</v>
      </c>
      <c r="CL188" s="21">
        <f>EXP(-LN(2)/25)*CL187+(1-EXP(-LN(2)/25))/(LN(2)/25)*Calculateur!CG188*Calculateur!CI188*VLOOKUP('Données projet'!$B$12,Paramètres!$A$1:$I$89,3,0)*0.475*44/12</f>
        <v>0.19556523389394584</v>
      </c>
      <c r="CM188" s="21">
        <f>EXP(-LN(2)/2)*CM187+(1-EXP(-LN(2)/2))/(LN(2)/2)*CG188*CJ188*VLOOKUP('Données projet'!$B$12,Paramètres!$A$1:$I$89,3,0)*0.475*44/12</f>
        <v>2.1038802430601735E-25</v>
      </c>
      <c r="CN188" s="22">
        <f t="shared" si="172"/>
        <v>5.9310324422702347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21.709999999999326</v>
      </c>
      <c r="CU188" s="17">
        <f>CT188*VLOOKUP('Données projet'!$B$13,Paramètres!$A$1:$I$89,3,0)*VLOOKUP('Données projet'!$B$13,Paramètres!$A$1:$I$89,5,0)</f>
        <v>24.723347999999234</v>
      </c>
      <c r="CV188" s="13">
        <f t="shared" si="173"/>
        <v>7.8433511535672826</v>
      </c>
      <c r="CW188" s="20">
        <f t="shared" si="174"/>
        <v>56.720334359128351</v>
      </c>
      <c r="CX188" s="59">
        <f t="shared" si="122"/>
        <v>350.05366769246166</v>
      </c>
      <c r="CY188" s="59">
        <f ca="1">AVERAGE(OFFSET($CX$3,0,0,'Données projet'!$E$13+1,1))-AVERAGE(OFFSET($H$3,0,0,'Données projet'!$E$13+1,1))</f>
        <v>770.11410336045037</v>
      </c>
      <c r="CZ188" s="59">
        <f t="shared" si="150"/>
        <v>227.12611049004596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377.47440747930051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377.47440747930051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20.879999999999939</v>
      </c>
      <c r="DP188" s="17">
        <f>DO188*VLOOKUP('Données projet'!$B$14,Paramètres!$A$1:$I$89,3,0)*VLOOKUP('Données projet'!$B$14,Paramètres!$A$1:$I$89,5,0)</f>
        <v>21.172319999999939</v>
      </c>
      <c r="DQ188" s="13">
        <f t="shared" si="176"/>
        <v>6.8391332707776806</v>
      </c>
      <c r="DR188" s="20">
        <f t="shared" si="177"/>
        <v>48.786614446604354</v>
      </c>
      <c r="DS188" s="59">
        <f t="shared" si="125"/>
        <v>342.11994777993766</v>
      </c>
      <c r="DT188" s="59">
        <f ca="1">AVERAGE(OFFSET($DS$3,0,0,'Données projet'!$E$14+1,1))-AVERAGE(OFFSET($H$3,0,0,'Données projet'!$E$14+1,1))</f>
        <v>778.88878505968955</v>
      </c>
      <c r="DU188" s="59">
        <f t="shared" si="152"/>
        <v>279.20782832611059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238.08323320047796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238.08323320047796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369.00000000000011</v>
      </c>
      <c r="O189" s="13">
        <f>N189*VLOOKUP('Données projet'!$B$9,Paramètres!$A$1:$I$89,3,0)*VLOOKUP('Données projet'!$B$9,Paramètres!$A$1:$I$89,5,0)</f>
        <v>333.87120000000004</v>
      </c>
      <c r="P189" s="13">
        <f t="shared" si="141"/>
        <v>78.232360111376309</v>
      </c>
      <c r="Q189" s="20">
        <f t="shared" si="162"/>
        <v>717.74703386064709</v>
      </c>
      <c r="R189" s="59">
        <f t="shared" si="109"/>
        <v>1011.0803671939805</v>
      </c>
      <c r="S189" s="59">
        <f ca="1">AVERAGE(OFFSET($R$3,0,0,'Données projet'!$E$9+1,1))-AVERAGE(OFFSET($H$3,0,0,'Données projet'!$E$9+1,1))</f>
        <v>436.4497226650281</v>
      </c>
      <c r="T189" s="59">
        <f t="shared" si="142"/>
        <v>611.43967996341871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0.48127151461069351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0.48127151461069351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630</v>
      </c>
      <c r="AJ189" s="13">
        <f>AI189*VLOOKUP('Données projet'!$B$10,Paramètres!$A$1:$I$89,3,0)*VLOOKUP('Données projet'!$B$10,Paramètres!$A$1:$I$89,5,0)</f>
        <v>550.36800000000005</v>
      </c>
      <c r="AK189" s="13">
        <f t="shared" si="164"/>
        <v>121.67271812244785</v>
      </c>
      <c r="AL189" s="20">
        <f t="shared" si="165"/>
        <v>1170.4709173965966</v>
      </c>
      <c r="AM189" s="59">
        <f t="shared" si="113"/>
        <v>1463.8042507299299</v>
      </c>
      <c r="AN189" s="59">
        <f ca="1">AVERAGE(OFFSET($AM$3,0,0,'Données projet'!$E$10+1,1))-AVERAGE(OFFSET($H$3,0,0,'Données projet'!$E$10+1,1))</f>
        <v>662.13838733542616</v>
      </c>
      <c r="AO189" s="59">
        <f t="shared" si="144"/>
        <v>1194.915361841041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4.7800000000008822</v>
      </c>
      <c r="BE189" s="13">
        <f>BD189*VLOOKUP('Données projet'!$B$11,Paramètres!$A$1:$I$89,3,0)*VLOOKUP('Données projet'!$B$11,Paramètres!$A$1:$I$89,5,0)</f>
        <v>2.2370400000004129</v>
      </c>
      <c r="BF189" s="13">
        <f t="shared" si="167"/>
        <v>0.9386934556823372</v>
      </c>
      <c r="BG189" s="20">
        <f t="shared" si="168"/>
        <v>5.5310691019807896</v>
      </c>
      <c r="BH189" s="59">
        <f t="shared" si="116"/>
        <v>298.8644024353141</v>
      </c>
      <c r="BI189" s="59">
        <f ca="1">AVERAGE(OFFSET($BH$3,0,0,'Données projet'!$E$11+1,1))-AVERAGE(OFFSET($H$3,0,0,'Données projet'!$E$11+1,1))</f>
        <v>321.82962838167799</v>
      </c>
      <c r="BJ189" s="59">
        <f t="shared" si="146"/>
        <v>243.43396255104295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60.969055193322262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60.969055193322262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187.80389738728508</v>
      </c>
      <c r="CE189" s="59">
        <f t="shared" si="148"/>
        <v>439.28159165815265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5.6229981947095995</v>
      </c>
      <c r="CL189" s="21">
        <f>EXP(-LN(2)/25)*CL188+(1-EXP(-LN(2)/25))/(LN(2)/25)*Calculateur!CG189*Calculateur!CI189*VLOOKUP('Données projet'!$B$12,Paramètres!$A$1:$I$89,3,0)*0.475*44/12</f>
        <v>0.1902174922887872</v>
      </c>
      <c r="CM189" s="21">
        <f>EXP(-LN(2)/2)*CM188+(1-EXP(-LN(2)/2))/(LN(2)/2)*CG189*CJ189*VLOOKUP('Données projet'!$B$12,Paramètres!$A$1:$I$89,3,0)*0.475*44/12</f>
        <v>1.4876679866722505E-25</v>
      </c>
      <c r="CN189" s="22">
        <f t="shared" si="172"/>
        <v>5.8132156869983866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21.709999999999326</v>
      </c>
      <c r="CU189" s="17">
        <f>CT189*VLOOKUP('Données projet'!$B$13,Paramètres!$A$1:$I$89,3,0)*VLOOKUP('Données projet'!$B$13,Paramètres!$A$1:$I$89,5,0)</f>
        <v>24.723347999999234</v>
      </c>
      <c r="CV189" s="13">
        <f t="shared" si="173"/>
        <v>7.8433511535672826</v>
      </c>
      <c r="CW189" s="20">
        <f t="shared" si="174"/>
        <v>56.720334359128351</v>
      </c>
      <c r="CX189" s="59">
        <f t="shared" si="122"/>
        <v>350.05366769246166</v>
      </c>
      <c r="CY189" s="59">
        <f ca="1">AVERAGE(OFFSET($CX$3,0,0,'Données projet'!$E$13+1,1))-AVERAGE(OFFSET($H$3,0,0,'Données projet'!$E$13+1,1))</f>
        <v>770.11410336045037</v>
      </c>
      <c r="CZ189" s="59">
        <f t="shared" si="150"/>
        <v>227.12611049004596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370.07236458528598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370.07236458528598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20.879999999999939</v>
      </c>
      <c r="DP189" s="17">
        <f>DO189*VLOOKUP('Données projet'!$B$14,Paramètres!$A$1:$I$89,3,0)*VLOOKUP('Données projet'!$B$14,Paramètres!$A$1:$I$89,5,0)</f>
        <v>21.172319999999939</v>
      </c>
      <c r="DQ189" s="13">
        <f t="shared" si="176"/>
        <v>6.8391332707776806</v>
      </c>
      <c r="DR189" s="20">
        <f t="shared" si="177"/>
        <v>48.786614446604354</v>
      </c>
      <c r="DS189" s="59">
        <f t="shared" si="125"/>
        <v>342.11994777993766</v>
      </c>
      <c r="DT189" s="59">
        <f ca="1">AVERAGE(OFFSET($DS$3,0,0,'Données projet'!$E$14+1,1))-AVERAGE(OFFSET($H$3,0,0,'Données projet'!$E$14+1,1))</f>
        <v>778.88878505968955</v>
      </c>
      <c r="DU189" s="59">
        <f t="shared" si="152"/>
        <v>279.20782832611059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233.41456621384992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233.41456621384992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369.00000000000011</v>
      </c>
      <c r="O190" s="13">
        <f>N190*VLOOKUP('Données projet'!$B$9,Paramètres!$A$1:$I$89,3,0)*VLOOKUP('Données projet'!$B$9,Paramètres!$A$1:$I$89,5,0)</f>
        <v>333.87120000000004</v>
      </c>
      <c r="P190" s="13">
        <f t="shared" si="141"/>
        <v>78.232360111376309</v>
      </c>
      <c r="Q190" s="20">
        <f t="shared" si="162"/>
        <v>717.74703386064709</v>
      </c>
      <c r="R190" s="59">
        <f t="shared" si="109"/>
        <v>1011.0803671939805</v>
      </c>
      <c r="S190" s="59">
        <f ca="1">AVERAGE(OFFSET($R$3,0,0,'Données projet'!$E$9+1,1))-AVERAGE(OFFSET($H$3,0,0,'Données projet'!$E$9+1,1))</f>
        <v>436.4497226650281</v>
      </c>
      <c r="T190" s="59">
        <f t="shared" si="142"/>
        <v>611.43967996341871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0.47183407375581637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0.47183407375581637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630</v>
      </c>
      <c r="AJ190" s="13">
        <f>AI190*VLOOKUP('Données projet'!$B$10,Paramètres!$A$1:$I$89,3,0)*VLOOKUP('Données projet'!$B$10,Paramètres!$A$1:$I$89,5,0)</f>
        <v>550.36800000000005</v>
      </c>
      <c r="AK190" s="13">
        <f t="shared" si="164"/>
        <v>121.67271812244785</v>
      </c>
      <c r="AL190" s="20">
        <f t="shared" si="165"/>
        <v>1170.4709173965966</v>
      </c>
      <c r="AM190" s="59">
        <f t="shared" si="113"/>
        <v>1463.8042507299299</v>
      </c>
      <c r="AN190" s="59">
        <f ca="1">AVERAGE(OFFSET($AM$3,0,0,'Données projet'!$E$10+1,1))-AVERAGE(OFFSET($H$3,0,0,'Données projet'!$E$10+1,1))</f>
        <v>662.13838733542616</v>
      </c>
      <c r="AO190" s="59">
        <f t="shared" si="144"/>
        <v>1194.915361841041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4.7800000000008822</v>
      </c>
      <c r="BE190" s="13">
        <f>BD190*VLOOKUP('Données projet'!$B$11,Paramètres!$A$1:$I$89,3,0)*VLOOKUP('Données projet'!$B$11,Paramètres!$A$1:$I$89,5,0)</f>
        <v>2.2370400000004129</v>
      </c>
      <c r="BF190" s="13">
        <f t="shared" si="167"/>
        <v>0.9386934556823372</v>
      </c>
      <c r="BG190" s="20">
        <f t="shared" si="168"/>
        <v>5.5310691019807896</v>
      </c>
      <c r="BH190" s="59">
        <f t="shared" si="116"/>
        <v>298.8644024353141</v>
      </c>
      <c r="BI190" s="59">
        <f ca="1">AVERAGE(OFFSET($BH$3,0,0,'Données projet'!$E$11+1,1))-AVERAGE(OFFSET($H$3,0,0,'Données projet'!$E$11+1,1))</f>
        <v>321.82962838167799</v>
      </c>
      <c r="BJ190" s="59">
        <f t="shared" si="146"/>
        <v>243.43396255104295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59.773489208432927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59.773489208432927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187.80389738728508</v>
      </c>
      <c r="CE190" s="59">
        <f t="shared" si="148"/>
        <v>439.28159165815265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5.5127346298015896</v>
      </c>
      <c r="CL190" s="21">
        <f>EXP(-LN(2)/25)*CL189+(1-EXP(-LN(2)/25))/(LN(2)/25)*Calculateur!CG190*Calculateur!CI190*VLOOKUP('Données projet'!$B$12,Paramètres!$A$1:$I$89,3,0)*0.475*44/12</f>
        <v>0.18501598495904714</v>
      </c>
      <c r="CM190" s="21">
        <f>EXP(-LN(2)/2)*CM189+(1-EXP(-LN(2)/2))/(LN(2)/2)*CG190*CJ190*VLOOKUP('Données projet'!$B$12,Paramètres!$A$1:$I$89,3,0)*0.475*44/12</f>
        <v>1.0519401215300867E-25</v>
      </c>
      <c r="CN190" s="22">
        <f t="shared" si="172"/>
        <v>5.6977506147606363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21.709999999999326</v>
      </c>
      <c r="CU190" s="17">
        <f>CT190*VLOOKUP('Données projet'!$B$13,Paramètres!$A$1:$I$89,3,0)*VLOOKUP('Données projet'!$B$13,Paramètres!$A$1:$I$89,5,0)</f>
        <v>24.723347999999234</v>
      </c>
      <c r="CV190" s="13">
        <f t="shared" si="173"/>
        <v>7.8433511535672826</v>
      </c>
      <c r="CW190" s="20">
        <f t="shared" si="174"/>
        <v>56.720334359128351</v>
      </c>
      <c r="CX190" s="59">
        <f t="shared" si="122"/>
        <v>350.05366769246166</v>
      </c>
      <c r="CY190" s="59">
        <f ca="1">AVERAGE(OFFSET($CX$3,0,0,'Données projet'!$E$13+1,1))-AVERAGE(OFFSET($H$3,0,0,'Données projet'!$E$13+1,1))</f>
        <v>770.11410336045037</v>
      </c>
      <c r="CZ190" s="59">
        <f t="shared" si="150"/>
        <v>227.12611049004596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362.81547123762272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362.81547123762272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20.879999999999939</v>
      </c>
      <c r="DP190" s="17">
        <f>DO190*VLOOKUP('Données projet'!$B$14,Paramètres!$A$1:$I$89,3,0)*VLOOKUP('Données projet'!$B$14,Paramètres!$A$1:$I$89,5,0)</f>
        <v>21.172319999999939</v>
      </c>
      <c r="DQ190" s="13">
        <f t="shared" si="176"/>
        <v>6.8391332707776806</v>
      </c>
      <c r="DR190" s="20">
        <f t="shared" si="177"/>
        <v>48.786614446604354</v>
      </c>
      <c r="DS190" s="59">
        <f t="shared" si="125"/>
        <v>342.11994777993766</v>
      </c>
      <c r="DT190" s="59">
        <f ca="1">AVERAGE(OFFSET($DS$3,0,0,'Données projet'!$E$14+1,1))-AVERAGE(OFFSET($H$3,0,0,'Données projet'!$E$14+1,1))</f>
        <v>778.88878505968955</v>
      </c>
      <c r="DU190" s="59">
        <f t="shared" si="152"/>
        <v>279.20782832611059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228.83744893922398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228.83744893922398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369.00000000000011</v>
      </c>
      <c r="O191" s="13">
        <f>N191*VLOOKUP('Données projet'!$B$9,Paramètres!$A$1:$I$89,3,0)*VLOOKUP('Données projet'!$B$9,Paramètres!$A$1:$I$89,5,0)</f>
        <v>333.87120000000004</v>
      </c>
      <c r="P191" s="13">
        <f t="shared" si="141"/>
        <v>78.232360111376309</v>
      </c>
      <c r="Q191" s="20">
        <f t="shared" si="162"/>
        <v>717.74703386064709</v>
      </c>
      <c r="R191" s="59">
        <f t="shared" si="109"/>
        <v>1011.0803671939805</v>
      </c>
      <c r="S191" s="59">
        <f ca="1">AVERAGE(OFFSET($R$3,0,0,'Données projet'!$E$9+1,1))-AVERAGE(OFFSET($H$3,0,0,'Données projet'!$E$9+1,1))</f>
        <v>436.4497226650281</v>
      </c>
      <c r="T191" s="59">
        <f t="shared" si="142"/>
        <v>611.43967996341871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0.46258169535983285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0.46258169535983285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630</v>
      </c>
      <c r="AJ191" s="13">
        <f>AI191*VLOOKUP('Données projet'!$B$10,Paramètres!$A$1:$I$89,3,0)*VLOOKUP('Données projet'!$B$10,Paramètres!$A$1:$I$89,5,0)</f>
        <v>550.36800000000005</v>
      </c>
      <c r="AK191" s="13">
        <f t="shared" si="164"/>
        <v>121.67271812244785</v>
      </c>
      <c r="AL191" s="20">
        <f t="shared" si="165"/>
        <v>1170.4709173965966</v>
      </c>
      <c r="AM191" s="59">
        <f t="shared" si="113"/>
        <v>1463.8042507299299</v>
      </c>
      <c r="AN191" s="59">
        <f ca="1">AVERAGE(OFFSET($AM$3,0,0,'Données projet'!$E$10+1,1))-AVERAGE(OFFSET($H$3,0,0,'Données projet'!$E$10+1,1))</f>
        <v>662.13838733542616</v>
      </c>
      <c r="AO191" s="59">
        <f t="shared" si="144"/>
        <v>1194.915361841041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4.7800000000008822</v>
      </c>
      <c r="BE191" s="13">
        <f>BD191*VLOOKUP('Données projet'!$B$11,Paramètres!$A$1:$I$89,3,0)*VLOOKUP('Données projet'!$B$11,Paramètres!$A$1:$I$89,5,0)</f>
        <v>2.2370400000004129</v>
      </c>
      <c r="BF191" s="13">
        <f t="shared" si="167"/>
        <v>0.9386934556823372</v>
      </c>
      <c r="BG191" s="20">
        <f t="shared" si="168"/>
        <v>5.5310691019807896</v>
      </c>
      <c r="BH191" s="59">
        <f t="shared" si="116"/>
        <v>298.8644024353141</v>
      </c>
      <c r="BI191" s="59">
        <f ca="1">AVERAGE(OFFSET($BH$3,0,0,'Données projet'!$E$11+1,1))-AVERAGE(OFFSET($H$3,0,0,'Données projet'!$E$11+1,1))</f>
        <v>321.82962838167799</v>
      </c>
      <c r="BJ191" s="59">
        <f t="shared" si="146"/>
        <v>243.43396255104295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58.601367543284027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58.601367543284027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187.80389738728508</v>
      </c>
      <c r="CE191" s="59">
        <f t="shared" si="148"/>
        <v>439.28159165815265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5.4046332661472913</v>
      </c>
      <c r="CL191" s="21">
        <f>EXP(-LN(2)/25)*CL190+(1-EXP(-LN(2)/25))/(LN(2)/25)*Calculateur!CG191*Calculateur!CI191*VLOOKUP('Données projet'!$B$12,Paramètres!$A$1:$I$89,3,0)*0.475*44/12</f>
        <v>0.17995671312077421</v>
      </c>
      <c r="CM191" s="21">
        <f>EXP(-LN(2)/2)*CM190+(1-EXP(-LN(2)/2))/(LN(2)/2)*CG191*CJ191*VLOOKUP('Données projet'!$B$12,Paramètres!$A$1:$I$89,3,0)*0.475*44/12</f>
        <v>7.4383399333612527E-26</v>
      </c>
      <c r="CN191" s="22">
        <f t="shared" si="172"/>
        <v>5.5845899792680651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21.709999999999326</v>
      </c>
      <c r="CU191" s="17">
        <f>CT191*VLOOKUP('Données projet'!$B$13,Paramètres!$A$1:$I$89,3,0)*VLOOKUP('Données projet'!$B$13,Paramètres!$A$1:$I$89,5,0)</f>
        <v>24.723347999999234</v>
      </c>
      <c r="CV191" s="13">
        <f t="shared" si="173"/>
        <v>7.8433511535672826</v>
      </c>
      <c r="CW191" s="20">
        <f t="shared" si="174"/>
        <v>56.720334359128351</v>
      </c>
      <c r="CX191" s="59">
        <f t="shared" si="122"/>
        <v>350.05366769246166</v>
      </c>
      <c r="CY191" s="59">
        <f ca="1">AVERAGE(OFFSET($CX$3,0,0,'Données projet'!$E$13+1,1))-AVERAGE(OFFSET($H$3,0,0,'Données projet'!$E$13+1,1))</f>
        <v>770.11410336045037</v>
      </c>
      <c r="CZ191" s="59">
        <f t="shared" si="150"/>
        <v>227.12611049004596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355.70088114223927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355.70088114223927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20.879999999999939</v>
      </c>
      <c r="DP191" s="17">
        <f>DO191*VLOOKUP('Données projet'!$B$14,Paramètres!$A$1:$I$89,3,0)*VLOOKUP('Données projet'!$B$14,Paramètres!$A$1:$I$89,5,0)</f>
        <v>21.172319999999939</v>
      </c>
      <c r="DQ191" s="13">
        <f t="shared" si="176"/>
        <v>6.8391332707776806</v>
      </c>
      <c r="DR191" s="20">
        <f t="shared" si="177"/>
        <v>48.786614446604354</v>
      </c>
      <c r="DS191" s="59">
        <f t="shared" si="125"/>
        <v>342.11994777993766</v>
      </c>
      <c r="DT191" s="59">
        <f ca="1">AVERAGE(OFFSET($DS$3,0,0,'Données projet'!$E$14+1,1))-AVERAGE(OFFSET($H$3,0,0,'Données projet'!$E$14+1,1))</f>
        <v>778.88878505968955</v>
      </c>
      <c r="DU191" s="59">
        <f t="shared" si="152"/>
        <v>279.20782832611059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224.35008614258754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224.35008614258754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369.00000000000011</v>
      </c>
      <c r="O192" s="13">
        <f>N192*VLOOKUP('Données projet'!$B$9,Paramètres!$A$1:$I$89,3,0)*VLOOKUP('Données projet'!$B$9,Paramètres!$A$1:$I$89,5,0)</f>
        <v>333.87120000000004</v>
      </c>
      <c r="P192" s="13">
        <f t="shared" si="141"/>
        <v>78.232360111376309</v>
      </c>
      <c r="Q192" s="20">
        <f t="shared" si="162"/>
        <v>717.74703386064709</v>
      </c>
      <c r="R192" s="59">
        <f t="shared" si="109"/>
        <v>1011.0803671939805</v>
      </c>
      <c r="S192" s="59">
        <f ca="1">AVERAGE(OFFSET($R$3,0,0,'Données projet'!$E$9+1,1))-AVERAGE(OFFSET($H$3,0,0,'Données projet'!$E$9+1,1))</f>
        <v>436.4497226650281</v>
      </c>
      <c r="T192" s="59">
        <f t="shared" si="142"/>
        <v>611.43967996341871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0.45351075046080097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0.45351075046080097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630</v>
      </c>
      <c r="AJ192" s="13">
        <f>AI192*VLOOKUP('Données projet'!$B$10,Paramètres!$A$1:$I$89,3,0)*VLOOKUP('Données projet'!$B$10,Paramètres!$A$1:$I$89,5,0)</f>
        <v>550.36800000000005</v>
      </c>
      <c r="AK192" s="13">
        <f t="shared" si="164"/>
        <v>121.67271812244785</v>
      </c>
      <c r="AL192" s="20">
        <f t="shared" si="165"/>
        <v>1170.4709173965966</v>
      </c>
      <c r="AM192" s="59">
        <f t="shared" si="113"/>
        <v>1463.8042507299299</v>
      </c>
      <c r="AN192" s="59">
        <f ca="1">AVERAGE(OFFSET($AM$3,0,0,'Données projet'!$E$10+1,1))-AVERAGE(OFFSET($H$3,0,0,'Données projet'!$E$10+1,1))</f>
        <v>662.13838733542616</v>
      </c>
      <c r="AO192" s="59">
        <f t="shared" si="144"/>
        <v>1194.915361841041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4.7800000000008822</v>
      </c>
      <c r="BE192" s="13">
        <f>BD192*VLOOKUP('Données projet'!$B$11,Paramètres!$A$1:$I$89,3,0)*VLOOKUP('Données projet'!$B$11,Paramètres!$A$1:$I$89,5,0)</f>
        <v>2.2370400000004129</v>
      </c>
      <c r="BF192" s="13">
        <f t="shared" si="167"/>
        <v>0.9386934556823372</v>
      </c>
      <c r="BG192" s="20">
        <f t="shared" si="168"/>
        <v>5.5310691019807896</v>
      </c>
      <c r="BH192" s="59">
        <f t="shared" si="116"/>
        <v>298.8644024353141</v>
      </c>
      <c r="BI192" s="59">
        <f ca="1">AVERAGE(OFFSET($BH$3,0,0,'Données projet'!$E$11+1,1))-AVERAGE(OFFSET($H$3,0,0,'Données projet'!$E$11+1,1))</f>
        <v>321.82962838167799</v>
      </c>
      <c r="BJ192" s="59">
        <f t="shared" si="146"/>
        <v>243.43396255104295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57.452230469065071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57.452230469065071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187.80389738728508</v>
      </c>
      <c r="CE192" s="59">
        <f t="shared" si="148"/>
        <v>439.28159165815265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5.2986517042989325</v>
      </c>
      <c r="CL192" s="21">
        <f>EXP(-LN(2)/25)*CL191+(1-EXP(-LN(2)/25))/(LN(2)/25)*Calculateur!CG192*Calculateur!CI192*VLOOKUP('Données projet'!$B$12,Paramètres!$A$1:$I$89,3,0)*0.475*44/12</f>
        <v>0.17503578733697439</v>
      </c>
      <c r="CM192" s="21">
        <f>EXP(-LN(2)/2)*CM191+(1-EXP(-LN(2)/2))/(LN(2)/2)*CG192*CJ192*VLOOKUP('Données projet'!$B$12,Paramètres!$A$1:$I$89,3,0)*0.475*44/12</f>
        <v>5.2597006076504337E-26</v>
      </c>
      <c r="CN192" s="22">
        <f t="shared" si="172"/>
        <v>5.4736874916359071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21.709999999999326</v>
      </c>
      <c r="CU192" s="17">
        <f>CT192*VLOOKUP('Données projet'!$B$13,Paramètres!$A$1:$I$89,3,0)*VLOOKUP('Données projet'!$B$13,Paramètres!$A$1:$I$89,5,0)</f>
        <v>24.723347999999234</v>
      </c>
      <c r="CV192" s="13">
        <f t="shared" si="173"/>
        <v>7.8433511535672826</v>
      </c>
      <c r="CW192" s="20">
        <f t="shared" si="174"/>
        <v>56.720334359128351</v>
      </c>
      <c r="CX192" s="59">
        <f t="shared" si="122"/>
        <v>350.05366769246166</v>
      </c>
      <c r="CY192" s="59">
        <f ca="1">AVERAGE(OFFSET($CX$3,0,0,'Données projet'!$E$13+1,1))-AVERAGE(OFFSET($H$3,0,0,'Données projet'!$E$13+1,1))</f>
        <v>770.11410336045037</v>
      </c>
      <c r="CZ192" s="59">
        <f t="shared" si="150"/>
        <v>227.12611049004596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348.72580381915481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348.72580381915481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20.879999999999939</v>
      </c>
      <c r="DP192" s="17">
        <f>DO192*VLOOKUP('Données projet'!$B$14,Paramètres!$A$1:$I$89,3,0)*VLOOKUP('Données projet'!$B$14,Paramètres!$A$1:$I$89,5,0)</f>
        <v>21.172319999999939</v>
      </c>
      <c r="DQ192" s="13">
        <f t="shared" si="176"/>
        <v>6.8391332707776806</v>
      </c>
      <c r="DR192" s="20">
        <f t="shared" si="177"/>
        <v>48.786614446604354</v>
      </c>
      <c r="DS192" s="59">
        <f t="shared" si="125"/>
        <v>342.11994777993766</v>
      </c>
      <c r="DT192" s="59">
        <f ca="1">AVERAGE(OFFSET($DS$3,0,0,'Données projet'!$E$14+1,1))-AVERAGE(OFFSET($H$3,0,0,'Données projet'!$E$14+1,1))</f>
        <v>778.88878505968955</v>
      </c>
      <c r="DU192" s="59">
        <f t="shared" si="152"/>
        <v>279.20782832611059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219.95071779337212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219.95071779337212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369.00000000000011</v>
      </c>
      <c r="O193" s="13">
        <f>N193*VLOOKUP('Données projet'!$B$9,Paramètres!$A$1:$I$89,3,0)*VLOOKUP('Données projet'!$B$9,Paramètres!$A$1:$I$89,5,0)</f>
        <v>333.87120000000004</v>
      </c>
      <c r="P193" s="13">
        <f t="shared" si="141"/>
        <v>78.232360111376309</v>
      </c>
      <c r="Q193" s="20">
        <f t="shared" si="162"/>
        <v>717.74703386064709</v>
      </c>
      <c r="R193" s="59">
        <f t="shared" si="109"/>
        <v>1011.0803671939805</v>
      </c>
      <c r="S193" s="59">
        <f ca="1">AVERAGE(OFFSET($R$3,0,0,'Données projet'!$E$9+1,1))-AVERAGE(OFFSET($H$3,0,0,'Données projet'!$E$9+1,1))</f>
        <v>436.4497226650281</v>
      </c>
      <c r="T193" s="59">
        <f t="shared" si="142"/>
        <v>611.43967996341871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0.44461768125850903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0.44461768125850903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630</v>
      </c>
      <c r="AJ193" s="13">
        <f>AI193*VLOOKUP('Données projet'!$B$10,Paramètres!$A$1:$I$89,3,0)*VLOOKUP('Données projet'!$B$10,Paramètres!$A$1:$I$89,5,0)</f>
        <v>550.36800000000005</v>
      </c>
      <c r="AK193" s="13">
        <f t="shared" si="164"/>
        <v>121.67271812244785</v>
      </c>
      <c r="AL193" s="20">
        <f t="shared" si="165"/>
        <v>1170.4709173965966</v>
      </c>
      <c r="AM193" s="59">
        <f t="shared" si="113"/>
        <v>1463.8042507299299</v>
      </c>
      <c r="AN193" s="59">
        <f ca="1">AVERAGE(OFFSET($AM$3,0,0,'Données projet'!$E$10+1,1))-AVERAGE(OFFSET($H$3,0,0,'Données projet'!$E$10+1,1))</f>
        <v>662.13838733542616</v>
      </c>
      <c r="AO193" s="59">
        <f t="shared" si="144"/>
        <v>1194.915361841041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4.7800000000008822</v>
      </c>
      <c r="BE193" s="13">
        <f>BD193*VLOOKUP('Données projet'!$B$11,Paramètres!$A$1:$I$89,3,0)*VLOOKUP('Données projet'!$B$11,Paramètres!$A$1:$I$89,5,0)</f>
        <v>2.2370400000004129</v>
      </c>
      <c r="BF193" s="13">
        <f t="shared" si="167"/>
        <v>0.9386934556823372</v>
      </c>
      <c r="BG193" s="20">
        <f t="shared" si="168"/>
        <v>5.5310691019807896</v>
      </c>
      <c r="BH193" s="59">
        <f t="shared" si="116"/>
        <v>298.8644024353141</v>
      </c>
      <c r="BI193" s="59">
        <f ca="1">AVERAGE(OFFSET($BH$3,0,0,'Données projet'!$E$11+1,1))-AVERAGE(OFFSET($H$3,0,0,'Données projet'!$E$11+1,1))</f>
        <v>321.82962838167799</v>
      </c>
      <c r="BJ193" s="59">
        <f t="shared" si="146"/>
        <v>243.43396255104295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56.325627271967143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56.325627271967143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187.80389738728508</v>
      </c>
      <c r="CE193" s="59">
        <f t="shared" si="148"/>
        <v>439.28159165815265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5.1947483762360509</v>
      </c>
      <c r="CL193" s="21">
        <f>EXP(-LN(2)/25)*CL192+(1-EXP(-LN(2)/25))/(LN(2)/25)*Calculateur!CG193*Calculateur!CI193*VLOOKUP('Données projet'!$B$12,Paramètres!$A$1:$I$89,3,0)*0.475*44/12</f>
        <v>0.17024942452751282</v>
      </c>
      <c r="CM193" s="21">
        <f>EXP(-LN(2)/2)*CM192+(1-EXP(-LN(2)/2))/(LN(2)/2)*CG193*CJ193*VLOOKUP('Données projet'!$B$12,Paramètres!$A$1:$I$89,3,0)*0.475*44/12</f>
        <v>3.7191699666806263E-26</v>
      </c>
      <c r="CN193" s="22">
        <f t="shared" si="172"/>
        <v>5.3649978007635637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21.709999999999326</v>
      </c>
      <c r="CU193" s="17">
        <f>CT193*VLOOKUP('Données projet'!$B$13,Paramètres!$A$1:$I$89,3,0)*VLOOKUP('Données projet'!$B$13,Paramètres!$A$1:$I$89,5,0)</f>
        <v>24.723347999999234</v>
      </c>
      <c r="CV193" s="13">
        <f t="shared" si="173"/>
        <v>7.8433511535672826</v>
      </c>
      <c r="CW193" s="20">
        <f t="shared" si="174"/>
        <v>56.720334359128351</v>
      </c>
      <c r="CX193" s="59">
        <f t="shared" si="122"/>
        <v>350.05366769246166</v>
      </c>
      <c r="CY193" s="59">
        <f ca="1">AVERAGE(OFFSET($CX$3,0,0,'Données projet'!$E$13+1,1))-AVERAGE(OFFSET($H$3,0,0,'Données projet'!$E$13+1,1))</f>
        <v>770.11410336045037</v>
      </c>
      <c r="CZ193" s="59">
        <f t="shared" si="150"/>
        <v>227.12611049004596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341.88750350799893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341.88750350799893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20.879999999999939</v>
      </c>
      <c r="DP193" s="17">
        <f>DO193*VLOOKUP('Données projet'!$B$14,Paramètres!$A$1:$I$89,3,0)*VLOOKUP('Données projet'!$B$14,Paramètres!$A$1:$I$89,5,0)</f>
        <v>21.172319999999939</v>
      </c>
      <c r="DQ193" s="13">
        <f t="shared" si="176"/>
        <v>6.8391332707776806</v>
      </c>
      <c r="DR193" s="20">
        <f t="shared" si="177"/>
        <v>48.786614446604354</v>
      </c>
      <c r="DS193" s="59">
        <f t="shared" si="125"/>
        <v>342.11994777993766</v>
      </c>
      <c r="DT193" s="59">
        <f ca="1">AVERAGE(OFFSET($DS$3,0,0,'Données projet'!$E$14+1,1))-AVERAGE(OFFSET($H$3,0,0,'Données projet'!$E$14+1,1))</f>
        <v>778.88878505968955</v>
      </c>
      <c r="DU193" s="59">
        <f t="shared" si="152"/>
        <v>279.20782832611059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215.63761837413509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215.63761837413509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369.00000000000011</v>
      </c>
      <c r="O194" s="13">
        <f>N194*VLOOKUP('Données projet'!$B$9,Paramètres!$A$1:$I$89,3,0)*VLOOKUP('Données projet'!$B$9,Paramètres!$A$1:$I$89,5,0)</f>
        <v>333.87120000000004</v>
      </c>
      <c r="P194" s="13">
        <f t="shared" si="141"/>
        <v>78.232360111376309</v>
      </c>
      <c r="Q194" s="20">
        <f t="shared" si="162"/>
        <v>717.74703386064709</v>
      </c>
      <c r="R194" s="59">
        <f t="shared" si="109"/>
        <v>1011.0803671939805</v>
      </c>
      <c r="S194" s="59">
        <f ca="1">AVERAGE(OFFSET($R$3,0,0,'Données projet'!$E$9+1,1))-AVERAGE(OFFSET($H$3,0,0,'Données projet'!$E$9+1,1))</f>
        <v>436.4497226650281</v>
      </c>
      <c r="T194" s="59">
        <f t="shared" si="142"/>
        <v>611.43967996341871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0.43589899971903745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0.43589899971903745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630</v>
      </c>
      <c r="AJ194" s="13">
        <f>AI194*VLOOKUP('Données projet'!$B$10,Paramètres!$A$1:$I$89,3,0)*VLOOKUP('Données projet'!$B$10,Paramètres!$A$1:$I$89,5,0)</f>
        <v>550.36800000000005</v>
      </c>
      <c r="AK194" s="13">
        <f t="shared" si="164"/>
        <v>121.67271812244785</v>
      </c>
      <c r="AL194" s="20">
        <f t="shared" si="165"/>
        <v>1170.4709173965966</v>
      </c>
      <c r="AM194" s="59">
        <f t="shared" si="113"/>
        <v>1463.8042507299299</v>
      </c>
      <c r="AN194" s="59">
        <f ca="1">AVERAGE(OFFSET($AM$3,0,0,'Données projet'!$E$10+1,1))-AVERAGE(OFFSET($H$3,0,0,'Données projet'!$E$10+1,1))</f>
        <v>662.13838733542616</v>
      </c>
      <c r="AO194" s="59">
        <f t="shared" si="144"/>
        <v>1194.915361841041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4.7800000000008822</v>
      </c>
      <c r="BE194" s="13">
        <f>BD194*VLOOKUP('Données projet'!$B$11,Paramètres!$A$1:$I$89,3,0)*VLOOKUP('Données projet'!$B$11,Paramètres!$A$1:$I$89,5,0)</f>
        <v>2.2370400000004129</v>
      </c>
      <c r="BF194" s="13">
        <f t="shared" si="167"/>
        <v>0.9386934556823372</v>
      </c>
      <c r="BG194" s="20">
        <f t="shared" si="168"/>
        <v>5.5310691019807896</v>
      </c>
      <c r="BH194" s="59">
        <f t="shared" si="116"/>
        <v>298.8644024353141</v>
      </c>
      <c r="BI194" s="59">
        <f ca="1">AVERAGE(OFFSET($BH$3,0,0,'Données projet'!$E$11+1,1))-AVERAGE(OFFSET($H$3,0,0,'Données projet'!$E$11+1,1))</f>
        <v>321.82962838167799</v>
      </c>
      <c r="BJ194" s="59">
        <f t="shared" si="146"/>
        <v>243.43396255104295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55.221116076404208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55.221116076404208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187.80389738728508</v>
      </c>
      <c r="CE194" s="59">
        <f t="shared" si="148"/>
        <v>439.28159165815265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5.0928825290617095</v>
      </c>
      <c r="CL194" s="21">
        <f>EXP(-LN(2)/25)*CL193+(1-EXP(-LN(2)/25))/(LN(2)/25)*Calculateur!CG194*Calculateur!CI194*VLOOKUP('Données projet'!$B$12,Paramètres!$A$1:$I$89,3,0)*0.475*44/12</f>
        <v>0.16559394506077985</v>
      </c>
      <c r="CM194" s="21">
        <f>EXP(-LN(2)/2)*CM193+(1-EXP(-LN(2)/2))/(LN(2)/2)*CG194*CJ194*VLOOKUP('Données projet'!$B$12,Paramètres!$A$1:$I$89,3,0)*0.475*44/12</f>
        <v>2.6298503038252169E-26</v>
      </c>
      <c r="CN194" s="22">
        <f t="shared" si="172"/>
        <v>5.2584764741224896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21.709999999999326</v>
      </c>
      <c r="CU194" s="17">
        <f>CT194*VLOOKUP('Données projet'!$B$13,Paramètres!$A$1:$I$89,3,0)*VLOOKUP('Données projet'!$B$13,Paramètres!$A$1:$I$89,5,0)</f>
        <v>24.723347999999234</v>
      </c>
      <c r="CV194" s="13">
        <f t="shared" si="173"/>
        <v>7.8433511535672826</v>
      </c>
      <c r="CW194" s="20">
        <f t="shared" si="174"/>
        <v>56.720334359128351</v>
      </c>
      <c r="CX194" s="59">
        <f t="shared" si="122"/>
        <v>350.05366769246166</v>
      </c>
      <c r="CY194" s="59">
        <f ca="1">AVERAGE(OFFSET($CX$3,0,0,'Données projet'!$E$13+1,1))-AVERAGE(OFFSET($H$3,0,0,'Données projet'!$E$13+1,1))</f>
        <v>770.11410336045037</v>
      </c>
      <c r="CZ194" s="59">
        <f t="shared" si="150"/>
        <v>227.12611049004596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335.18329809499352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335.18329809499352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20.879999999999939</v>
      </c>
      <c r="DP194" s="17">
        <f>DO194*VLOOKUP('Données projet'!$B$14,Paramètres!$A$1:$I$89,3,0)*VLOOKUP('Données projet'!$B$14,Paramètres!$A$1:$I$89,5,0)</f>
        <v>21.172319999999939</v>
      </c>
      <c r="DQ194" s="13">
        <f t="shared" si="176"/>
        <v>6.8391332707776806</v>
      </c>
      <c r="DR194" s="20">
        <f t="shared" si="177"/>
        <v>48.786614446604354</v>
      </c>
      <c r="DS194" s="59">
        <f t="shared" si="125"/>
        <v>342.11994777993766</v>
      </c>
      <c r="DT194" s="59">
        <f ca="1">AVERAGE(OFFSET($DS$3,0,0,'Données projet'!$E$14+1,1))-AVERAGE(OFFSET($H$3,0,0,'Données projet'!$E$14+1,1))</f>
        <v>778.88878505968955</v>
      </c>
      <c r="DU194" s="59">
        <f t="shared" si="152"/>
        <v>279.20782832611059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211.4090962037784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211.4090962037784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369.00000000000011</v>
      </c>
      <c r="O195" s="13">
        <f>N195*VLOOKUP('Données projet'!$B$9,Paramètres!$A$1:$I$89,3,0)*VLOOKUP('Données projet'!$B$9,Paramètres!$A$1:$I$89,5,0)</f>
        <v>333.87120000000004</v>
      </c>
      <c r="P195" s="13">
        <f t="shared" si="141"/>
        <v>78.232360111376309</v>
      </c>
      <c r="Q195" s="20">
        <f t="shared" si="162"/>
        <v>717.74703386064709</v>
      </c>
      <c r="R195" s="59">
        <f t="shared" ref="R195:R203" si="191">Q195+(I195+J195)*44/12</f>
        <v>1011.0803671939805</v>
      </c>
      <c r="S195" s="59">
        <f ca="1">AVERAGE(OFFSET($R$3,0,0,'Données projet'!$E$9+1,1))-AVERAGE(OFFSET($H$3,0,0,'Données projet'!$E$9+1,1))</f>
        <v>436.4497226650281</v>
      </c>
      <c r="T195" s="59">
        <f t="shared" si="142"/>
        <v>611.43967996341871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0.42735128620668428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0.42735128620668428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630</v>
      </c>
      <c r="AJ195" s="13">
        <f>AI195*VLOOKUP('Données projet'!$B$10,Paramètres!$A$1:$I$89,3,0)*VLOOKUP('Données projet'!$B$10,Paramètres!$A$1:$I$89,5,0)</f>
        <v>550.36800000000005</v>
      </c>
      <c r="AK195" s="13">
        <f t="shared" si="164"/>
        <v>121.67271812244785</v>
      </c>
      <c r="AL195" s="20">
        <f t="shared" si="165"/>
        <v>1170.4709173965966</v>
      </c>
      <c r="AM195" s="59">
        <f t="shared" si="113"/>
        <v>1463.8042507299299</v>
      </c>
      <c r="AN195" s="59">
        <f ca="1">AVERAGE(OFFSET($AM$3,0,0,'Données projet'!$E$10+1,1))-AVERAGE(OFFSET($H$3,0,0,'Données projet'!$E$10+1,1))</f>
        <v>662.13838733542616</v>
      </c>
      <c r="AO195" s="59">
        <f t="shared" si="144"/>
        <v>1194.915361841041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4.7800000000008822</v>
      </c>
      <c r="BE195" s="13">
        <f>BD195*VLOOKUP('Données projet'!$B$11,Paramètres!$A$1:$I$89,3,0)*VLOOKUP('Données projet'!$B$11,Paramètres!$A$1:$I$89,5,0)</f>
        <v>2.2370400000004129</v>
      </c>
      <c r="BF195" s="13">
        <f t="shared" si="167"/>
        <v>0.9386934556823372</v>
      </c>
      <c r="BG195" s="20">
        <f t="shared" si="168"/>
        <v>5.5310691019807896</v>
      </c>
      <c r="BH195" s="59">
        <f t="shared" si="116"/>
        <v>298.8644024353141</v>
      </c>
      <c r="BI195" s="59">
        <f ca="1">AVERAGE(OFFSET($BH$3,0,0,'Données projet'!$E$11+1,1))-AVERAGE(OFFSET($H$3,0,0,'Données projet'!$E$11+1,1))</f>
        <v>321.82962838167799</v>
      </c>
      <c r="BJ195" s="59">
        <f t="shared" si="146"/>
        <v>243.43396255104295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54.138263671700948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54.138263671700948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187.80389738728508</v>
      </c>
      <c r="CE195" s="59">
        <f t="shared" si="148"/>
        <v>439.28159165815265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4.9930142090184253</v>
      </c>
      <c r="CL195" s="21">
        <f>EXP(-LN(2)/25)*CL194+(1-EXP(-LN(2)/25))/(LN(2)/25)*Calculateur!CG195*Calculateur!CI195*VLOOKUP('Données projet'!$B$12,Paramètres!$A$1:$I$89,3,0)*0.475*44/12</f>
        <v>0.16106576992488572</v>
      </c>
      <c r="CM195" s="21">
        <f>EXP(-LN(2)/2)*CM194+(1-EXP(-LN(2)/2))/(LN(2)/2)*CG195*CJ195*VLOOKUP('Données projet'!$B$12,Paramètres!$A$1:$I$89,3,0)*0.475*44/12</f>
        <v>1.8595849833403132E-26</v>
      </c>
      <c r="CN195" s="22">
        <f t="shared" si="172"/>
        <v>5.1540799789433107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21.709999999999326</v>
      </c>
      <c r="CU195" s="17">
        <f>CT195*VLOOKUP('Données projet'!$B$13,Paramètres!$A$1:$I$89,3,0)*VLOOKUP('Données projet'!$B$13,Paramètres!$A$1:$I$89,5,0)</f>
        <v>24.723347999999234</v>
      </c>
      <c r="CV195" s="13">
        <f t="shared" si="173"/>
        <v>7.8433511535672826</v>
      </c>
      <c r="CW195" s="20">
        <f t="shared" si="174"/>
        <v>56.720334359128351</v>
      </c>
      <c r="CX195" s="59">
        <f t="shared" si="122"/>
        <v>350.05366769246166</v>
      </c>
      <c r="CY195" s="59">
        <f ca="1">AVERAGE(OFFSET($CX$3,0,0,'Données projet'!$E$13+1,1))-AVERAGE(OFFSET($H$3,0,0,'Données projet'!$E$13+1,1))</f>
        <v>770.11410336045037</v>
      </c>
      <c r="CZ195" s="59">
        <f t="shared" si="150"/>
        <v>227.12611049004596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328.61055806097562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328.61055806097562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20.879999999999939</v>
      </c>
      <c r="DP195" s="17">
        <f>DO195*VLOOKUP('Données projet'!$B$14,Paramètres!$A$1:$I$89,3,0)*VLOOKUP('Données projet'!$B$14,Paramètres!$A$1:$I$89,5,0)</f>
        <v>21.172319999999939</v>
      </c>
      <c r="DQ195" s="13">
        <f t="shared" si="176"/>
        <v>6.8391332707776806</v>
      </c>
      <c r="DR195" s="20">
        <f t="shared" si="177"/>
        <v>48.786614446604354</v>
      </c>
      <c r="DS195" s="59">
        <f t="shared" si="125"/>
        <v>342.11994777993766</v>
      </c>
      <c r="DT195" s="59">
        <f ca="1">AVERAGE(OFFSET($DS$3,0,0,'Données projet'!$E$14+1,1))-AVERAGE(OFFSET($H$3,0,0,'Données projet'!$E$14+1,1))</f>
        <v>778.88878505968955</v>
      </c>
      <c r="DU195" s="59">
        <f t="shared" si="152"/>
        <v>279.20782832611059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207.26349277403855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207.26349277403855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369.00000000000011</v>
      </c>
      <c r="O196" s="13">
        <f>N196*VLOOKUP('Données projet'!$B$9,Paramètres!$A$1:$I$89,3,0)*VLOOKUP('Données projet'!$B$9,Paramètres!$A$1:$I$89,5,0)</f>
        <v>333.87120000000004</v>
      </c>
      <c r="P196" s="13">
        <f t="shared" si="141"/>
        <v>78.232360111376309</v>
      </c>
      <c r="Q196" s="20">
        <f t="shared" si="162"/>
        <v>717.74703386064709</v>
      </c>
      <c r="R196" s="59">
        <f t="shared" si="191"/>
        <v>1011.0803671939805</v>
      </c>
      <c r="S196" s="59">
        <f ca="1">AVERAGE(OFFSET($R$3,0,0,'Données projet'!$E$9+1,1))-AVERAGE(OFFSET($H$3,0,0,'Données projet'!$E$9+1,1))</f>
        <v>436.4497226650281</v>
      </c>
      <c r="T196" s="59">
        <f t="shared" si="142"/>
        <v>611.43967996341871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0.41897118814271789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0.41897118814271789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630</v>
      </c>
      <c r="AJ196" s="13">
        <f>AI196*VLOOKUP('Données projet'!$B$10,Paramètres!$A$1:$I$89,3,0)*VLOOKUP('Données projet'!$B$10,Paramètres!$A$1:$I$89,5,0)</f>
        <v>550.36800000000005</v>
      </c>
      <c r="AK196" s="13">
        <f t="shared" si="164"/>
        <v>121.67271812244785</v>
      </c>
      <c r="AL196" s="20">
        <f t="shared" si="165"/>
        <v>1170.4709173965966</v>
      </c>
      <c r="AM196" s="59">
        <f t="shared" ref="AM196:AM203" si="193">AL196+(AD196+AE196)*44/12</f>
        <v>1463.8042507299299</v>
      </c>
      <c r="AN196" s="59">
        <f ca="1">AVERAGE(OFFSET($AM$3,0,0,'Données projet'!$E$10+1,1))-AVERAGE(OFFSET($H$3,0,0,'Données projet'!$E$10+1,1))</f>
        <v>662.13838733542616</v>
      </c>
      <c r="AO196" s="59">
        <f t="shared" si="144"/>
        <v>1194.915361841041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4.7800000000008822</v>
      </c>
      <c r="BE196" s="13">
        <f>BD196*VLOOKUP('Données projet'!$B$11,Paramètres!$A$1:$I$89,3,0)*VLOOKUP('Données projet'!$B$11,Paramètres!$A$1:$I$89,5,0)</f>
        <v>2.2370400000004129</v>
      </c>
      <c r="BF196" s="13">
        <f t="shared" si="167"/>
        <v>0.9386934556823372</v>
      </c>
      <c r="BG196" s="20">
        <f t="shared" si="168"/>
        <v>5.5310691019807896</v>
      </c>
      <c r="BH196" s="59">
        <f t="shared" ref="BH196:BH203" si="194">BG196+(AY196+AZ196)*44/12</f>
        <v>298.8644024353141</v>
      </c>
      <c r="BI196" s="59">
        <f ca="1">AVERAGE(OFFSET($BH$3,0,0,'Données projet'!$E$11+1,1))-AVERAGE(OFFSET($H$3,0,0,'Données projet'!$E$11+1,1))</f>
        <v>321.82962838167799</v>
      </c>
      <c r="BJ196" s="59">
        <f t="shared" si="146"/>
        <v>243.43396255104295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53.07664534217917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53.07664534217917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187.80389738728508</v>
      </c>
      <c r="CE196" s="59">
        <f t="shared" si="148"/>
        <v>439.28159165815265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4.8951042458175298</v>
      </c>
      <c r="CL196" s="21">
        <f>EXP(-LN(2)/25)*CL195+(1-EXP(-LN(2)/25))/(LN(2)/25)*Calculateur!CG196*Calculateur!CI196*VLOOKUP('Données projet'!$B$12,Paramètres!$A$1:$I$89,3,0)*0.475*44/12</f>
        <v>0.156661417976209</v>
      </c>
      <c r="CM196" s="21">
        <f>EXP(-LN(2)/2)*CM195+(1-EXP(-LN(2)/2))/(LN(2)/2)*CG196*CJ196*VLOOKUP('Données projet'!$B$12,Paramètres!$A$1:$I$89,3,0)*0.475*44/12</f>
        <v>1.3149251519126084E-26</v>
      </c>
      <c r="CN196" s="22">
        <f t="shared" si="172"/>
        <v>5.0517656637937387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21.709999999999326</v>
      </c>
      <c r="CU196" s="17">
        <f>CT196*VLOOKUP('Données projet'!$B$13,Paramètres!$A$1:$I$89,3,0)*VLOOKUP('Données projet'!$B$13,Paramètres!$A$1:$I$89,5,0)</f>
        <v>24.723347999999234</v>
      </c>
      <c r="CV196" s="13">
        <f t="shared" si="173"/>
        <v>7.8433511535672826</v>
      </c>
      <c r="CW196" s="20">
        <f t="shared" si="174"/>
        <v>56.720334359128351</v>
      </c>
      <c r="CX196" s="59">
        <f t="shared" ref="CX196:CX203" si="196">CW196+(CO196+CP196)*44/12</f>
        <v>350.05366769246166</v>
      </c>
      <c r="CY196" s="59">
        <f ca="1">AVERAGE(OFFSET($CX$3,0,0,'Données projet'!$E$13+1,1))-AVERAGE(OFFSET($H$3,0,0,'Données projet'!$E$13+1,1))</f>
        <v>770.11410336045037</v>
      </c>
      <c r="CZ196" s="59">
        <f t="shared" si="150"/>
        <v>227.12611049004596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322.16670545004922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322.16670545004922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20.879999999999939</v>
      </c>
      <c r="DP196" s="17">
        <f>DO196*VLOOKUP('Données projet'!$B$14,Paramètres!$A$1:$I$89,3,0)*VLOOKUP('Données projet'!$B$14,Paramètres!$A$1:$I$89,5,0)</f>
        <v>21.172319999999939</v>
      </c>
      <c r="DQ196" s="13">
        <f t="shared" si="176"/>
        <v>6.8391332707776806</v>
      </c>
      <c r="DR196" s="20">
        <f t="shared" si="177"/>
        <v>48.786614446604354</v>
      </c>
      <c r="DS196" s="59">
        <f t="shared" ref="DS196:DS203" si="197">DR196+(DJ196+DK196)*44/12</f>
        <v>342.11994777993766</v>
      </c>
      <c r="DT196" s="59">
        <f ca="1">AVERAGE(OFFSET($DS$3,0,0,'Données projet'!$E$14+1,1))-AVERAGE(OFFSET($H$3,0,0,'Données projet'!$E$14+1,1))</f>
        <v>778.88878505968955</v>
      </c>
      <c r="DU196" s="59">
        <f t="shared" si="152"/>
        <v>279.20782832611059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203.19918209898748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203.19918209898748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369.00000000000011</v>
      </c>
      <c r="O197" s="13">
        <f>N197*VLOOKUP('Données projet'!$B$9,Paramètres!$A$1:$I$89,3,0)*VLOOKUP('Données projet'!$B$9,Paramètres!$A$1:$I$89,5,0)</f>
        <v>333.87120000000004</v>
      </c>
      <c r="P197" s="13">
        <f t="shared" ref="P197:P203" si="203">EXP(-1.0587+0.8836*LN(O197)+0.284)</f>
        <v>78.232360111376309</v>
      </c>
      <c r="Q197" s="20">
        <f t="shared" si="162"/>
        <v>717.74703386064709</v>
      </c>
      <c r="R197" s="59">
        <f t="shared" si="191"/>
        <v>1011.0803671939805</v>
      </c>
      <c r="S197" s="59">
        <f ca="1">AVERAGE(OFFSET($R$3,0,0,'Données projet'!$E$9+1,1))-AVERAGE(OFFSET($H$3,0,0,'Données projet'!$E$9+1,1))</f>
        <v>436.4497226650281</v>
      </c>
      <c r="T197" s="59">
        <f t="shared" ref="T197:T203" si="204">$T$3</f>
        <v>611.43967996341871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0.41075541869043075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0.41075541869043075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630</v>
      </c>
      <c r="AJ197" s="13">
        <f>AI197*VLOOKUP('Données projet'!$B$10,Paramètres!$A$1:$I$89,3,0)*VLOOKUP('Données projet'!$B$10,Paramètres!$A$1:$I$89,5,0)</f>
        <v>550.36800000000005</v>
      </c>
      <c r="AK197" s="13">
        <f t="shared" si="164"/>
        <v>121.67271812244785</v>
      </c>
      <c r="AL197" s="20">
        <f t="shared" si="165"/>
        <v>1170.4709173965966</v>
      </c>
      <c r="AM197" s="59">
        <f t="shared" si="193"/>
        <v>1463.8042507299299</v>
      </c>
      <c r="AN197" s="59">
        <f ca="1">AVERAGE(OFFSET($AM$3,0,0,'Données projet'!$E$10+1,1))-AVERAGE(OFFSET($H$3,0,0,'Données projet'!$E$10+1,1))</f>
        <v>662.13838733542616</v>
      </c>
      <c r="AO197" s="59">
        <f t="shared" ref="AO197:AO203" si="205">$AO$3</f>
        <v>1194.915361841041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4.7800000000008822</v>
      </c>
      <c r="BE197" s="13">
        <f>BD197*VLOOKUP('Données projet'!$B$11,Paramètres!$A$1:$I$89,3,0)*VLOOKUP('Données projet'!$B$11,Paramètres!$A$1:$I$89,5,0)</f>
        <v>2.2370400000004129</v>
      </c>
      <c r="BF197" s="13">
        <f t="shared" si="167"/>
        <v>0.9386934556823372</v>
      </c>
      <c r="BG197" s="20">
        <f t="shared" si="168"/>
        <v>5.5310691019807896</v>
      </c>
      <c r="BH197" s="59">
        <f t="shared" si="194"/>
        <v>298.8644024353141</v>
      </c>
      <c r="BI197" s="59">
        <f ca="1">AVERAGE(OFFSET($BH$3,0,0,'Données projet'!$E$11+1,1))-AVERAGE(OFFSET($H$3,0,0,'Données projet'!$E$11+1,1))</f>
        <v>321.82962838167799</v>
      </c>
      <c r="BJ197" s="59">
        <f t="shared" ref="BJ197:BJ203" si="206">$BJ$3</f>
        <v>243.43396255104295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52.035844700576071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52.035844700576071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187.80389738728508</v>
      </c>
      <c r="CE197" s="59">
        <f t="shared" ref="CE197:CE203" si="207">$CE$3</f>
        <v>439.28159165815265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4.7991142372758224</v>
      </c>
      <c r="CL197" s="21">
        <f>EXP(-LN(2)/25)*CL196+(1-EXP(-LN(2)/25))/(LN(2)/25)*Calculateur!CG197*Calculateur!CI197*VLOOKUP('Données projet'!$B$12,Paramètres!$A$1:$I$89,3,0)*0.475*44/12</f>
        <v>0.15237750326318364</v>
      </c>
      <c r="CM197" s="21">
        <f>EXP(-LN(2)/2)*CM196+(1-EXP(-LN(2)/2))/(LN(2)/2)*CG197*CJ197*VLOOKUP('Données projet'!$B$12,Paramètres!$A$1:$I$89,3,0)*0.475*44/12</f>
        <v>9.2979249167015658E-27</v>
      </c>
      <c r="CN197" s="22">
        <f t="shared" si="172"/>
        <v>4.951491740539006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21.709999999999326</v>
      </c>
      <c r="CU197" s="17">
        <f>CT197*VLOOKUP('Données projet'!$B$13,Paramètres!$A$1:$I$89,3,0)*VLOOKUP('Données projet'!$B$13,Paramètres!$A$1:$I$89,5,0)</f>
        <v>24.723347999999234</v>
      </c>
      <c r="CV197" s="13">
        <f t="shared" si="173"/>
        <v>7.8433511535672826</v>
      </c>
      <c r="CW197" s="20">
        <f t="shared" si="174"/>
        <v>56.720334359128351</v>
      </c>
      <c r="CX197" s="59">
        <f t="shared" si="196"/>
        <v>350.05366769246166</v>
      </c>
      <c r="CY197" s="59">
        <f ca="1">AVERAGE(OFFSET($CX$3,0,0,'Données projet'!$E$13+1,1))-AVERAGE(OFFSET($H$3,0,0,'Données projet'!$E$13+1,1))</f>
        <v>770.11410336045037</v>
      </c>
      <c r="CZ197" s="59">
        <f t="shared" ref="CZ197:CZ203" si="208">$CZ$3</f>
        <v>227.12611049004596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315.8492128584611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315.8492128584611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20.879999999999939</v>
      </c>
      <c r="DP197" s="17">
        <f>DO197*VLOOKUP('Données projet'!$B$14,Paramètres!$A$1:$I$89,3,0)*VLOOKUP('Données projet'!$B$14,Paramètres!$A$1:$I$89,5,0)</f>
        <v>21.172319999999939</v>
      </c>
      <c r="DQ197" s="13">
        <f t="shared" si="176"/>
        <v>6.8391332707776806</v>
      </c>
      <c r="DR197" s="20">
        <f t="shared" si="177"/>
        <v>48.786614446604354</v>
      </c>
      <c r="DS197" s="59">
        <f t="shared" si="197"/>
        <v>342.11994777993766</v>
      </c>
      <c r="DT197" s="59">
        <f ca="1">AVERAGE(OFFSET($DS$3,0,0,'Données projet'!$E$14+1,1))-AVERAGE(OFFSET($H$3,0,0,'Données projet'!$E$14+1,1))</f>
        <v>778.88878505968955</v>
      </c>
      <c r="DU197" s="59">
        <f t="shared" ref="DU197:DU203" si="209">$DU$3</f>
        <v>279.20782832611059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199.21457007728944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199.21457007728944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369.00000000000011</v>
      </c>
      <c r="O198" s="13">
        <f>N198*VLOOKUP('Données projet'!$B$9,Paramètres!$A$1:$I$89,3,0)*VLOOKUP('Données projet'!$B$9,Paramètres!$A$1:$I$89,5,0)</f>
        <v>333.87120000000004</v>
      </c>
      <c r="P198" s="13">
        <f t="shared" si="203"/>
        <v>78.232360111376309</v>
      </c>
      <c r="Q198" s="20">
        <f t="shared" si="162"/>
        <v>717.74703386064709</v>
      </c>
      <c r="R198" s="59">
        <f t="shared" si="191"/>
        <v>1011.0803671939805</v>
      </c>
      <c r="S198" s="59">
        <f ca="1">AVERAGE(OFFSET($R$3,0,0,'Données projet'!$E$9+1,1))-AVERAGE(OFFSET($H$3,0,0,'Données projet'!$E$9+1,1))</f>
        <v>436.4497226650281</v>
      </c>
      <c r="T198" s="59">
        <f t="shared" si="204"/>
        <v>611.43967996341871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0.40270075546597844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0.40270075546597844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630</v>
      </c>
      <c r="AJ198" s="13">
        <f>AI198*VLOOKUP('Données projet'!$B$10,Paramètres!$A$1:$I$89,3,0)*VLOOKUP('Données projet'!$B$10,Paramètres!$A$1:$I$89,5,0)</f>
        <v>550.36800000000005</v>
      </c>
      <c r="AK198" s="13">
        <f t="shared" si="164"/>
        <v>121.67271812244785</v>
      </c>
      <c r="AL198" s="20">
        <f t="shared" si="165"/>
        <v>1170.4709173965966</v>
      </c>
      <c r="AM198" s="59">
        <f t="shared" si="193"/>
        <v>1463.8042507299299</v>
      </c>
      <c r="AN198" s="59">
        <f ca="1">AVERAGE(OFFSET($AM$3,0,0,'Données projet'!$E$10+1,1))-AVERAGE(OFFSET($H$3,0,0,'Données projet'!$E$10+1,1))</f>
        <v>662.13838733542616</v>
      </c>
      <c r="AO198" s="59">
        <f t="shared" si="205"/>
        <v>1194.915361841041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4.7800000000008822</v>
      </c>
      <c r="BE198" s="13">
        <f>BD198*VLOOKUP('Données projet'!$B$11,Paramètres!$A$1:$I$89,3,0)*VLOOKUP('Données projet'!$B$11,Paramètres!$A$1:$I$89,5,0)</f>
        <v>2.2370400000004129</v>
      </c>
      <c r="BF198" s="13">
        <f t="shared" si="167"/>
        <v>0.9386934556823372</v>
      </c>
      <c r="BG198" s="20">
        <f t="shared" si="168"/>
        <v>5.5310691019807896</v>
      </c>
      <c r="BH198" s="59">
        <f t="shared" si="194"/>
        <v>298.8644024353141</v>
      </c>
      <c r="BI198" s="59">
        <f ca="1">AVERAGE(OFFSET($BH$3,0,0,'Données projet'!$E$11+1,1))-AVERAGE(OFFSET($H$3,0,0,'Données projet'!$E$11+1,1))</f>
        <v>321.82962838167799</v>
      </c>
      <c r="BJ198" s="59">
        <f t="shared" si="206"/>
        <v>243.43396255104295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51.015453524729104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51.015453524729104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187.80389738728508</v>
      </c>
      <c r="CE198" s="59">
        <f t="shared" si="207"/>
        <v>439.28159165815265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4.7050065342534939</v>
      </c>
      <c r="CL198" s="21">
        <f>EXP(-LN(2)/25)*CL197+(1-EXP(-LN(2)/25))/(LN(2)/25)*Calculateur!CG198*Calculateur!CI198*VLOOKUP('Données projet'!$B$12,Paramètres!$A$1:$I$89,3,0)*0.475*44/12</f>
        <v>0.14821073242326724</v>
      </c>
      <c r="CM198" s="21">
        <f>EXP(-LN(2)/2)*CM197+(1-EXP(-LN(2)/2))/(LN(2)/2)*CG198*CJ198*VLOOKUP('Données projet'!$B$12,Paramètres!$A$1:$I$89,3,0)*0.475*44/12</f>
        <v>6.5746257595630422E-27</v>
      </c>
      <c r="CN198" s="22">
        <f t="shared" si="172"/>
        <v>4.8532172666767615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21.709999999999326</v>
      </c>
      <c r="CU198" s="17">
        <f>CT198*VLOOKUP('Données projet'!$B$13,Paramètres!$A$1:$I$89,3,0)*VLOOKUP('Données projet'!$B$13,Paramètres!$A$1:$I$89,5,0)</f>
        <v>24.723347999999234</v>
      </c>
      <c r="CV198" s="13">
        <f t="shared" si="173"/>
        <v>7.8433511535672826</v>
      </c>
      <c r="CW198" s="20">
        <f t="shared" si="174"/>
        <v>56.720334359128351</v>
      </c>
      <c r="CX198" s="59">
        <f t="shared" si="196"/>
        <v>350.05366769246166</v>
      </c>
      <c r="CY198" s="59">
        <f ca="1">AVERAGE(OFFSET($CX$3,0,0,'Données projet'!$E$13+1,1))-AVERAGE(OFFSET($H$3,0,0,'Données projet'!$E$13+1,1))</f>
        <v>770.11410336045037</v>
      </c>
      <c r="CZ198" s="59">
        <f t="shared" si="208"/>
        <v>227.12611049004596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309.65560244330402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309.65560244330402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20.879999999999939</v>
      </c>
      <c r="DP198" s="17">
        <f>DO198*VLOOKUP('Données projet'!$B$14,Paramètres!$A$1:$I$89,3,0)*VLOOKUP('Données projet'!$B$14,Paramètres!$A$1:$I$89,5,0)</f>
        <v>21.172319999999939</v>
      </c>
      <c r="DQ198" s="13">
        <f t="shared" si="176"/>
        <v>6.8391332707776806</v>
      </c>
      <c r="DR198" s="20">
        <f t="shared" si="177"/>
        <v>48.786614446604354</v>
      </c>
      <c r="DS198" s="59">
        <f t="shared" si="197"/>
        <v>342.11994777993766</v>
      </c>
      <c r="DT198" s="59">
        <f ca="1">AVERAGE(OFFSET($DS$3,0,0,'Données projet'!$E$14+1,1))-AVERAGE(OFFSET($H$3,0,0,'Données projet'!$E$14+1,1))</f>
        <v>778.88878505968955</v>
      </c>
      <c r="DU198" s="59">
        <f t="shared" si="209"/>
        <v>279.20782832611059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195.30809386696353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195.30809386696353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369.00000000000011</v>
      </c>
      <c r="O199" s="13">
        <f>N199*VLOOKUP('Données projet'!$B$9,Paramètres!$A$1:$I$89,3,0)*VLOOKUP('Données projet'!$B$9,Paramètres!$A$1:$I$89,5,0)</f>
        <v>333.87120000000004</v>
      </c>
      <c r="P199" s="13">
        <f t="shared" si="203"/>
        <v>78.232360111376309</v>
      </c>
      <c r="Q199" s="20">
        <f t="shared" si="162"/>
        <v>717.74703386064709</v>
      </c>
      <c r="R199" s="59">
        <f t="shared" si="191"/>
        <v>1011.0803671939805</v>
      </c>
      <c r="S199" s="59">
        <f ca="1">AVERAGE(OFFSET($R$3,0,0,'Données projet'!$E$9+1,1))-AVERAGE(OFFSET($H$3,0,0,'Données projet'!$E$9+1,1))</f>
        <v>436.4497226650281</v>
      </c>
      <c r="T199" s="59">
        <f t="shared" si="204"/>
        <v>611.43967996341871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0.39480403927449814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0.39480403927449814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630</v>
      </c>
      <c r="AJ199" s="13">
        <f>AI199*VLOOKUP('Données projet'!$B$10,Paramètres!$A$1:$I$89,3,0)*VLOOKUP('Données projet'!$B$10,Paramètres!$A$1:$I$89,5,0)</f>
        <v>550.36800000000005</v>
      </c>
      <c r="AK199" s="13">
        <f t="shared" si="164"/>
        <v>121.67271812244785</v>
      </c>
      <c r="AL199" s="20">
        <f t="shared" si="165"/>
        <v>1170.4709173965966</v>
      </c>
      <c r="AM199" s="59">
        <f t="shared" si="193"/>
        <v>1463.8042507299299</v>
      </c>
      <c r="AN199" s="59">
        <f ca="1">AVERAGE(OFFSET($AM$3,0,0,'Données projet'!$E$10+1,1))-AVERAGE(OFFSET($H$3,0,0,'Données projet'!$E$10+1,1))</f>
        <v>662.13838733542616</v>
      </c>
      <c r="AO199" s="59">
        <f t="shared" si="205"/>
        <v>1194.915361841041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4.7800000000008822</v>
      </c>
      <c r="BE199" s="13">
        <f>BD199*VLOOKUP('Données projet'!$B$11,Paramètres!$A$1:$I$89,3,0)*VLOOKUP('Données projet'!$B$11,Paramètres!$A$1:$I$89,5,0)</f>
        <v>2.2370400000004129</v>
      </c>
      <c r="BF199" s="13">
        <f t="shared" si="167"/>
        <v>0.9386934556823372</v>
      </c>
      <c r="BG199" s="20">
        <f t="shared" si="168"/>
        <v>5.5310691019807896</v>
      </c>
      <c r="BH199" s="59">
        <f t="shared" si="194"/>
        <v>298.8644024353141</v>
      </c>
      <c r="BI199" s="59">
        <f ca="1">AVERAGE(OFFSET($BH$3,0,0,'Données projet'!$E$11+1,1))-AVERAGE(OFFSET($H$3,0,0,'Données projet'!$E$11+1,1))</f>
        <v>321.82962838167799</v>
      </c>
      <c r="BJ199" s="59">
        <f t="shared" si="206"/>
        <v>243.43396255104295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50.015071597463333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50.015071597463333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187.80389738728508</v>
      </c>
      <c r="CE199" s="59">
        <f t="shared" si="207"/>
        <v>439.28159165815265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4.6127442258874023</v>
      </c>
      <c r="CL199" s="21">
        <f>EXP(-LN(2)/25)*CL198+(1-EXP(-LN(2)/25))/(LN(2)/25)*Calculateur!CG199*Calculateur!CI199*VLOOKUP('Données projet'!$B$12,Paramètres!$A$1:$I$89,3,0)*0.475*44/12</f>
        <v>0.14415790215108931</v>
      </c>
      <c r="CM199" s="21">
        <f>EXP(-LN(2)/2)*CM198+(1-EXP(-LN(2)/2))/(LN(2)/2)*CG199*CJ199*VLOOKUP('Données projet'!$B$12,Paramètres!$A$1:$I$89,3,0)*0.475*44/12</f>
        <v>4.6489624583507829E-27</v>
      </c>
      <c r="CN199" s="22">
        <f t="shared" si="172"/>
        <v>4.756902128038492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21.709999999999326</v>
      </c>
      <c r="CU199" s="17">
        <f>CT199*VLOOKUP('Données projet'!$B$13,Paramètres!$A$1:$I$89,3,0)*VLOOKUP('Données projet'!$B$13,Paramètres!$A$1:$I$89,5,0)</f>
        <v>24.723347999999234</v>
      </c>
      <c r="CV199" s="13">
        <f t="shared" si="173"/>
        <v>7.8433511535672826</v>
      </c>
      <c r="CW199" s="20">
        <f t="shared" si="174"/>
        <v>56.720334359128351</v>
      </c>
      <c r="CX199" s="59">
        <f t="shared" si="196"/>
        <v>350.05366769246166</v>
      </c>
      <c r="CY199" s="59">
        <f ca="1">AVERAGE(OFFSET($CX$3,0,0,'Données projet'!$E$13+1,1))-AVERAGE(OFFSET($H$3,0,0,'Données projet'!$E$13+1,1))</f>
        <v>770.11410336045037</v>
      </c>
      <c r="CZ199" s="59">
        <f t="shared" si="208"/>
        <v>227.12611049004596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303.58344495065882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303.58344495065882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20.879999999999939</v>
      </c>
      <c r="DP199" s="17">
        <f>DO199*VLOOKUP('Données projet'!$B$14,Paramètres!$A$1:$I$89,3,0)*VLOOKUP('Données projet'!$B$14,Paramètres!$A$1:$I$89,5,0)</f>
        <v>21.172319999999939</v>
      </c>
      <c r="DQ199" s="13">
        <f t="shared" si="176"/>
        <v>6.8391332707776806</v>
      </c>
      <c r="DR199" s="20">
        <f t="shared" si="177"/>
        <v>48.786614446604354</v>
      </c>
      <c r="DS199" s="59">
        <f t="shared" si="197"/>
        <v>342.11994777993766</v>
      </c>
      <c r="DT199" s="59">
        <f ca="1">AVERAGE(OFFSET($DS$3,0,0,'Données projet'!$E$14+1,1))-AVERAGE(OFFSET($H$3,0,0,'Données projet'!$E$14+1,1))</f>
        <v>778.88878505968955</v>
      </c>
      <c r="DU199" s="59">
        <f t="shared" si="209"/>
        <v>279.20782832611059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191.4782212724069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191.4782212724069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369.00000000000011</v>
      </c>
      <c r="O200" s="13">
        <f>N200*VLOOKUP('Données projet'!$B$9,Paramètres!$A$1:$I$89,3,0)*VLOOKUP('Données projet'!$B$9,Paramètres!$A$1:$I$89,5,0)</f>
        <v>333.87120000000004</v>
      </c>
      <c r="P200" s="13">
        <f t="shared" si="203"/>
        <v>78.232360111376309</v>
      </c>
      <c r="Q200" s="20">
        <f t="shared" si="162"/>
        <v>717.74703386064709</v>
      </c>
      <c r="R200" s="59">
        <f t="shared" si="191"/>
        <v>1011.0803671939805</v>
      </c>
      <c r="S200" s="59">
        <f ca="1">AVERAGE(OFFSET($R$3,0,0,'Données projet'!$E$9+1,1))-AVERAGE(OFFSET($H$3,0,0,'Données projet'!$E$9+1,1))</f>
        <v>436.4497226650281</v>
      </c>
      <c r="T200" s="59">
        <f t="shared" si="204"/>
        <v>611.43967996341871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0.38706217287101152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0.38706217287101152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630</v>
      </c>
      <c r="AJ200" s="13">
        <f>AI200*VLOOKUP('Données projet'!$B$10,Paramètres!$A$1:$I$89,3,0)*VLOOKUP('Données projet'!$B$10,Paramètres!$A$1:$I$89,5,0)</f>
        <v>550.36800000000005</v>
      </c>
      <c r="AK200" s="13">
        <f t="shared" si="164"/>
        <v>121.67271812244785</v>
      </c>
      <c r="AL200" s="20">
        <f t="shared" si="165"/>
        <v>1170.4709173965966</v>
      </c>
      <c r="AM200" s="59">
        <f t="shared" si="193"/>
        <v>1463.8042507299299</v>
      </c>
      <c r="AN200" s="59">
        <f ca="1">AVERAGE(OFFSET($AM$3,0,0,'Données projet'!$E$10+1,1))-AVERAGE(OFFSET($H$3,0,0,'Données projet'!$E$10+1,1))</f>
        <v>662.13838733542616</v>
      </c>
      <c r="AO200" s="59">
        <f t="shared" si="205"/>
        <v>1194.915361841041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4.7800000000008822</v>
      </c>
      <c r="BE200" s="13">
        <f>BD200*VLOOKUP('Données projet'!$B$11,Paramètres!$A$1:$I$89,3,0)*VLOOKUP('Données projet'!$B$11,Paramètres!$A$1:$I$89,5,0)</f>
        <v>2.2370400000004129</v>
      </c>
      <c r="BF200" s="13">
        <f t="shared" si="167"/>
        <v>0.9386934556823372</v>
      </c>
      <c r="BG200" s="20">
        <f t="shared" si="168"/>
        <v>5.5310691019807896</v>
      </c>
      <c r="BH200" s="59">
        <f t="shared" si="194"/>
        <v>298.8644024353141</v>
      </c>
      <c r="BI200" s="59">
        <f ca="1">AVERAGE(OFFSET($BH$3,0,0,'Données projet'!$E$11+1,1))-AVERAGE(OFFSET($H$3,0,0,'Données projet'!$E$11+1,1))</f>
        <v>321.82962838167799</v>
      </c>
      <c r="BJ200" s="59">
        <f t="shared" si="206"/>
        <v>243.43396255104295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49.034306549618513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49.034306549618513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187.80389738728508</v>
      </c>
      <c r="CE200" s="59">
        <f t="shared" si="207"/>
        <v>439.28159165815265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4.5222911251139184</v>
      </c>
      <c r="CL200" s="21">
        <f>EXP(-LN(2)/25)*CL199+(1-EXP(-LN(2)/25))/(LN(2)/25)*Calculateur!CG200*Calculateur!CI200*VLOOKUP('Données projet'!$B$12,Paramètres!$A$1:$I$89,3,0)*0.475*44/12</f>
        <v>0.14021589673583318</v>
      </c>
      <c r="CM200" s="21">
        <f>EXP(-LN(2)/2)*CM199+(1-EXP(-LN(2)/2))/(LN(2)/2)*CG200*CJ200*VLOOKUP('Données projet'!$B$12,Paramètres!$A$1:$I$89,3,0)*0.475*44/12</f>
        <v>3.2873128797815211E-27</v>
      </c>
      <c r="CN200" s="22">
        <f t="shared" si="172"/>
        <v>4.662507021849752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21.709999999999326</v>
      </c>
      <c r="CU200" s="17">
        <f>CT200*VLOOKUP('Données projet'!$B$13,Paramètres!$A$1:$I$89,3,0)*VLOOKUP('Données projet'!$B$13,Paramètres!$A$1:$I$89,5,0)</f>
        <v>24.723347999999234</v>
      </c>
      <c r="CV200" s="13">
        <f t="shared" si="173"/>
        <v>7.8433511535672826</v>
      </c>
      <c r="CW200" s="20">
        <f t="shared" si="174"/>
        <v>56.720334359128351</v>
      </c>
      <c r="CX200" s="59">
        <f t="shared" si="196"/>
        <v>350.05366769246166</v>
      </c>
      <c r="CY200" s="59">
        <f ca="1">AVERAGE(OFFSET($CX$3,0,0,'Données projet'!$E$13+1,1))-AVERAGE(OFFSET($H$3,0,0,'Données projet'!$E$13+1,1))</f>
        <v>770.11410336045037</v>
      </c>
      <c r="CZ200" s="59">
        <f t="shared" si="208"/>
        <v>227.12611049004596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297.63035876279406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297.63035876279406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20.879999999999939</v>
      </c>
      <c r="DP200" s="17">
        <f>DO200*VLOOKUP('Données projet'!$B$14,Paramètres!$A$1:$I$89,3,0)*VLOOKUP('Données projet'!$B$14,Paramètres!$A$1:$I$89,5,0)</f>
        <v>21.172319999999939</v>
      </c>
      <c r="DQ200" s="13">
        <f t="shared" si="176"/>
        <v>6.8391332707776806</v>
      </c>
      <c r="DR200" s="20">
        <f t="shared" si="177"/>
        <v>48.786614446604354</v>
      </c>
      <c r="DS200" s="59">
        <f t="shared" si="197"/>
        <v>342.11994777993766</v>
      </c>
      <c r="DT200" s="59">
        <f ca="1">AVERAGE(OFFSET($DS$3,0,0,'Données projet'!$E$14+1,1))-AVERAGE(OFFSET($H$3,0,0,'Données projet'!$E$14+1,1))</f>
        <v>778.88878505968955</v>
      </c>
      <c r="DU200" s="59">
        <f t="shared" si="209"/>
        <v>279.20782832611059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187.7234501434379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187.7234501434379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369.00000000000011</v>
      </c>
      <c r="O201" s="13">
        <f>N201*VLOOKUP('Données projet'!$B$9,Paramètres!$A$1:$I$89,3,0)*VLOOKUP('Données projet'!$B$9,Paramètres!$A$1:$I$89,5,0)</f>
        <v>333.87120000000004</v>
      </c>
      <c r="P201" s="13">
        <f t="shared" si="203"/>
        <v>78.232360111376309</v>
      </c>
      <c r="Q201" s="20">
        <f t="shared" si="162"/>
        <v>717.74703386064709</v>
      </c>
      <c r="R201" s="59">
        <f t="shared" si="191"/>
        <v>1011.0803671939805</v>
      </c>
      <c r="S201" s="59">
        <f ca="1">AVERAGE(OFFSET($R$3,0,0,'Données projet'!$E$9+1,1))-AVERAGE(OFFSET($H$3,0,0,'Données projet'!$E$9+1,1))</f>
        <v>436.4497226650281</v>
      </c>
      <c r="T201" s="59">
        <f t="shared" si="204"/>
        <v>611.43967996341871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0.379472119745625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0.379472119745625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630</v>
      </c>
      <c r="AJ201" s="13">
        <f>AI201*VLOOKUP('Données projet'!$B$10,Paramètres!$A$1:$I$89,3,0)*VLOOKUP('Données projet'!$B$10,Paramètres!$A$1:$I$89,5,0)</f>
        <v>550.36800000000005</v>
      </c>
      <c r="AK201" s="13">
        <f t="shared" si="164"/>
        <v>121.67271812244785</v>
      </c>
      <c r="AL201" s="20">
        <f t="shared" si="165"/>
        <v>1170.4709173965966</v>
      </c>
      <c r="AM201" s="59">
        <f t="shared" si="193"/>
        <v>1463.8042507299299</v>
      </c>
      <c r="AN201" s="59">
        <f ca="1">AVERAGE(OFFSET($AM$3,0,0,'Données projet'!$E$10+1,1))-AVERAGE(OFFSET($H$3,0,0,'Données projet'!$E$10+1,1))</f>
        <v>662.13838733542616</v>
      </c>
      <c r="AO201" s="59">
        <f t="shared" si="205"/>
        <v>1194.915361841041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4.7800000000008822</v>
      </c>
      <c r="BE201" s="13">
        <f>BD201*VLOOKUP('Données projet'!$B$11,Paramètres!$A$1:$I$89,3,0)*VLOOKUP('Données projet'!$B$11,Paramètres!$A$1:$I$89,5,0)</f>
        <v>2.2370400000004129</v>
      </c>
      <c r="BF201" s="13">
        <f t="shared" si="167"/>
        <v>0.9386934556823372</v>
      </c>
      <c r="BG201" s="20">
        <f t="shared" si="168"/>
        <v>5.5310691019807896</v>
      </c>
      <c r="BH201" s="59">
        <f t="shared" si="194"/>
        <v>298.8644024353141</v>
      </c>
      <c r="BI201" s="59">
        <f ca="1">AVERAGE(OFFSET($BH$3,0,0,'Données projet'!$E$11+1,1))-AVERAGE(OFFSET($H$3,0,0,'Données projet'!$E$11+1,1))</f>
        <v>321.82962838167799</v>
      </c>
      <c r="BJ201" s="59">
        <f t="shared" si="206"/>
        <v>243.43396255104295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48.072773706154322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48.072773706154322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187.80389738728508</v>
      </c>
      <c r="CE201" s="59">
        <f t="shared" si="207"/>
        <v>439.28159165815265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4.4336117544756588</v>
      </c>
      <c r="CL201" s="21">
        <f>EXP(-LN(2)/25)*CL200+(1-EXP(-LN(2)/25))/(LN(2)/25)*Calculateur!CG201*Calculateur!CI201*VLOOKUP('Données projet'!$B$12,Paramètres!$A$1:$I$89,3,0)*0.475*44/12</f>
        <v>0.13638168566595829</v>
      </c>
      <c r="CM201" s="21">
        <f>EXP(-LN(2)/2)*CM200+(1-EXP(-LN(2)/2))/(LN(2)/2)*CG201*CJ201*VLOOKUP('Données projet'!$B$12,Paramètres!$A$1:$I$89,3,0)*0.475*44/12</f>
        <v>2.3244812291753915E-27</v>
      </c>
      <c r="CN201" s="22">
        <f t="shared" si="172"/>
        <v>4.5699934401416167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21.709999999999326</v>
      </c>
      <c r="CU201" s="17">
        <f>CT201*VLOOKUP('Données projet'!$B$13,Paramètres!$A$1:$I$89,3,0)*VLOOKUP('Données projet'!$B$13,Paramètres!$A$1:$I$89,5,0)</f>
        <v>24.723347999999234</v>
      </c>
      <c r="CV201" s="13">
        <f t="shared" si="173"/>
        <v>7.8433511535672826</v>
      </c>
      <c r="CW201" s="20">
        <f t="shared" si="174"/>
        <v>56.720334359128351</v>
      </c>
      <c r="CX201" s="59">
        <f t="shared" si="196"/>
        <v>350.05366769246166</v>
      </c>
      <c r="CY201" s="59">
        <f ca="1">AVERAGE(OFFSET($CX$3,0,0,'Données projet'!$E$13+1,1))-AVERAGE(OFFSET($H$3,0,0,'Données projet'!$E$13+1,1))</f>
        <v>770.11410336045037</v>
      </c>
      <c r="CZ201" s="59">
        <f t="shared" si="208"/>
        <v>227.12611049004596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291.79400896404928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291.79400896404928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20.879999999999939</v>
      </c>
      <c r="DP201" s="17">
        <f>DO201*VLOOKUP('Données projet'!$B$14,Paramètres!$A$1:$I$89,3,0)*VLOOKUP('Données projet'!$B$14,Paramètres!$A$1:$I$89,5,0)</f>
        <v>21.172319999999939</v>
      </c>
      <c r="DQ201" s="13">
        <f t="shared" si="176"/>
        <v>6.8391332707776806</v>
      </c>
      <c r="DR201" s="20">
        <f t="shared" si="177"/>
        <v>48.786614446604354</v>
      </c>
      <c r="DS201" s="59">
        <f t="shared" si="197"/>
        <v>342.11994777993766</v>
      </c>
      <c r="DT201" s="59">
        <f ca="1">AVERAGE(OFFSET($DS$3,0,0,'Données projet'!$E$14+1,1))-AVERAGE(OFFSET($H$3,0,0,'Données projet'!$E$14+1,1))</f>
        <v>778.88878505968955</v>
      </c>
      <c r="DU201" s="59">
        <f t="shared" si="209"/>
        <v>279.20782832611059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184.04230778612373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184.04230778612373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369.00000000000011</v>
      </c>
      <c r="O202" s="13">
        <f>N202*VLOOKUP('Données projet'!$B$9,Paramètres!$A$1:$I$89,3,0)*VLOOKUP('Données projet'!$B$9,Paramètres!$A$1:$I$89,5,0)</f>
        <v>333.87120000000004</v>
      </c>
      <c r="P202" s="13">
        <f t="shared" si="203"/>
        <v>78.232360111376309</v>
      </c>
      <c r="Q202" s="20">
        <f t="shared" si="162"/>
        <v>717.74703386064709</v>
      </c>
      <c r="R202" s="59">
        <f t="shared" si="191"/>
        <v>1011.0803671939805</v>
      </c>
      <c r="S202" s="59">
        <f ca="1">AVERAGE(OFFSET($R$3,0,0,'Données projet'!$E$9+1,1))-AVERAGE(OFFSET($H$3,0,0,'Données projet'!$E$9+1,1))</f>
        <v>436.4497226650281</v>
      </c>
      <c r="T202" s="59">
        <f t="shared" si="204"/>
        <v>611.43967996341871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0.37203090293255203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0.37203090293255203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630</v>
      </c>
      <c r="AJ202" s="13">
        <f>AI202*VLOOKUP('Données projet'!$B$10,Paramètres!$A$1:$I$89,3,0)*VLOOKUP('Données projet'!$B$10,Paramètres!$A$1:$I$89,5,0)</f>
        <v>550.36800000000005</v>
      </c>
      <c r="AK202" s="13">
        <f t="shared" si="164"/>
        <v>121.67271812244785</v>
      </c>
      <c r="AL202" s="20">
        <f t="shared" si="165"/>
        <v>1170.4709173965966</v>
      </c>
      <c r="AM202" s="59">
        <f t="shared" si="193"/>
        <v>1463.8042507299299</v>
      </c>
      <c r="AN202" s="59">
        <f ca="1">AVERAGE(OFFSET($AM$3,0,0,'Données projet'!$E$10+1,1))-AVERAGE(OFFSET($H$3,0,0,'Données projet'!$E$10+1,1))</f>
        <v>662.13838733542616</v>
      </c>
      <c r="AO202" s="59">
        <f t="shared" si="205"/>
        <v>1194.915361841041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4.7800000000008822</v>
      </c>
      <c r="BE202" s="13">
        <f>BD202*VLOOKUP('Données projet'!$B$11,Paramètres!$A$1:$I$89,3,0)*VLOOKUP('Données projet'!$B$11,Paramètres!$A$1:$I$89,5,0)</f>
        <v>2.2370400000004129</v>
      </c>
      <c r="BF202" s="13">
        <f t="shared" si="167"/>
        <v>0.9386934556823372</v>
      </c>
      <c r="BG202" s="20">
        <f t="shared" si="168"/>
        <v>5.5310691019807896</v>
      </c>
      <c r="BH202" s="59">
        <f t="shared" si="194"/>
        <v>298.8644024353141</v>
      </c>
      <c r="BI202" s="59">
        <f ca="1">AVERAGE(OFFSET($BH$3,0,0,'Données projet'!$E$11+1,1))-AVERAGE(OFFSET($H$3,0,0,'Données projet'!$E$11+1,1))</f>
        <v>321.82962838167799</v>
      </c>
      <c r="BJ202" s="59">
        <f t="shared" si="206"/>
        <v>243.43396255104295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47.130095935273339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47.130095935273339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187.80389738728508</v>
      </c>
      <c r="CE202" s="59">
        <f t="shared" si="207"/>
        <v>439.28159165815265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4.3466713322065402</v>
      </c>
      <c r="CL202" s="21">
        <f>EXP(-LN(2)/25)*CL201+(1-EXP(-LN(2)/25))/(LN(2)/25)*Calculateur!CG202*Calculateur!CI202*VLOOKUP('Données projet'!$B$12,Paramètres!$A$1:$I$89,3,0)*0.475*44/12</f>
        <v>0.13265232129942151</v>
      </c>
      <c r="CM202" s="21">
        <f>EXP(-LN(2)/2)*CM201+(1-EXP(-LN(2)/2))/(LN(2)/2)*CG202*CJ202*VLOOKUP('Données projet'!$B$12,Paramètres!$A$1:$I$89,3,0)*0.475*44/12</f>
        <v>1.6436564398907605E-27</v>
      </c>
      <c r="CN202" s="22">
        <f t="shared" si="172"/>
        <v>4.4793236535059613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21.709999999999326</v>
      </c>
      <c r="CU202" s="17">
        <f>CT202*VLOOKUP('Données projet'!$B$13,Paramètres!$A$1:$I$89,3,0)*VLOOKUP('Données projet'!$B$13,Paramètres!$A$1:$I$89,5,0)</f>
        <v>24.723347999999234</v>
      </c>
      <c r="CV202" s="13">
        <f t="shared" si="173"/>
        <v>7.8433511535672826</v>
      </c>
      <c r="CW202" s="20">
        <f t="shared" si="174"/>
        <v>56.720334359128351</v>
      </c>
      <c r="CX202" s="59">
        <f t="shared" si="196"/>
        <v>350.05366769246166</v>
      </c>
      <c r="CY202" s="59">
        <f ca="1">AVERAGE(OFFSET($CX$3,0,0,'Données projet'!$E$13+1,1))-AVERAGE(OFFSET($H$3,0,0,'Données projet'!$E$13+1,1))</f>
        <v>770.11410336045037</v>
      </c>
      <c r="CZ202" s="59">
        <f t="shared" si="208"/>
        <v>227.12611049004596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286.072106425036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286.072106425036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20.879999999999939</v>
      </c>
      <c r="DP202" s="17">
        <f>DO202*VLOOKUP('Données projet'!$B$14,Paramètres!$A$1:$I$89,3,0)*VLOOKUP('Données projet'!$B$14,Paramètres!$A$1:$I$89,5,0)</f>
        <v>21.172319999999939</v>
      </c>
      <c r="DQ202" s="13">
        <f t="shared" si="176"/>
        <v>6.8391332707776806</v>
      </c>
      <c r="DR202" s="20">
        <f t="shared" si="177"/>
        <v>48.786614446604354</v>
      </c>
      <c r="DS202" s="59">
        <f t="shared" si="197"/>
        <v>342.11994777993766</v>
      </c>
      <c r="DT202" s="59">
        <f ca="1">AVERAGE(OFFSET($DS$3,0,0,'Données projet'!$E$14+1,1))-AVERAGE(OFFSET($H$3,0,0,'Données projet'!$E$14+1,1))</f>
        <v>778.88878505968955</v>
      </c>
      <c r="DU202" s="59">
        <f t="shared" si="209"/>
        <v>279.20782832611059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180.43335038516136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180.43335038516136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369.00000000000011</v>
      </c>
      <c r="O203" s="13">
        <f>N203*VLOOKUP('Données projet'!$B$9,Paramètres!$A$1:$I$89,3,0)*VLOOKUP('Données projet'!$B$9,Paramètres!$A$1:$I$89,5,0)</f>
        <v>333.87120000000004</v>
      </c>
      <c r="P203" s="13">
        <f t="shared" si="203"/>
        <v>78.232360111376309</v>
      </c>
      <c r="Q203" s="20">
        <f t="shared" si="162"/>
        <v>717.74703386064709</v>
      </c>
      <c r="R203" s="59">
        <f t="shared" si="191"/>
        <v>1011.0803671939805</v>
      </c>
      <c r="S203" s="59">
        <f ca="1">AVERAGE(OFFSET($R$3,0,0,'Données projet'!$E$9+1,1))-AVERAGE(OFFSET($H$3,0,0,'Données projet'!$E$9+1,1))</f>
        <v>436.4497226650281</v>
      </c>
      <c r="T203" s="59">
        <f t="shared" si="204"/>
        <v>611.43967996341871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0.36473560384248932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0.36473560384248932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630</v>
      </c>
      <c r="AJ203" s="13">
        <f>AI203*VLOOKUP('Données projet'!$B$10,Paramètres!$A$1:$I$89,3,0)*VLOOKUP('Données projet'!$B$10,Paramètres!$A$1:$I$89,5,0)</f>
        <v>550.36800000000005</v>
      </c>
      <c r="AK203" s="13">
        <f t="shared" si="164"/>
        <v>121.67271812244785</v>
      </c>
      <c r="AL203" s="20">
        <f t="shared" si="165"/>
        <v>1170.4709173965966</v>
      </c>
      <c r="AM203" s="59">
        <f t="shared" si="193"/>
        <v>1463.8042507299299</v>
      </c>
      <c r="AN203" s="59">
        <f ca="1">AVERAGE(OFFSET($AM$3,0,0,'Données projet'!$E$10+1,1))-AVERAGE(OFFSET($H$3,0,0,'Données projet'!$E$10+1,1))</f>
        <v>662.13838733542616</v>
      </c>
      <c r="AO203" s="59">
        <f t="shared" si="205"/>
        <v>1194.915361841041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4.7800000000008822</v>
      </c>
      <c r="BE203" s="13">
        <f>BD203*VLOOKUP('Données projet'!$B$11,Paramètres!$A$1:$I$89,3,0)*VLOOKUP('Données projet'!$B$11,Paramètres!$A$1:$I$89,5,0)</f>
        <v>2.2370400000004129</v>
      </c>
      <c r="BF203" s="13">
        <f t="shared" si="167"/>
        <v>0.9386934556823372</v>
      </c>
      <c r="BG203" s="20">
        <f t="shared" si="168"/>
        <v>5.5310691019807896</v>
      </c>
      <c r="BH203" s="59">
        <f t="shared" si="194"/>
        <v>298.8644024353141</v>
      </c>
      <c r="BI203" s="59">
        <f ca="1">AVERAGE(OFFSET($BH$3,0,0,'Données projet'!$E$11+1,1))-AVERAGE(OFFSET($H$3,0,0,'Données projet'!$E$11+1,1))</f>
        <v>321.82962838167799</v>
      </c>
      <c r="BJ203" s="59">
        <f t="shared" si="206"/>
        <v>243.43396255104295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46.205903500502664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46.205903500502664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187.80389738728508</v>
      </c>
      <c r="CE203" s="59">
        <f t="shared" si="207"/>
        <v>439.28159165815265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4.2614357585896974</v>
      </c>
      <c r="CL203" s="21">
        <f>EXP(-LN(2)/25)*CL202+(1-EXP(-LN(2)/25))/(LN(2)/25)*Calculateur!CG203*Calculateur!CI203*VLOOKUP('Données projet'!$B$12,Paramètres!$A$1:$I$89,3,0)*0.475*44/12</f>
        <v>0.12902493659760642</v>
      </c>
      <c r="CM203" s="21">
        <f>EXP(-LN(2)/2)*CM202+(1-EXP(-LN(2)/2))/(LN(2)/2)*CG203*CJ203*VLOOKUP('Données projet'!$B$12,Paramètres!$A$1:$I$89,3,0)*0.475*44/12</f>
        <v>1.1622406145876957E-27</v>
      </c>
      <c r="CN203" s="22">
        <f t="shared" si="172"/>
        <v>4.3904606951873042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21.709999999999326</v>
      </c>
      <c r="CU203" s="17">
        <f>CT203*VLOOKUP('Données projet'!$B$13,Paramètres!$A$1:$I$89,3,0)*VLOOKUP('Données projet'!$B$13,Paramètres!$A$1:$I$89,5,0)</f>
        <v>24.723347999999234</v>
      </c>
      <c r="CV203" s="13">
        <f t="shared" si="173"/>
        <v>7.8433511535672826</v>
      </c>
      <c r="CW203" s="20">
        <f t="shared" si="174"/>
        <v>56.720334359128351</v>
      </c>
      <c r="CX203" s="59">
        <f t="shared" si="196"/>
        <v>350.05366769246166</v>
      </c>
      <c r="CY203" s="59">
        <f ca="1">AVERAGE(OFFSET($CX$3,0,0,'Données projet'!$E$13+1,1))-AVERAGE(OFFSET($H$3,0,0,'Données projet'!$E$13+1,1))</f>
        <v>770.11410336045037</v>
      </c>
      <c r="CZ203" s="59">
        <f t="shared" si="208"/>
        <v>227.12611049004596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280.46240690479681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280.46240690479681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20.879999999999939</v>
      </c>
      <c r="DP203" s="17">
        <f>DO203*VLOOKUP('Données projet'!$B$14,Paramètres!$A$1:$I$89,3,0)*VLOOKUP('Données projet'!$B$14,Paramètres!$A$1:$I$89,5,0)</f>
        <v>21.172319999999939</v>
      </c>
      <c r="DQ203" s="13">
        <f t="shared" si="176"/>
        <v>6.8391332707776806</v>
      </c>
      <c r="DR203" s="20">
        <f t="shared" si="177"/>
        <v>48.786614446604354</v>
      </c>
      <c r="DS203" s="59">
        <f t="shared" si="197"/>
        <v>342.11994777993766</v>
      </c>
      <c r="DT203" s="59">
        <f ca="1">AVERAGE(OFFSET($DS$3,0,0,'Données projet'!$E$14+1,1))-AVERAGE(OFFSET($H$3,0,0,'Données projet'!$E$14+1,1))</f>
        <v>778.88878505968955</v>
      </c>
      <c r="DU203" s="59">
        <f t="shared" si="209"/>
        <v>279.20782832611059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176.89516243758521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176.89516243758521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2.1016324782757847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4.4721359549995787</v>
      </c>
      <c r="BA205" s="81">
        <f>EXP(LN('Données projet'!B88)/'Données projet'!A88)</f>
        <v>1.1930588331123015</v>
      </c>
      <c r="BV205" s="81">
        <f>EXP(LN('Données projet'!B114)/'Données projet'!A114)</f>
        <v>1.4943820583928935</v>
      </c>
      <c r="CQ205" s="81">
        <f>EXP(LN('Données projet'!B140)/'Données projet'!A140)</f>
        <v>1.1549646791293957</v>
      </c>
      <c r="DL205" s="81">
        <f>EXP(LN('Données projet'!B166)/'Données projet'!A166)</f>
        <v>1.1690615875887691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3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Robinier faux-acacia</v>
      </c>
      <c r="B6" s="144">
        <f>'Données projet'!D9</f>
        <v>26.996722300000002</v>
      </c>
      <c r="C6" s="145">
        <f ca="1">IF(OR('Données projet'!B9="",'Données projet'!C9="",'Données projet'!C9=0%),0,Calculateur!S3)</f>
        <v>436.4497226650281</v>
      </c>
      <c r="D6" s="145">
        <f>IF(OR('Données projet'!B9="",'Données projet'!C9="",'Données projet'!C9=0%),0,Calculateur!T3)</f>
        <v>611.43967996341871</v>
      </c>
      <c r="E6" s="145">
        <f ca="1">MIN(C6,D6)</f>
        <v>436.4497226650281</v>
      </c>
      <c r="F6" s="145">
        <f ca="1">E6*B6</f>
        <v>11782.71196069978</v>
      </c>
      <c r="G6" s="145">
        <f ca="1">F6*(100%-'Données projet'!$C$24)*(100%-'Données projet'!$C$25)*(100%-'Données projet'!$C$26)*(100%-'Données projet'!$C$27)</f>
        <v>10604.440764629802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870.64429417500003</v>
      </c>
      <c r="K6" s="149">
        <f>J6*(100%-'Données projet'!$C$24)*(100%-'Données projet'!$C$25)*(100%-'Données projet'!$C$26)*(100%-'Données projet'!$C$27)</f>
        <v>783.57986475749999</v>
      </c>
      <c r="L6" s="150">
        <f ca="1">G6+I6+K6</f>
        <v>11388.020629387302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Eucalyptus</v>
      </c>
      <c r="B7" s="152">
        <f>'Données projet'!D10</f>
        <v>21.897341649999998</v>
      </c>
      <c r="C7" s="145">
        <f ca="1">IF(OR('Données projet'!B10="",'Données projet'!C10="",'Données projet'!C10=0%),0,Calculateur!AN3)</f>
        <v>662.13838733542616</v>
      </c>
      <c r="D7" s="145">
        <f>IF(OR('Données projet'!B10="",'Données projet'!C10="",'Données projet'!C10=0%),0,Calculateur!AO3)</f>
        <v>1194.915361841041</v>
      </c>
      <c r="E7" s="145">
        <f t="shared" ref="E7:E15" ca="1" si="0">MIN(C7,D7)</f>
        <v>662.13838733542616</v>
      </c>
      <c r="F7" s="145">
        <f t="shared" ref="F7:F15" ca="1" si="1">E7*B7</f>
        <v>14499.070487063858</v>
      </c>
      <c r="G7" s="145">
        <f ca="1">F7*(100%-'Données projet'!$C$24)*(100%-'Données projet'!$C$25)*(100%-'Données projet'!$C$26)*(100%-'Données projet'!$C$27)</f>
        <v>13049.163438357473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13049.163438357473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Cèdre de l'Atlas</v>
      </c>
      <c r="B8" s="152">
        <f>'Données projet'!D11</f>
        <v>1.54356315</v>
      </c>
      <c r="C8" s="145">
        <f ca="1">IF(OR('Données projet'!B11="",'Données projet'!C11="",'Données projet'!C11=0%),0,Calculateur!BI3)</f>
        <v>321.82962838167799</v>
      </c>
      <c r="D8" s="145">
        <f>IF(OR('Données projet'!B11="",'Données projet'!C11="",'Données projet'!C11=0%),0,Calculateur!BJ3)</f>
        <v>243.43396255104295</v>
      </c>
      <c r="E8" s="145">
        <f t="shared" ca="1" si="0"/>
        <v>243.43396255104295</v>
      </c>
      <c r="F8" s="145">
        <f t="shared" ca="1" si="1"/>
        <v>375.75569405226992</v>
      </c>
      <c r="G8" s="145">
        <f ca="1">F8*(100%-'Données projet'!$C$24)*(100%-'Données projet'!$C$25)*(100%-'Données projet'!$C$26)*(100%-'Données projet'!$C$27)</f>
        <v>338.18012464704293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338.18012464704293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Pin maritime</v>
      </c>
      <c r="B9" s="152">
        <f>'Données projet'!D12</f>
        <v>0.66241875000000006</v>
      </c>
      <c r="C9" s="145">
        <f ca="1">IF(OR('Données projet'!B12="",'Données projet'!C12="",'Données projet'!C12=0%),0,Calculateur!CD3)</f>
        <v>187.80389738728508</v>
      </c>
      <c r="D9" s="145">
        <f>IF(OR('Données projet'!B12="",'Données projet'!C12="",'Données projet'!C12=0%),0,Calculateur!CE3)</f>
        <v>439.28159165815265</v>
      </c>
      <c r="E9" s="145">
        <f t="shared" ca="1" si="0"/>
        <v>187.80389738728508</v>
      </c>
      <c r="F9" s="145">
        <f t="shared" ca="1" si="1"/>
        <v>124.40482295241365</v>
      </c>
      <c r="G9" s="145">
        <f ca="1">F9*(100%-'Données projet'!$C$24)*(100%-'Données projet'!$C$25)*(100%-'Données projet'!$C$26)*(100%-'Données projet'!$C$27)</f>
        <v>111.96434065717229</v>
      </c>
      <c r="H9" s="153">
        <f>IF(OR('Données projet'!B12="",'Données projet'!C12="",'Données projet'!C12=0%),0,AVERAGE(Calculateur!$CN$3:$CN$33)*B9)</f>
        <v>11.437807084247828</v>
      </c>
      <c r="I9" s="147">
        <f>H9*(100%-'Données projet'!$C$24)*(100%-'Données projet'!$C$25)*(100%-'Données projet'!$C$26)*(100%-'Données projet'!$C$27)</f>
        <v>10.294026375823044</v>
      </c>
      <c r="J9" s="148">
        <f>IF(OR('Données projet'!B12="",'Données projet'!C12="",'Données projet'!C12=0%),0,SUM(Calculateur!$CG$3:$CG$33)*VLOOKUP('Données projet'!$B$12,Paramètres!$A$1:$I$89,9,0)*B9)</f>
        <v>172.74556162499999</v>
      </c>
      <c r="K9" s="149">
        <f>J9*(100%-'Données projet'!$C$24)*(100%-'Données projet'!$C$25)*(100%-'Données projet'!$C$26)*(100%-'Données projet'!$C$27)</f>
        <v>155.47100546249999</v>
      </c>
      <c r="L9" s="150">
        <f t="shared" ca="1" si="2"/>
        <v>277.72937249549534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vert</v>
      </c>
      <c r="B10" s="152">
        <f>'Données projet'!D13</f>
        <v>0.1999745</v>
      </c>
      <c r="C10" s="145">
        <f ca="1">IF(OR('Données projet'!B13="",'Données projet'!C13="",'Données projet'!C13=0%),0,Calculateur!CY3)</f>
        <v>770.11410336045037</v>
      </c>
      <c r="D10" s="145">
        <f>IF(OR('Données projet'!B13="",'Données projet'!C13="",'Données projet'!C13=0%),0,Calculateur!CZ3)</f>
        <v>227.12611049004596</v>
      </c>
      <c r="E10" s="145">
        <f t="shared" ca="1" si="0"/>
        <v>227.12611049004596</v>
      </c>
      <c r="F10" s="145">
        <f t="shared" ca="1" si="1"/>
        <v>45.419430382191699</v>
      </c>
      <c r="G10" s="145">
        <f ca="1">F10*(100%-'Données projet'!$C$24)*(100%-'Données projet'!$C$25)*(100%-'Données projet'!$C$26)*(100%-'Données projet'!$C$27)</f>
        <v>40.877487343972533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40.877487343972533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Chêne pubescent</v>
      </c>
      <c r="B11" s="152">
        <f>'Données projet'!D14</f>
        <v>0.1999745</v>
      </c>
      <c r="C11" s="145">
        <f ca="1">IF(OR('Données projet'!B14="",'Données projet'!C14="",'Données projet'!C14=0%),0,Calculateur!DT3)</f>
        <v>778.88878505968955</v>
      </c>
      <c r="D11" s="145">
        <f>IF(OR('Données projet'!B14="",'Données projet'!C14="",'Données projet'!C14=0%),0,Calculateur!DU3)</f>
        <v>279.20782832611059</v>
      </c>
      <c r="E11" s="145">
        <f t="shared" ca="1" si="0"/>
        <v>279.20782832611059</v>
      </c>
      <c r="F11" s="145">
        <f t="shared" ca="1" si="1"/>
        <v>55.834445865599804</v>
      </c>
      <c r="G11" s="145">
        <f ca="1">F11*(100%-'Données projet'!$C$24)*(100%-'Données projet'!$C$25)*(100%-'Données projet'!$C$26)*(100%-'Données projet'!$C$27)</f>
        <v>50.251001279039826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50.251001279039826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26883.196841016113</v>
      </c>
      <c r="G16" s="164">
        <f t="shared" ca="1" si="3"/>
        <v>24194.877156914506</v>
      </c>
      <c r="H16" s="165">
        <f t="shared" si="3"/>
        <v>11.437807084247828</v>
      </c>
      <c r="I16" s="165">
        <f t="shared" si="3"/>
        <v>10.294026375823044</v>
      </c>
      <c r="J16" s="166">
        <f t="shared" si="3"/>
        <v>1043.3898558000001</v>
      </c>
      <c r="K16" s="166">
        <f t="shared" si="3"/>
        <v>939.05087021999998</v>
      </c>
      <c r="L16" s="167">
        <f t="shared" ca="1" si="3"/>
        <v>25144.222053510326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Eucalyptus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Pin maritime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90" zoomScaleNormal="90" workbookViewId="0">
      <selection activeCell="C128" sqref="C128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Robinier faux-acacia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-163.16375112545521</v>
      </c>
      <c r="U10" s="176">
        <f>'Données projet'!D9</f>
        <v>26.996722300000002</v>
      </c>
      <c r="V10" s="175">
        <f>U10*T10</f>
        <v>-4404.8864785602273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Eucalyptus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-3424.26</v>
      </c>
      <c r="U11" s="176">
        <f>'Données projet'!D10</f>
        <v>21.897341649999998</v>
      </c>
      <c r="V11" s="175">
        <f t="shared" ref="V11" si="0">U11*T11</f>
        <v>-74982.191118428993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Cèdre de l'Atlas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152.96755171477804</v>
      </c>
      <c r="U12" s="176">
        <f>'Données projet'!D11</f>
        <v>1.54356315</v>
      </c>
      <c r="V12" s="175">
        <f t="shared" ref="V12:V19" si="1">U12*T12</f>
        <v>236.11507597265069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Pin maritime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4474.1257748844619</v>
      </c>
      <c r="U13" s="176">
        <f>'Données projet'!D12</f>
        <v>0.66241875000000006</v>
      </c>
      <c r="V13" s="175">
        <f t="shared" si="1"/>
        <v>2963.7448031417471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Robinier faux-acacia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vert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1837.3631787444529</v>
      </c>
      <c r="U14" s="176">
        <f>'Données projet'!D13</f>
        <v>0.1999745</v>
      </c>
      <c r="V14" s="175">
        <f t="shared" si="1"/>
        <v>367.42578298783258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Chêne pubescent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6581.3437563057187</v>
      </c>
      <c r="U15" s="176">
        <f>'Données projet'!D14</f>
        <v>0.1999745</v>
      </c>
      <c r="V15" s="175">
        <f t="shared" si="1"/>
        <v>1316.1009269953579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1736.06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2419.3200000000002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672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672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5</v>
      </c>
      <c r="B23" s="179">
        <f>'Données projet'!D36</f>
        <v>8</v>
      </c>
      <c r="C23" s="191">
        <v>20</v>
      </c>
      <c r="D23" s="180">
        <f>B23*C23</f>
        <v>160</v>
      </c>
      <c r="E23" s="191"/>
      <c r="F23" s="228"/>
      <c r="H23" s="188">
        <v>3</v>
      </c>
      <c r="I23" s="189">
        <v>672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-323255.76036180346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10</v>
      </c>
      <c r="B24" s="179">
        <f>'Données projet'!D37</f>
        <v>37</v>
      </c>
      <c r="C24" s="191">
        <v>20</v>
      </c>
      <c r="D24" s="180">
        <f t="shared" ref="D24:D42" si="2">B24*C24</f>
        <v>740</v>
      </c>
      <c r="E24" s="191"/>
      <c r="F24" s="231"/>
      <c r="H24" s="188">
        <v>4</v>
      </c>
      <c r="I24" s="189">
        <v>672</v>
      </c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15</v>
      </c>
      <c r="B25" s="179">
        <f>'Données projet'!D38</f>
        <v>29</v>
      </c>
      <c r="C25" s="191">
        <v>20</v>
      </c>
      <c r="D25" s="180">
        <f t="shared" si="2"/>
        <v>580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-323255.76036180346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23</v>
      </c>
      <c r="C26" s="191">
        <v>20</v>
      </c>
      <c r="D26" s="180">
        <f t="shared" si="2"/>
        <v>460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25</v>
      </c>
      <c r="B27" s="179">
        <f>'Données projet'!D40</f>
        <v>18</v>
      </c>
      <c r="C27" s="191">
        <v>20</v>
      </c>
      <c r="D27" s="180">
        <f t="shared" si="2"/>
        <v>360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30</v>
      </c>
      <c r="B28" s="179">
        <f>'Données projet'!D41</f>
        <v>14</v>
      </c>
      <c r="C28" s="191">
        <v>20</v>
      </c>
      <c r="D28" s="180">
        <f t="shared" si="2"/>
        <v>280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35</v>
      </c>
      <c r="B29" s="179">
        <f>'Données projet'!D42</f>
        <v>11</v>
      </c>
      <c r="C29" s="191">
        <v>55</v>
      </c>
      <c r="D29" s="180">
        <f t="shared" si="2"/>
        <v>605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40</v>
      </c>
      <c r="B30" s="179">
        <f>'Données projet'!D43</f>
        <v>9</v>
      </c>
      <c r="C30" s="191">
        <v>55</v>
      </c>
      <c r="D30" s="180">
        <f t="shared" si="2"/>
        <v>495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45</v>
      </c>
      <c r="B31" s="179">
        <f>'Données projet'!D44</f>
        <v>9</v>
      </c>
      <c r="C31" s="191">
        <v>55</v>
      </c>
      <c r="D31" s="180">
        <f t="shared" si="2"/>
        <v>495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Eucalyptus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3424.26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projet'!$E$9:$E$18),O53+1,"STOP")</f>
        <v>STOP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18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19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20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Cèdre de l'Atlas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2917.8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42</v>
      </c>
      <c r="B86" s="179">
        <f>'Données projet'!D89</f>
        <v>182.39</v>
      </c>
      <c r="C86" s="189">
        <v>45</v>
      </c>
      <c r="D86" s="177">
        <f t="shared" ref="D86:D104" si="6">B86*C86</f>
        <v>8207.5499999999993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49</v>
      </c>
      <c r="B87" s="179">
        <f>'Données projet'!D90</f>
        <v>100.16</v>
      </c>
      <c r="C87" s="189">
        <v>45</v>
      </c>
      <c r="D87" s="177">
        <f t="shared" si="6"/>
        <v>4507.2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56</v>
      </c>
      <c r="B88" s="179">
        <f>'Données projet'!D91</f>
        <v>79.39</v>
      </c>
      <c r="C88" s="189">
        <v>45</v>
      </c>
      <c r="D88" s="177">
        <f t="shared" si="6"/>
        <v>3572.55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63</v>
      </c>
      <c r="B89" s="179">
        <f>'Données projet'!D92</f>
        <v>79.099999999999994</v>
      </c>
      <c r="C89" s="189">
        <v>45</v>
      </c>
      <c r="D89" s="177">
        <f t="shared" si="6"/>
        <v>3559.4999999999995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71</v>
      </c>
      <c r="B90" s="179">
        <f>'Données projet'!D93</f>
        <v>90.8</v>
      </c>
      <c r="C90" s="189">
        <v>45</v>
      </c>
      <c r="D90" s="177">
        <f t="shared" si="6"/>
        <v>4086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79</v>
      </c>
      <c r="B91" s="179">
        <f>'Données projet'!D94</f>
        <v>87.99</v>
      </c>
      <c r="C91" s="189">
        <v>45</v>
      </c>
      <c r="D91" s="177">
        <f t="shared" si="6"/>
        <v>3959.5499999999997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87</v>
      </c>
      <c r="B92" s="179">
        <f>'Données projet'!D95</f>
        <v>88.62</v>
      </c>
      <c r="C92" s="189">
        <v>45</v>
      </c>
      <c r="D92" s="177">
        <f t="shared" si="6"/>
        <v>3987.9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95</v>
      </c>
      <c r="B93" s="179">
        <f>'Données projet'!D96</f>
        <v>268.81</v>
      </c>
      <c r="C93" s="189">
        <v>45</v>
      </c>
      <c r="D93" s="177">
        <f t="shared" si="6"/>
        <v>12096.45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105</v>
      </c>
      <c r="B94" s="179">
        <f>'Données projet'!D97</f>
        <v>356.68</v>
      </c>
      <c r="C94" s="189">
        <v>45</v>
      </c>
      <c r="D94" s="177">
        <f t="shared" si="6"/>
        <v>16050.6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Pin maritime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1533.47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11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12</v>
      </c>
      <c r="B117" s="179">
        <f>'Données projet'!D115</f>
        <v>34</v>
      </c>
      <c r="C117" s="189">
        <v>20</v>
      </c>
      <c r="D117" s="177">
        <f t="shared" ref="D117:D135" si="8">B117*C117</f>
        <v>680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13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14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15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16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17</v>
      </c>
      <c r="B122" s="179">
        <f>'Données projet'!D120</f>
        <v>43</v>
      </c>
      <c r="C122" s="189">
        <v>28</v>
      </c>
      <c r="D122" s="177">
        <f t="shared" si="8"/>
        <v>1204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18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19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20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21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22</v>
      </c>
      <c r="B127" s="179">
        <f>'Données projet'!D125</f>
        <v>56</v>
      </c>
      <c r="C127" s="189">
        <v>39</v>
      </c>
      <c r="D127" s="177">
        <f t="shared" si="8"/>
        <v>2184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23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24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25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26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27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28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29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30</v>
      </c>
      <c r="B135" s="179">
        <f>'Données projet'!D133</f>
        <v>309</v>
      </c>
      <c r="C135" s="189">
        <v>51</v>
      </c>
      <c r="D135" s="177">
        <f t="shared" si="8"/>
        <v>15759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vert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3593.08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42</v>
      </c>
      <c r="B148" s="173">
        <f>'Données projet'!D141</f>
        <v>43.21</v>
      </c>
      <c r="C148" s="189">
        <v>235</v>
      </c>
      <c r="D148" s="180">
        <f t="shared" ref="D148:D166" si="10">B148*C148</f>
        <v>10154.35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50</v>
      </c>
      <c r="B149" s="173">
        <f>'Données projet'!D142</f>
        <v>35.58</v>
      </c>
      <c r="C149" s="189">
        <v>235</v>
      </c>
      <c r="D149" s="180">
        <f t="shared" si="10"/>
        <v>8361.2999999999993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58</v>
      </c>
      <c r="B150" s="173">
        <f>'Données projet'!D143</f>
        <v>44.93</v>
      </c>
      <c r="C150" s="189">
        <v>235</v>
      </c>
      <c r="D150" s="180">
        <f t="shared" si="10"/>
        <v>10558.55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66</v>
      </c>
      <c r="B151" s="173">
        <f>'Données projet'!D144</f>
        <v>49.91</v>
      </c>
      <c r="C151" s="189">
        <v>235</v>
      </c>
      <c r="D151" s="180">
        <f t="shared" si="10"/>
        <v>11728.849999999999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74</v>
      </c>
      <c r="B152" s="173">
        <f>'Données projet'!D145</f>
        <v>47.4</v>
      </c>
      <c r="C152" s="189">
        <v>235</v>
      </c>
      <c r="D152" s="180">
        <f t="shared" si="10"/>
        <v>11139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84</v>
      </c>
      <c r="B153" s="173">
        <f>'Données projet'!D146</f>
        <v>61.47</v>
      </c>
      <c r="C153" s="189">
        <v>235</v>
      </c>
      <c r="D153" s="180">
        <f t="shared" si="10"/>
        <v>14445.449999999999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94</v>
      </c>
      <c r="B154" s="173">
        <f>'Données projet'!D147</f>
        <v>61.85</v>
      </c>
      <c r="C154" s="189">
        <v>235</v>
      </c>
      <c r="D154" s="180">
        <f t="shared" si="10"/>
        <v>14534.75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104</v>
      </c>
      <c r="B155" s="173">
        <f>'Données projet'!D148</f>
        <v>60.19</v>
      </c>
      <c r="C155" s="189">
        <v>235</v>
      </c>
      <c r="D155" s="180">
        <f t="shared" si="10"/>
        <v>14144.65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114</v>
      </c>
      <c r="B156" s="173">
        <f>'Données projet'!D149</f>
        <v>56.07</v>
      </c>
      <c r="C156" s="189">
        <v>235</v>
      </c>
      <c r="D156" s="180">
        <f t="shared" si="10"/>
        <v>13176.45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124</v>
      </c>
      <c r="B157" s="173">
        <f>'Données projet'!D150</f>
        <v>52.53</v>
      </c>
      <c r="C157" s="189">
        <v>235</v>
      </c>
      <c r="D157" s="180">
        <f t="shared" si="10"/>
        <v>12344.550000000001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134</v>
      </c>
      <c r="B158" s="173">
        <f>'Données projet'!D151</f>
        <v>54.95</v>
      </c>
      <c r="C158" s="189">
        <v>235</v>
      </c>
      <c r="D158" s="180">
        <f t="shared" si="10"/>
        <v>12913.25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144</v>
      </c>
      <c r="B159" s="173">
        <f>'Données projet'!D152</f>
        <v>56.01</v>
      </c>
      <c r="C159" s="189">
        <v>235</v>
      </c>
      <c r="D159" s="180">
        <f t="shared" si="10"/>
        <v>13162.35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154</v>
      </c>
      <c r="B160" s="173">
        <f>'Données projet'!D153</f>
        <v>55.13</v>
      </c>
      <c r="C160" s="189">
        <v>235</v>
      </c>
      <c r="D160" s="180">
        <f t="shared" si="10"/>
        <v>12955.550000000001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164</v>
      </c>
      <c r="B161" s="173">
        <f>'Données projet'!D154</f>
        <v>59.58</v>
      </c>
      <c r="C161" s="189">
        <v>235</v>
      </c>
      <c r="D161" s="180">
        <f t="shared" si="10"/>
        <v>14001.3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174</v>
      </c>
      <c r="B162" s="173">
        <f>'Données projet'!D155</f>
        <v>214.77</v>
      </c>
      <c r="C162" s="189">
        <v>235</v>
      </c>
      <c r="D162" s="180">
        <f t="shared" si="10"/>
        <v>50470.950000000004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177</v>
      </c>
      <c r="B163" s="173">
        <f>'Données projet'!D156</f>
        <v>115.19</v>
      </c>
      <c r="C163" s="189">
        <v>235</v>
      </c>
      <c r="D163" s="180">
        <f t="shared" si="10"/>
        <v>27069.649999999998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180</v>
      </c>
      <c r="B164" s="173">
        <f>'Données projet'!D157</f>
        <v>77.72</v>
      </c>
      <c r="C164" s="189">
        <v>235</v>
      </c>
      <c r="D164" s="180">
        <f t="shared" si="10"/>
        <v>18264.2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183</v>
      </c>
      <c r="B165" s="173">
        <f>'Données projet'!D158</f>
        <v>169.76</v>
      </c>
      <c r="C165" s="189">
        <v>235</v>
      </c>
      <c r="D165" s="180">
        <f t="shared" si="10"/>
        <v>39893.599999999999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Chêne pubescent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3086.62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30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34</v>
      </c>
      <c r="B179" s="179">
        <f>'Données projet'!D167</f>
        <v>35.450000000000003</v>
      </c>
      <c r="C179" s="191">
        <v>235</v>
      </c>
      <c r="D179" s="177">
        <f t="shared" ref="D179:D197" si="11">B179*C179</f>
        <v>8330.75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42</v>
      </c>
      <c r="B180" s="179">
        <f>'Données projet'!D168</f>
        <v>55.41</v>
      </c>
      <c r="C180" s="191">
        <v>235</v>
      </c>
      <c r="D180" s="177">
        <f t="shared" si="11"/>
        <v>13021.349999999999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50</v>
      </c>
      <c r="B181" s="179">
        <f>'Données projet'!D169</f>
        <v>66.62</v>
      </c>
      <c r="C181" s="191">
        <v>235</v>
      </c>
      <c r="D181" s="177">
        <f t="shared" si="11"/>
        <v>15655.7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58</v>
      </c>
      <c r="B182" s="179">
        <f>'Données projet'!D170</f>
        <v>62.16</v>
      </c>
      <c r="C182" s="191">
        <v>235</v>
      </c>
      <c r="D182" s="177">
        <f t="shared" si="11"/>
        <v>14607.599999999999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66</v>
      </c>
      <c r="B183" s="179">
        <f>'Données projet'!D171</f>
        <v>71.34</v>
      </c>
      <c r="C183" s="191">
        <v>235</v>
      </c>
      <c r="D183" s="177">
        <f t="shared" si="11"/>
        <v>16764.900000000001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74</v>
      </c>
      <c r="B184" s="179">
        <f>'Données projet'!D172</f>
        <v>70.209999999999994</v>
      </c>
      <c r="C184" s="191">
        <v>235</v>
      </c>
      <c r="D184" s="177">
        <f t="shared" si="11"/>
        <v>16499.349999999999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82</v>
      </c>
      <c r="B185" s="179">
        <f>'Données projet'!D173</f>
        <v>53.92</v>
      </c>
      <c r="C185" s="191">
        <v>235</v>
      </c>
      <c r="D185" s="177">
        <f t="shared" si="11"/>
        <v>12671.2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90</v>
      </c>
      <c r="B186" s="179">
        <f>'Données projet'!D174</f>
        <v>63.25</v>
      </c>
      <c r="C186" s="191">
        <v>235</v>
      </c>
      <c r="D186" s="177">
        <f t="shared" si="11"/>
        <v>14863.75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100</v>
      </c>
      <c r="B187" s="179">
        <f>'Données projet'!D175</f>
        <v>85.23</v>
      </c>
      <c r="C187" s="191">
        <v>235</v>
      </c>
      <c r="D187" s="177">
        <f t="shared" si="11"/>
        <v>20029.05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110</v>
      </c>
      <c r="B188" s="179">
        <f>'Données projet'!D176</f>
        <v>67.22</v>
      </c>
      <c r="C188" s="191">
        <v>235</v>
      </c>
      <c r="D188" s="177">
        <f t="shared" si="11"/>
        <v>15796.699999999999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120</v>
      </c>
      <c r="B189" s="179">
        <f>'Données projet'!D177</f>
        <v>60.46</v>
      </c>
      <c r="C189" s="191">
        <v>235</v>
      </c>
      <c r="D189" s="177">
        <f t="shared" si="11"/>
        <v>14208.1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130</v>
      </c>
      <c r="B190" s="179">
        <f>'Données projet'!D178</f>
        <v>69</v>
      </c>
      <c r="C190" s="191">
        <v>235</v>
      </c>
      <c r="D190" s="177">
        <f t="shared" si="11"/>
        <v>16215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140</v>
      </c>
      <c r="B191" s="179">
        <f>'Données projet'!D179</f>
        <v>67.930000000000007</v>
      </c>
      <c r="C191" s="191">
        <v>235</v>
      </c>
      <c r="D191" s="177">
        <f t="shared" si="11"/>
        <v>15963.550000000001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150</v>
      </c>
      <c r="B192" s="179">
        <f>'Données projet'!D180</f>
        <v>234.51</v>
      </c>
      <c r="C192" s="191">
        <v>235</v>
      </c>
      <c r="D192" s="177">
        <f t="shared" si="11"/>
        <v>55109.85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153</v>
      </c>
      <c r="B193" s="179">
        <f>'Données projet'!D181</f>
        <v>141.22</v>
      </c>
      <c r="C193" s="191">
        <v>235</v>
      </c>
      <c r="D193" s="177">
        <f t="shared" si="11"/>
        <v>33186.699999999997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156</v>
      </c>
      <c r="B194" s="179">
        <f>'Données projet'!D182</f>
        <v>87.28</v>
      </c>
      <c r="C194" s="191">
        <v>235</v>
      </c>
      <c r="D194" s="177">
        <f t="shared" si="11"/>
        <v>20510.8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159</v>
      </c>
      <c r="B195" s="179">
        <f>'Données projet'!D183</f>
        <v>180.6</v>
      </c>
      <c r="C195" s="191">
        <v>235</v>
      </c>
      <c r="D195" s="177">
        <f t="shared" si="11"/>
        <v>42441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2025-02-05T17:30:42Z</dcterms:modified>
</cp:coreProperties>
</file>