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a4a3636af90c1be/Documents/Prestations/Reboisement/Fransylva Services - LBC/SENE/"/>
    </mc:Choice>
  </mc:AlternateContent>
  <xr:revisionPtr revIDLastSave="83" documentId="8_{BE254E7C-D183-4E3B-8475-7F5CA1130A90}" xr6:coauthVersionLast="47" xr6:coauthVersionMax="47" xr10:uidLastSave="{2786AA6D-FD84-489D-9141-8DD81A9CBBC7}"/>
  <bookViews>
    <workbookView xWindow="28680" yWindow="-120" windowWidth="29040" windowHeight="157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A7" i="2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HI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H85" i="2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C113" i="2"/>
  <c r="HI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EY154" i="2"/>
  <c r="EX155" i="2"/>
  <c r="EA155" i="2"/>
  <c r="DI154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FS156" i="2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X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H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DG160" i="2"/>
  <c r="HH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X161" i="2"/>
  <c r="ED160" i="2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HG162" i="2"/>
  <c r="DI161" i="2"/>
  <c r="EB162" i="2"/>
  <c r="EW162" i="2"/>
  <c r="HH162" i="2"/>
  <c r="EC162" i="2"/>
  <c r="ED162" i="2" s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A164" i="2"/>
  <c r="DH164" i="2"/>
  <c r="DI163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EY166" i="2"/>
  <c r="HH167" i="2"/>
  <c r="FR167" i="2"/>
  <c r="EA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H168" i="2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HG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B175" i="2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EB178" i="2"/>
  <c r="EA178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HH179" i="2"/>
  <c r="EV179" i="2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HH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EW192" i="2"/>
  <c r="HG192" i="2"/>
  <c r="EA192" i="2"/>
  <c r="ED192" i="2" s="1"/>
  <c r="EV192" i="2"/>
  <c r="EY192" i="2" s="1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B193" i="2" l="1"/>
  <c r="EA193" i="2"/>
  <c r="EX193" i="2"/>
  <c r="FQ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HI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X195" i="2" l="1"/>
  <c r="HG195" i="2"/>
  <c r="AA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A197" i="2" l="1"/>
  <c r="EY196" i="2"/>
  <c r="AA197" i="2"/>
  <c r="HG197" i="2"/>
  <c r="EW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EV199" i="2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DI200" i="2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186" i="2" a="1"/>
  <c r="FY186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06" i="2" a="1"/>
  <c r="EI106" i="2" s="1"/>
  <c r="EI142" i="2" a="1"/>
  <c r="EI142" i="2" s="1"/>
  <c r="DN155" i="2" a="1"/>
  <c r="DN155" i="2" s="1"/>
  <c r="DN124" i="2" a="1"/>
  <c r="DN124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D167" i="2" a="1"/>
  <c r="FD16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71" i="2" a="1"/>
  <c r="EI71" i="2" s="1"/>
  <c r="EI165" i="2" a="1"/>
  <c r="EI165" i="2" s="1"/>
  <c r="EI34" i="2" a="1"/>
  <c r="EI34" i="2" s="1"/>
  <c r="EI67" i="2" a="1"/>
  <c r="EI67" i="2" s="1"/>
  <c r="EI139" i="2" a="1"/>
  <c r="EI139" i="2" s="1"/>
  <c r="EI35" i="2" a="1"/>
  <c r="EI35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AH163" i="2" l="1" a="1"/>
  <c r="AH163" i="2" s="1"/>
  <c r="EI170" i="2" a="1"/>
  <c r="EI170" i="2" s="1"/>
  <c r="EI57" i="2" a="1"/>
  <c r="EI57" i="2" s="1"/>
  <c r="FD188" i="2" a="1"/>
  <c r="FD188" i="2" s="1"/>
  <c r="AH62" i="2" a="1"/>
  <c r="AH62" i="2" s="1"/>
  <c r="AH151" i="2" a="1"/>
  <c r="AH151" i="2" s="1"/>
  <c r="EI166" i="2" a="1"/>
  <c r="EI166" i="2" s="1"/>
  <c r="FY50" i="2" a="1"/>
  <c r="FY50" i="2" s="1"/>
  <c r="FD82" i="2" a="1"/>
  <c r="FD82" i="2" s="1"/>
  <c r="FY35" i="2" a="1"/>
  <c r="FY35" i="2" s="1"/>
  <c r="EI16" i="2" a="1"/>
  <c r="EI16" i="2" s="1"/>
  <c r="FY142" i="2" a="1"/>
  <c r="FY142" i="2" s="1"/>
  <c r="FY104" i="2" a="1"/>
  <c r="FY104" i="2" s="1"/>
  <c r="EI113" i="2" a="1"/>
  <c r="EI113" i="2" s="1"/>
  <c r="EI87" i="2" a="1"/>
  <c r="EI87" i="2" s="1"/>
  <c r="FY30" i="2" a="1"/>
  <c r="FY30" i="2" s="1"/>
  <c r="AH166" i="2" a="1"/>
  <c r="AH166" i="2" s="1"/>
  <c r="CS52" i="2" a="1"/>
  <c r="CS52" i="2" s="1"/>
  <c r="FY190" i="2" a="1"/>
  <c r="FY190" i="2" s="1"/>
  <c r="FY69" i="2" a="1"/>
  <c r="FY69" i="2" s="1"/>
  <c r="FD48" i="2" a="1"/>
  <c r="FD48" i="2" s="1"/>
  <c r="EI36" i="2" a="1"/>
  <c r="EI36" i="2" s="1"/>
  <c r="EI128" i="2" a="1"/>
  <c r="EI128" i="2" s="1"/>
  <c r="EI109" i="2" a="1"/>
  <c r="EI109" i="2" s="1"/>
  <c r="FD160" i="2" a="1"/>
  <c r="FD160" i="2" s="1"/>
  <c r="FY196" i="2" a="1"/>
  <c r="FY196" i="2" s="1"/>
  <c r="AH19" i="2" a="1"/>
  <c r="AH19" i="2" s="1"/>
  <c r="EI195" i="2" a="1"/>
  <c r="EI195" i="2" s="1"/>
  <c r="AH92" i="2" a="1"/>
  <c r="AH92" i="2" s="1"/>
  <c r="FD189" i="2" a="1"/>
  <c r="FD189" i="2" s="1"/>
  <c r="EI37" i="2" a="1"/>
  <c r="EI37" i="2" s="1"/>
  <c r="EI20" i="2" a="1"/>
  <c r="EI20" i="2" s="1"/>
  <c r="EI38" i="2" a="1"/>
  <c r="EI38" i="2" s="1"/>
  <c r="FD159" i="2" a="1"/>
  <c r="FD159" i="2" s="1"/>
  <c r="AH90" i="2" a="1"/>
  <c r="AH90" i="2" s="1"/>
  <c r="CS116" i="2" a="1"/>
  <c r="CS116" i="2" s="1"/>
  <c r="CS66" i="2" a="1"/>
  <c r="CS66" i="2" s="1"/>
  <c r="FY78" i="2" a="1"/>
  <c r="FY78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ED203" i="2" s="1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Y203" i="2"/>
  <c r="CN203" i="2"/>
  <c r="FZ8" i="2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CY24" i="2" l="1"/>
  <c r="CY56" i="2"/>
  <c r="CY3" i="2"/>
  <c r="C10" i="4" s="1"/>
  <c r="E10" i="4" s="1"/>
  <c r="F10" i="4" s="1"/>
  <c r="G10" i="4" s="1"/>
  <c r="L10" i="4" s="1"/>
  <c r="CY122" i="2"/>
  <c r="CY182" i="2"/>
  <c r="CY164" i="2"/>
  <c r="CY193" i="2"/>
  <c r="CY150" i="2"/>
  <c r="CY171" i="2"/>
  <c r="CY105" i="2"/>
  <c r="CY18" i="2"/>
  <c r="CY203" i="2"/>
  <c r="CY14" i="2"/>
  <c r="CY8" i="2"/>
  <c r="CY53" i="2"/>
  <c r="CY34" i="2"/>
  <c r="CY187" i="2"/>
  <c r="CY165" i="2"/>
  <c r="CY201" i="2"/>
  <c r="CY76" i="2"/>
  <c r="CY172" i="2"/>
  <c r="CY197" i="2"/>
  <c r="CY69" i="2"/>
  <c r="CY183" i="2"/>
  <c r="CY148" i="2"/>
  <c r="CY85" i="2"/>
  <c r="CY25" i="2"/>
  <c r="CY186" i="2"/>
  <c r="CY22" i="2"/>
  <c r="CY153" i="2"/>
  <c r="CY110" i="2"/>
  <c r="CY167" i="2"/>
  <c r="CY89" i="2"/>
  <c r="CY133" i="2"/>
  <c r="CY198" i="2"/>
  <c r="CY73" i="2"/>
  <c r="CY98" i="2"/>
  <c r="CY136" i="2"/>
  <c r="CY58" i="2"/>
  <c r="CY70" i="2"/>
  <c r="CY191" i="2"/>
  <c r="CY83" i="2"/>
  <c r="CY4" i="2"/>
  <c r="CY91" i="2"/>
  <c r="CY39" i="2"/>
  <c r="CY46" i="2"/>
  <c r="CY21" i="2"/>
  <c r="CY71" i="2"/>
  <c r="CY26" i="2"/>
  <c r="CY28" i="2"/>
  <c r="CY159" i="2"/>
  <c r="CY181" i="2"/>
  <c r="CY33" i="2"/>
  <c r="CY128" i="2"/>
  <c r="CY75" i="2"/>
  <c r="CY50" i="2"/>
  <c r="CY67" i="2"/>
  <c r="CY86" i="2"/>
  <c r="CY16" i="2"/>
  <c r="CY192" i="2"/>
  <c r="CY129" i="2"/>
  <c r="CY151" i="2"/>
  <c r="CY107" i="2"/>
  <c r="CY82" i="2"/>
  <c r="CY62" i="2"/>
  <c r="CY94" i="2"/>
  <c r="CY59" i="2"/>
  <c r="CY146" i="2"/>
  <c r="CY81" i="2"/>
  <c r="CY156" i="2"/>
  <c r="CY145" i="2"/>
  <c r="CY106" i="2"/>
  <c r="CY7" i="2"/>
  <c r="CY90" i="2"/>
  <c r="CY65" i="2"/>
  <c r="CY52" i="2"/>
  <c r="CY60" i="2"/>
  <c r="CY55" i="2"/>
  <c r="CY64" i="2"/>
  <c r="CY178" i="2"/>
  <c r="CY200" i="2"/>
  <c r="CY130" i="2"/>
  <c r="CY188" i="2"/>
  <c r="CY139" i="2"/>
  <c r="CY104" i="2"/>
  <c r="CY74" i="2"/>
  <c r="CY118" i="2"/>
  <c r="CY41" i="2"/>
  <c r="CY155" i="2"/>
  <c r="CY29" i="2"/>
  <c r="CY68" i="2"/>
  <c r="CY102" i="2"/>
  <c r="CY57" i="2"/>
  <c r="CY195" i="2"/>
  <c r="CY185" i="2"/>
  <c r="CY79" i="2"/>
  <c r="CY162" i="2"/>
  <c r="CY35" i="2"/>
  <c r="CY131" i="2"/>
  <c r="CY40" i="2"/>
  <c r="CY101" i="2"/>
  <c r="CY17" i="2"/>
  <c r="CY92" i="2"/>
  <c r="CY20" i="2"/>
  <c r="CY47" i="2"/>
  <c r="CY189" i="2"/>
  <c r="CY119" i="2"/>
  <c r="CY142" i="2"/>
  <c r="CY140" i="2"/>
  <c r="CY48" i="2"/>
  <c r="CY121" i="2"/>
  <c r="CY38" i="2"/>
  <c r="CY54" i="2"/>
  <c r="CY157" i="2"/>
  <c r="CY176" i="2"/>
  <c r="CY84" i="2"/>
  <c r="CY30" i="2"/>
  <c r="CY175" i="2"/>
  <c r="CY27" i="2"/>
  <c r="CY13" i="2"/>
  <c r="CY135" i="2"/>
  <c r="CY45" i="2"/>
  <c r="CY11" i="2"/>
  <c r="CY180" i="2"/>
  <c r="CY152" i="2"/>
  <c r="CY5" i="2"/>
  <c r="CY111" i="2"/>
  <c r="CY88" i="2"/>
  <c r="CY44" i="2"/>
  <c r="CY103" i="2"/>
  <c r="CY177" i="2"/>
  <c r="CY169" i="2"/>
  <c r="CY116" i="2"/>
  <c r="CY31" i="2"/>
  <c r="CY49" i="2"/>
  <c r="CY109" i="2"/>
  <c r="CY154" i="2"/>
  <c r="CY141" i="2"/>
  <c r="CY179" i="2"/>
  <c r="CY15" i="2"/>
  <c r="CY166" i="2"/>
  <c r="CY77" i="2"/>
  <c r="CY137" i="2"/>
  <c r="CY87" i="2"/>
  <c r="CY190" i="2"/>
  <c r="CY184" i="2"/>
  <c r="CY72" i="2"/>
  <c r="CY202" i="2"/>
  <c r="CY63" i="2"/>
  <c r="CY124" i="2"/>
  <c r="CY80" i="2"/>
  <c r="CY113" i="2"/>
  <c r="CY23" i="2"/>
  <c r="CY97" i="2"/>
  <c r="CY123" i="2"/>
  <c r="CY143" i="2"/>
  <c r="CY120" i="2"/>
  <c r="CY66" i="2"/>
  <c r="CY37" i="2"/>
  <c r="CY117" i="2"/>
  <c r="CY170" i="2"/>
  <c r="CY19" i="2"/>
  <c r="CY126" i="2"/>
  <c r="CY132" i="2"/>
  <c r="CY9" i="2"/>
  <c r="CY10" i="2"/>
  <c r="CY149" i="2"/>
  <c r="CY168" i="2"/>
  <c r="CY95" i="2"/>
  <c r="CY173" i="2"/>
  <c r="CY43" i="2"/>
  <c r="CY158" i="2"/>
  <c r="CY163" i="2"/>
  <c r="CY199" i="2"/>
  <c r="CY115" i="2"/>
  <c r="CY194" i="2"/>
  <c r="CY161" i="2"/>
  <c r="CY12" i="2"/>
  <c r="CY160" i="2"/>
  <c r="CY134" i="2"/>
  <c r="CY147" i="2"/>
  <c r="CY61" i="2"/>
  <c r="CY174" i="2"/>
  <c r="CY125" i="2"/>
  <c r="CY99" i="2"/>
  <c r="CY138" i="2"/>
  <c r="CY112" i="2"/>
  <c r="CY100" i="2"/>
  <c r="CY51" i="2"/>
  <c r="CY6" i="2"/>
  <c r="CY93" i="2"/>
  <c r="CY32" i="2"/>
  <c r="CY144" i="2"/>
  <c r="CY127" i="2"/>
  <c r="CY36" i="2"/>
  <c r="CY108" i="2"/>
  <c r="CY196" i="2"/>
  <c r="CY78" i="2"/>
  <c r="CY114" i="2"/>
  <c r="CY42" i="2"/>
  <c r="CY96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AN78" i="2" l="1"/>
  <c r="AN104" i="2"/>
  <c r="AN146" i="2"/>
  <c r="FE169" i="2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AN200" i="2" s="1"/>
  <c r="BS80" i="2"/>
  <c r="BE82" i="2"/>
  <c r="BF81" i="2"/>
  <c r="BG81" i="2" s="1"/>
  <c r="BH81" i="2" s="1"/>
  <c r="AN106" i="2" l="1"/>
  <c r="AN6" i="2"/>
  <c r="AN177" i="2"/>
  <c r="AN137" i="2"/>
  <c r="AN14" i="2"/>
  <c r="AN202" i="2"/>
  <c r="AN8" i="2"/>
  <c r="AN21" i="2"/>
  <c r="AN22" i="2"/>
  <c r="AN162" i="2"/>
  <c r="AN17" i="2"/>
  <c r="AN176" i="2"/>
  <c r="AN88" i="2"/>
  <c r="AN140" i="2"/>
  <c r="AN179" i="2"/>
  <c r="AN37" i="2"/>
  <c r="AN42" i="2"/>
  <c r="AN94" i="2"/>
  <c r="AN90" i="2"/>
  <c r="AN84" i="2"/>
  <c r="AN25" i="2"/>
  <c r="AN197" i="2"/>
  <c r="AN47" i="2"/>
  <c r="AN44" i="2"/>
  <c r="AN82" i="2"/>
  <c r="AN203" i="2"/>
  <c r="AN60" i="2"/>
  <c r="AN180" i="2"/>
  <c r="AN58" i="2"/>
  <c r="AN196" i="2"/>
  <c r="AN136" i="2"/>
  <c r="AN161" i="2"/>
  <c r="AN98" i="2"/>
  <c r="AN201" i="2"/>
  <c r="AN126" i="2"/>
  <c r="AN156" i="2"/>
  <c r="AN139" i="2"/>
  <c r="AN173" i="2"/>
  <c r="AN198" i="2"/>
  <c r="AN34" i="2"/>
  <c r="AN49" i="2"/>
  <c r="AN26" i="2"/>
  <c r="AN167" i="2"/>
  <c r="AN109" i="2"/>
  <c r="AN3" i="2"/>
  <c r="C7" i="4" s="1"/>
  <c r="E7" i="4" s="1"/>
  <c r="F7" i="4" s="1"/>
  <c r="G7" i="4" s="1"/>
  <c r="L7" i="4" s="1"/>
  <c r="AN18" i="2"/>
  <c r="AN183" i="2"/>
  <c r="AN128" i="2"/>
  <c r="AN40" i="2"/>
  <c r="AN64" i="2"/>
  <c r="AN53" i="2"/>
  <c r="AN74" i="2"/>
  <c r="AN96" i="2"/>
  <c r="AN168" i="2"/>
  <c r="AN76" i="2"/>
  <c r="AN193" i="2"/>
  <c r="AN15" i="2"/>
  <c r="AN166" i="2"/>
  <c r="AN67" i="2"/>
  <c r="AN69" i="2"/>
  <c r="AN186" i="2"/>
  <c r="AN12" i="2"/>
  <c r="AN43" i="2"/>
  <c r="AN199" i="2"/>
  <c r="AN169" i="2"/>
  <c r="AN65" i="2"/>
  <c r="AN123" i="2"/>
  <c r="AN121" i="2"/>
  <c r="AN10" i="2"/>
  <c r="AN99" i="2"/>
  <c r="AN192" i="2"/>
  <c r="AN116" i="2"/>
  <c r="AN178" i="2"/>
  <c r="AN103" i="2"/>
  <c r="AN5" i="2"/>
  <c r="AN45" i="2"/>
  <c r="AN164" i="2"/>
  <c r="AN134" i="2"/>
  <c r="AN19" i="2"/>
  <c r="AN62" i="2"/>
  <c r="AN70" i="2"/>
  <c r="AN24" i="2"/>
  <c r="AN151" i="2"/>
  <c r="AN66" i="2"/>
  <c r="AN73" i="2"/>
  <c r="AN117" i="2"/>
  <c r="AN79" i="2"/>
  <c r="AN86" i="2"/>
  <c r="AN160" i="2"/>
  <c r="AN31" i="2"/>
  <c r="AN185" i="2"/>
  <c r="AN172" i="2"/>
  <c r="AN68" i="2"/>
  <c r="AN91" i="2"/>
  <c r="AN57" i="2"/>
  <c r="AN39" i="2"/>
  <c r="AN141" i="2"/>
  <c r="AN130" i="2"/>
  <c r="AN85" i="2"/>
  <c r="AN194" i="2"/>
  <c r="AN129" i="2"/>
  <c r="AN72" i="2"/>
  <c r="AN46" i="2"/>
  <c r="AN61" i="2"/>
  <c r="AN142" i="2"/>
  <c r="AN83" i="2"/>
  <c r="AN35" i="2"/>
  <c r="AN170" i="2"/>
  <c r="AN120" i="2"/>
  <c r="AN112" i="2"/>
  <c r="AN41" i="2"/>
  <c r="AN190" i="2"/>
  <c r="AN191" i="2"/>
  <c r="AN184" i="2"/>
  <c r="AN38" i="2"/>
  <c r="AN89" i="2"/>
  <c r="AN150" i="2"/>
  <c r="AN4" i="2"/>
  <c r="AN33" i="2"/>
  <c r="AN75" i="2"/>
  <c r="AN187" i="2"/>
  <c r="AN189" i="2"/>
  <c r="AN175" i="2"/>
  <c r="AN27" i="2"/>
  <c r="AN163" i="2"/>
  <c r="AN101" i="2"/>
  <c r="AN188" i="2"/>
  <c r="AN20" i="2"/>
  <c r="AN23" i="2"/>
  <c r="AN154" i="2"/>
  <c r="AN54" i="2"/>
  <c r="AN159" i="2"/>
  <c r="AN153" i="2"/>
  <c r="AN59" i="2"/>
  <c r="AN119" i="2"/>
  <c r="AN63" i="2"/>
  <c r="AN55" i="2"/>
  <c r="AN122" i="2"/>
  <c r="AN56" i="2"/>
  <c r="AN107" i="2"/>
  <c r="AN108" i="2"/>
  <c r="AN132" i="2"/>
  <c r="AN50" i="2"/>
  <c r="AN157" i="2"/>
  <c r="AN115" i="2"/>
  <c r="AN148" i="2"/>
  <c r="AN80" i="2"/>
  <c r="AN113" i="2"/>
  <c r="AN52" i="2"/>
  <c r="AN110" i="2"/>
  <c r="AN174" i="2"/>
  <c r="AN81" i="2"/>
  <c r="AN100" i="2"/>
  <c r="AN11" i="2"/>
  <c r="AN158" i="2"/>
  <c r="AN9" i="2"/>
  <c r="AN77" i="2"/>
  <c r="AN102" i="2"/>
  <c r="AN135" i="2"/>
  <c r="AN16" i="2"/>
  <c r="AN133" i="2"/>
  <c r="AN149" i="2"/>
  <c r="AN32" i="2"/>
  <c r="AN147" i="2"/>
  <c r="AN7" i="2"/>
  <c r="AN124" i="2"/>
  <c r="AN144" i="2"/>
  <c r="AN195" i="2"/>
  <c r="AN138" i="2"/>
  <c r="AN127" i="2"/>
  <c r="AN111" i="2"/>
  <c r="AN105" i="2"/>
  <c r="AN114" i="2"/>
  <c r="AN145" i="2"/>
  <c r="AN97" i="2"/>
  <c r="AN93" i="2"/>
  <c r="AN29" i="2"/>
  <c r="AN87" i="2"/>
  <c r="AN143" i="2"/>
  <c r="AN92" i="2"/>
  <c r="AN182" i="2"/>
  <c r="AN13" i="2"/>
  <c r="AN152" i="2"/>
  <c r="AN71" i="2"/>
  <c r="AN95" i="2"/>
  <c r="AN181" i="2"/>
  <c r="AN28" i="2"/>
  <c r="AN118" i="2"/>
  <c r="AN51" i="2"/>
  <c r="AN131" i="2"/>
  <c r="AN125" i="2"/>
  <c r="AN48" i="2"/>
  <c r="AN36" i="2"/>
  <c r="AN30" i="2"/>
  <c r="AN165" i="2"/>
  <c r="AN171" i="2"/>
  <c r="AN155" i="2"/>
  <c r="FE170" i="2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CD113" i="2" l="1"/>
  <c r="CD67" i="2"/>
  <c r="CD60" i="2"/>
  <c r="CD105" i="2"/>
  <c r="CD163" i="2"/>
  <c r="CD192" i="2"/>
  <c r="CD165" i="2"/>
  <c r="CD62" i="2"/>
  <c r="CD137" i="2"/>
  <c r="CD196" i="2"/>
  <c r="CD145" i="2"/>
  <c r="CD20" i="2"/>
  <c r="CD109" i="2"/>
  <c r="CD87" i="2"/>
  <c r="CD80" i="2"/>
  <c r="CD147" i="2"/>
  <c r="CD195" i="2"/>
  <c r="CD188" i="2"/>
  <c r="CD3" i="2"/>
  <c r="C9" i="4" s="1"/>
  <c r="E9" i="4" s="1"/>
  <c r="F9" i="4" s="1"/>
  <c r="G9" i="4" s="1"/>
  <c r="L9" i="4" s="1"/>
  <c r="CD166" i="2"/>
  <c r="CD155" i="2"/>
  <c r="CD69" i="2"/>
  <c r="CD169" i="2"/>
  <c r="CD191" i="2"/>
  <c r="CD190" i="2"/>
  <c r="CD185" i="2"/>
  <c r="CD58" i="2"/>
  <c r="CD53" i="2"/>
  <c r="CD124" i="2"/>
  <c r="CD88" i="2"/>
  <c r="CD23" i="2"/>
  <c r="CD71" i="2"/>
  <c r="CD89" i="2"/>
  <c r="CD47" i="2"/>
  <c r="CD112" i="2"/>
  <c r="CD59" i="2"/>
  <c r="CD42" i="2"/>
  <c r="CD130" i="2"/>
  <c r="CD26" i="2"/>
  <c r="CD161" i="2"/>
  <c r="CD85" i="2"/>
  <c r="CD37" i="2"/>
  <c r="CD120" i="2"/>
  <c r="CD33" i="2"/>
  <c r="CD110" i="2"/>
  <c r="CD123" i="2"/>
  <c r="CD162" i="2"/>
  <c r="CD50" i="2"/>
  <c r="CD135" i="2"/>
  <c r="CD151" i="2"/>
  <c r="CD128" i="2"/>
  <c r="CD39" i="2"/>
  <c r="CD73" i="2"/>
  <c r="CD96" i="2"/>
  <c r="CD95" i="2"/>
  <c r="CD66" i="2"/>
  <c r="CD83" i="2"/>
  <c r="CD117" i="2"/>
  <c r="CD17" i="2"/>
  <c r="CD51" i="2"/>
  <c r="CD138" i="2"/>
  <c r="CD160" i="2"/>
  <c r="CD184" i="2"/>
  <c r="CD9" i="2"/>
  <c r="CD35" i="2"/>
  <c r="CD15" i="2"/>
  <c r="CD136" i="2"/>
  <c r="CD183" i="2"/>
  <c r="CD146" i="2"/>
  <c r="CD125" i="2"/>
  <c r="CD159" i="2"/>
  <c r="CD140" i="2"/>
  <c r="CD180" i="2"/>
  <c r="CD189" i="2"/>
  <c r="CD104" i="2"/>
  <c r="CD52" i="2"/>
  <c r="CD152" i="2"/>
  <c r="CD65" i="2"/>
  <c r="CD18" i="2"/>
  <c r="CD168" i="2"/>
  <c r="CD118" i="2"/>
  <c r="CD12" i="2"/>
  <c r="CD63" i="2"/>
  <c r="CD193" i="2"/>
  <c r="CD40" i="2"/>
  <c r="CD79" i="2"/>
  <c r="CD164" i="2"/>
  <c r="CD86" i="2"/>
  <c r="CD129" i="2"/>
  <c r="CD181" i="2"/>
  <c r="CD154" i="2"/>
  <c r="CD34" i="2"/>
  <c r="CD61" i="2"/>
  <c r="CD41" i="2"/>
  <c r="CD98" i="2"/>
  <c r="CD54" i="2"/>
  <c r="CD21" i="2"/>
  <c r="CD103" i="2"/>
  <c r="CD72" i="2"/>
  <c r="CD56" i="2"/>
  <c r="CD187" i="2"/>
  <c r="CD175" i="2"/>
  <c r="CD126" i="2"/>
  <c r="CD84" i="2"/>
  <c r="CD45" i="2"/>
  <c r="CD203" i="2"/>
  <c r="CD68" i="2"/>
  <c r="CD48" i="2"/>
  <c r="CD28" i="2"/>
  <c r="CD142" i="2"/>
  <c r="CD122" i="2"/>
  <c r="CD99" i="2"/>
  <c r="CD144" i="2"/>
  <c r="CD101" i="2"/>
  <c r="CD38" i="2"/>
  <c r="CD81" i="2"/>
  <c r="CD114" i="2"/>
  <c r="CD177" i="2"/>
  <c r="CD93" i="2"/>
  <c r="CD149" i="2"/>
  <c r="CD133" i="2"/>
  <c r="CD167" i="2"/>
  <c r="CD141" i="2"/>
  <c r="CD102" i="2"/>
  <c r="CD194" i="2"/>
  <c r="CD202" i="2"/>
  <c r="CD171" i="2"/>
  <c r="CD57" i="2"/>
  <c r="CD31" i="2"/>
  <c r="CD148" i="2"/>
  <c r="CD19" i="2"/>
  <c r="CD198" i="2"/>
  <c r="CD182" i="2"/>
  <c r="CD7" i="2"/>
  <c r="CD176" i="2"/>
  <c r="CD174" i="2"/>
  <c r="CD108" i="2"/>
  <c r="CD77" i="2"/>
  <c r="CD44" i="2"/>
  <c r="CD29" i="2"/>
  <c r="CD197" i="2"/>
  <c r="CD46" i="2"/>
  <c r="CD100" i="2"/>
  <c r="CD16" i="2"/>
  <c r="CD82" i="2"/>
  <c r="CD201" i="2"/>
  <c r="CD8" i="2"/>
  <c r="CD186" i="2"/>
  <c r="CD90" i="2"/>
  <c r="CD115" i="2"/>
  <c r="CD158" i="2"/>
  <c r="CD156" i="2"/>
  <c r="CD119" i="2"/>
  <c r="CD25" i="2"/>
  <c r="CD178" i="2"/>
  <c r="CD153" i="2"/>
  <c r="CD76" i="2"/>
  <c r="CD121" i="2"/>
  <c r="CD24" i="2"/>
  <c r="CD157" i="2"/>
  <c r="CD14" i="2"/>
  <c r="CD70" i="2"/>
  <c r="CD4" i="2"/>
  <c r="CD78" i="2"/>
  <c r="CD64" i="2"/>
  <c r="CD143" i="2"/>
  <c r="CD49" i="2"/>
  <c r="CD116" i="2"/>
  <c r="CD36" i="2"/>
  <c r="CD200" i="2"/>
  <c r="CD74" i="2"/>
  <c r="CD150" i="2"/>
  <c r="CD13" i="2"/>
  <c r="CD199" i="2"/>
  <c r="CD127" i="2"/>
  <c r="CD94" i="2"/>
  <c r="CD55" i="2"/>
  <c r="CD97" i="2"/>
  <c r="CD27" i="2"/>
  <c r="CD5" i="2"/>
  <c r="CD75" i="2"/>
  <c r="CD134" i="2"/>
  <c r="CD172" i="2"/>
  <c r="CD179" i="2"/>
  <c r="CD32" i="2"/>
  <c r="CD139" i="2"/>
  <c r="CD6" i="2"/>
  <c r="CD11" i="2"/>
  <c r="CD106" i="2"/>
  <c r="CD10" i="2"/>
  <c r="CD22" i="2"/>
  <c r="CD107" i="2"/>
  <c r="CD43" i="2"/>
  <c r="CD131" i="2"/>
  <c r="CD132" i="2"/>
  <c r="CD170" i="2"/>
  <c r="CD173" i="2"/>
  <c r="CD91" i="2"/>
  <c r="CD30" i="2"/>
  <c r="CD92" i="2"/>
  <c r="CD111" i="2"/>
  <c r="FE195" i="2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EO122" i="2" l="1"/>
  <c r="EO27" i="2"/>
  <c r="EO44" i="2"/>
  <c r="EO56" i="2"/>
  <c r="EO16" i="2"/>
  <c r="EO100" i="2"/>
  <c r="EO51" i="2"/>
  <c r="EO165" i="2"/>
  <c r="EO41" i="2"/>
  <c r="EO141" i="2"/>
  <c r="EO198" i="2"/>
  <c r="EO170" i="2"/>
  <c r="EO98" i="2"/>
  <c r="EO146" i="2"/>
  <c r="EO174" i="2"/>
  <c r="EO35" i="2"/>
  <c r="EO63" i="2"/>
  <c r="EO52" i="2"/>
  <c r="EO176" i="2"/>
  <c r="EO138" i="2"/>
  <c r="EO164" i="2"/>
  <c r="EO28" i="2"/>
  <c r="EO169" i="2"/>
  <c r="EO39" i="2"/>
  <c r="EO8" i="2"/>
  <c r="EO134" i="2"/>
  <c r="EO97" i="2"/>
  <c r="EO13" i="2"/>
  <c r="EO167" i="2"/>
  <c r="EO126" i="2"/>
  <c r="EO203" i="2"/>
  <c r="EO42" i="2"/>
  <c r="EO57" i="2"/>
  <c r="EO38" i="2"/>
  <c r="EO5" i="2"/>
  <c r="EO77" i="2"/>
  <c r="EO7" i="2"/>
  <c r="EO92" i="2"/>
  <c r="EO79" i="2"/>
  <c r="EO76" i="2"/>
  <c r="EO21" i="2"/>
  <c r="EO48" i="2"/>
  <c r="EO194" i="2"/>
  <c r="EO65" i="2"/>
  <c r="EO112" i="2"/>
  <c r="EO83" i="2"/>
  <c r="EO192" i="2"/>
  <c r="EO135" i="2"/>
  <c r="EO64" i="2"/>
  <c r="EO6" i="2"/>
  <c r="EO15" i="2"/>
  <c r="EO144" i="2"/>
  <c r="EO140" i="2"/>
  <c r="EO9" i="2"/>
  <c r="EO45" i="2"/>
  <c r="EO61" i="2"/>
  <c r="EO102" i="2"/>
  <c r="EO124" i="2"/>
  <c r="EO78" i="2"/>
  <c r="EO29" i="2"/>
  <c r="EO101" i="2"/>
  <c r="EO188" i="2"/>
  <c r="EO32" i="2"/>
  <c r="EO119" i="2"/>
  <c r="EO127" i="2"/>
  <c r="EO86" i="2"/>
  <c r="EO142" i="2"/>
  <c r="EO147" i="2"/>
  <c r="EO20" i="2"/>
  <c r="EO71" i="2"/>
  <c r="EO160" i="2"/>
  <c r="EO49" i="2"/>
  <c r="EO24" i="2"/>
  <c r="EO55" i="2"/>
  <c r="EO104" i="2"/>
  <c r="EO72" i="2"/>
  <c r="EO155" i="2"/>
  <c r="EO175" i="2"/>
  <c r="EO50" i="2"/>
  <c r="EO105" i="2"/>
  <c r="EO148" i="2"/>
  <c r="EO133" i="2"/>
  <c r="EO184" i="2"/>
  <c r="EO99" i="2"/>
  <c r="EO195" i="2"/>
  <c r="EO159" i="2"/>
  <c r="EO157" i="2"/>
  <c r="EO43" i="2"/>
  <c r="EO114" i="2"/>
  <c r="EO190" i="2"/>
  <c r="EO189" i="2"/>
  <c r="EO26" i="2"/>
  <c r="EO152" i="2"/>
  <c r="EO96" i="2"/>
  <c r="EO66" i="2"/>
  <c r="EO128" i="2"/>
  <c r="EO30" i="2"/>
  <c r="EO191" i="2"/>
  <c r="EO182" i="2"/>
  <c r="EO89" i="2"/>
  <c r="EO11" i="2"/>
  <c r="EO18" i="2"/>
  <c r="EO82" i="2"/>
  <c r="EO197" i="2"/>
  <c r="EO109" i="2"/>
  <c r="EO158" i="2"/>
  <c r="EO74" i="2"/>
  <c r="EO19" i="2"/>
  <c r="EO118" i="2"/>
  <c r="EO81" i="2"/>
  <c r="EO40" i="2"/>
  <c r="EO58" i="2"/>
  <c r="EO200" i="2"/>
  <c r="EO201" i="2"/>
  <c r="EO116" i="2"/>
  <c r="EO177" i="2"/>
  <c r="EO85" i="2"/>
  <c r="EO181" i="2"/>
  <c r="EO171" i="2"/>
  <c r="EO149" i="2"/>
  <c r="EO70" i="2"/>
  <c r="EO120" i="2"/>
  <c r="EO117" i="2"/>
  <c r="EO156" i="2"/>
  <c r="EO23" i="2"/>
  <c r="EO166" i="2"/>
  <c r="EO137" i="2"/>
  <c r="EO151" i="2"/>
  <c r="EO54" i="2"/>
  <c r="EO62" i="2"/>
  <c r="EO36" i="2"/>
  <c r="EO196" i="2"/>
  <c r="EO4" i="2"/>
  <c r="EO131" i="2"/>
  <c r="EO90" i="2"/>
  <c r="EO84" i="2"/>
  <c r="EO186" i="2"/>
  <c r="EO73" i="2"/>
  <c r="EO153" i="2"/>
  <c r="EO17" i="2"/>
  <c r="EO121" i="2"/>
  <c r="EO111" i="2"/>
  <c r="EO46" i="2"/>
  <c r="EO108" i="2"/>
  <c r="EO53" i="2"/>
  <c r="EO202" i="2"/>
  <c r="EO80" i="2"/>
  <c r="EO67" i="2"/>
  <c r="EO145" i="2"/>
  <c r="EO172" i="2"/>
  <c r="EO187" i="2"/>
  <c r="EO37" i="2"/>
  <c r="EO168" i="2"/>
  <c r="EO125" i="2"/>
  <c r="EO139" i="2"/>
  <c r="EO33" i="2"/>
  <c r="EO143" i="2"/>
  <c r="EO110" i="2"/>
  <c r="EO136" i="2"/>
  <c r="EO22" i="2"/>
  <c r="EO123" i="2"/>
  <c r="EO193" i="2"/>
  <c r="EO91" i="2"/>
  <c r="EO130" i="2"/>
  <c r="EO163" i="2"/>
  <c r="EO150" i="2"/>
  <c r="EO107" i="2"/>
  <c r="EO162" i="2"/>
  <c r="EO31" i="2"/>
  <c r="EO95" i="2"/>
  <c r="EO178" i="2"/>
  <c r="EO34" i="2"/>
  <c r="EO173" i="2"/>
  <c r="EO132" i="2"/>
  <c r="EO113" i="2"/>
  <c r="EO103" i="2"/>
  <c r="EO154" i="2"/>
  <c r="EO87" i="2"/>
  <c r="EO60" i="2"/>
  <c r="EO183" i="2"/>
  <c r="EO180" i="2"/>
  <c r="EO47" i="2"/>
  <c r="EO75" i="2"/>
  <c r="EO14" i="2"/>
  <c r="EO94" i="2"/>
  <c r="EO12" i="2"/>
  <c r="EO25" i="2"/>
  <c r="EO185" i="2"/>
  <c r="EO129" i="2"/>
  <c r="EO93" i="2"/>
  <c r="EO88" i="2"/>
  <c r="EO59" i="2"/>
  <c r="EO115" i="2"/>
  <c r="EO3" i="2"/>
  <c r="C12" i="4" s="1"/>
  <c r="E12" i="4" s="1"/>
  <c r="F12" i="4" s="1"/>
  <c r="G12" i="4" s="1"/>
  <c r="L12" i="4" s="1"/>
  <c r="EO10" i="2"/>
  <c r="EO161" i="2"/>
  <c r="EO69" i="2"/>
  <c r="EO106" i="2"/>
  <c r="EO68" i="2"/>
  <c r="EO199" i="2"/>
  <c r="EO179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<sst xmlns="http://schemas.openxmlformats.org/spreadsheetml/2006/main" count="1176" uniqueCount="324">
  <si>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</si>
  <si>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</si>
  <si>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</si>
  <si>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</si>
  <si>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</si>
  <si>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</si>
  <si>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</si>
  <si>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</si>
  <si>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</si>
  <si>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</si>
  <si>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</si>
  <si>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</si>
  <si>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</si>
  <si>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</si>
  <si>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</si>
  <si>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</si>
  <si>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pubescent</t>
  </si>
  <si>
    <t>NB : La durée de révolution doit être identique à la dernière année indiquée dans la table de production renseignée en dessous</t>
  </si>
  <si>
    <t>Essence 2</t>
  </si>
  <si>
    <t>Chêne sessile</t>
  </si>
  <si>
    <t>Essence 3</t>
  </si>
  <si>
    <t>Erable sycomore</t>
  </si>
  <si>
    <t>Essence 4</t>
  </si>
  <si>
    <t>Charme</t>
  </si>
  <si>
    <t>Essence 5</t>
  </si>
  <si>
    <t>Hêtre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</si>
  <si>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</si>
  <si>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</si>
  <si>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</si>
  <si>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</si>
  <si>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</si>
  <si>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</si>
  <si>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</si>
  <si>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</si>
  <si>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</si>
  <si>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</si>
  <si>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</si>
  <si>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</si>
  <si>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</si>
  <si>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</si>
  <si>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</si>
  <si>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</si>
  <si>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</si>
  <si>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</si>
  <si>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</si>
  <si>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</si>
  <si>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</si>
  <si>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</si>
  <si>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</si>
  <si>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</si>
  <si>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</si>
  <si>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</si>
  <si>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</si>
  <si>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</si>
  <si>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</si>
  <si>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</si>
  <si>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</si>
  <si>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</si>
  <si>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</si>
  <si>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</si>
  <si>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</si>
  <si>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</si>
  <si>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</si>
  <si>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</si>
  <si>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</si>
  <si>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</si>
  <si>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</si>
  <si>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</si>
  <si>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</si>
  <si>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</si>
  <si>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</si>
  <si>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</si>
  <si>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</si>
  <si>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</si>
  <si>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</si>
  <si>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</si>
  <si>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</si>
  <si>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</si>
  <si>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</si>
  <si>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</si>
  <si>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</si>
  <si>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</si>
  <si>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</si>
  <si>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</si>
  <si>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</si>
  <si>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</si>
  <si>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</si>
  <si>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</si>
  <si>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</si>
  <si>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</si>
  <si>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</si>
  <si>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</si>
  <si>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</si>
  <si>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</si>
  <si>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</si>
  <si>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</si>
  <si>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</si>
  <si>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</si>
  <si>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</si>
  <si>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</si>
  <si>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</si>
  <si>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</si>
  <si>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</si>
  <si>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</si>
  <si>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</si>
  <si>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</si>
  <si>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</si>
  <si>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</si>
  <si>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</si>
  <si>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</si>
  <si>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</si>
  <si>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</si>
  <si>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</si>
  <si>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</si>
  <si>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</si>
  <si>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</si>
  <si>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</si>
  <si>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</si>
  <si>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</si>
  <si>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</si>
  <si>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</si>
  <si>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</si>
  <si>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</si>
  <si>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</si>
  <si>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</si>
  <si>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</si>
  <si>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</si>
  <si>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</si>
  <si>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</si>
  <si>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</si>
  <si>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</si>
  <si>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</si>
  <si>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</si>
  <si>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</si>
  <si>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</si>
  <si>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</si>
  <si>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</si>
  <si>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</si>
  <si>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</si>
  <si>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</si>
  <si>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</si>
  <si>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</si>
  <si>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</si>
  <si>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</si>
  <si>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</si>
  <si>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</si>
  <si>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</si>
  <si>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</si>
  <si>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</si>
  <si>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</si>
  <si>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</si>
  <si>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</si>
  <si>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</si>
  <si>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</si>
  <si>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</si>
  <si>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</si>
  <si>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</si>
  <si>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</si>
  <si>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</si>
  <si>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</si>
  <si>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</si>
  <si>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</si>
  <si>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</si>
  <si>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</si>
  <si>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</si>
  <si>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</si>
  <si>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</si>
  <si>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</si>
  <si>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</si>
  <si>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</si>
  <si>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Acer pseudoplatanus</t>
  </si>
  <si>
    <t>Eucalyptus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</si>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</sst>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8.3056921630164542</c:v>
                </c:pt>
                <c:pt idx="2">
                  <c:v>16.243789003972445</c:v>
                </c:pt>
                <c:pt idx="3">
                  <c:v>24.063171008033788</c:v>
                </c:pt>
                <c:pt idx="4">
                  <c:v>31.8093744244437</c:v>
                </c:pt>
                <c:pt idx="5">
                  <c:v>39.503037774136196</c:v>
                </c:pt>
                <c:pt idx="6">
                  <c:v>47.15593413113433</c:v>
                </c:pt>
                <c:pt idx="7">
                  <c:v>54.775653141048224</c:v>
                </c:pt>
                <c:pt idx="8">
                  <c:v>62.367481291684378</c:v>
                </c:pt>
                <c:pt idx="9">
                  <c:v>69.935304218830069</c:v>
                </c:pt>
                <c:pt idx="10">
                  <c:v>77.482093427802084</c:v>
                </c:pt>
                <c:pt idx="11">
                  <c:v>85.01019173223969</c:v>
                </c:pt>
                <c:pt idx="12">
                  <c:v>92.52149154765074</c:v>
                </c:pt>
                <c:pt idx="13">
                  <c:v>100.01755190137233</c:v>
                </c:pt>
                <c:pt idx="14">
                  <c:v>107.49967834533821</c:v>
                </c:pt>
                <c:pt idx="15">
                  <c:v>114.96897935567303</c:v>
                </c:pt>
                <c:pt idx="16">
                  <c:v>122.42640725013666</c:v>
                </c:pt>
                <c:pt idx="17">
                  <c:v>129.87278857862222</c:v>
                </c:pt>
                <c:pt idx="18">
                  <c:v>137.30884715663467</c:v>
                </c:pt>
                <c:pt idx="19">
                  <c:v>144.73522183347453</c:v>
                </c:pt>
                <c:pt idx="20">
                  <c:v>152.15248041303775</c:v>
                </c:pt>
                <c:pt idx="21">
                  <c:v>159.56113071133535</c:v>
                </c:pt>
                <c:pt idx="22">
                  <c:v>166.96162944814259</c:v>
                </c:pt>
                <c:pt idx="23">
                  <c:v>174.35438947628532</c:v>
                </c:pt>
                <c:pt idx="24">
                  <c:v>181.7397857181835</c:v>
                </c:pt>
                <c:pt idx="25">
                  <c:v>189.1181600850897</c:v>
                </c:pt>
                <c:pt idx="26">
                  <c:v>196.48982558709483</c:v>
                </c:pt>
                <c:pt idx="27">
                  <c:v>203.85506979304003</c:v>
                </c:pt>
                <c:pt idx="28">
                  <c:v>211.21415776343937</c:v>
                </c:pt>
                <c:pt idx="29">
                  <c:v>218.56733455263964</c:v>
                </c:pt>
                <c:pt idx="30">
                  <c:v>225.91482735615861</c:v>
                </c:pt>
                <c:pt idx="31">
                  <c:v>233.25684736366836</c:v>
                </c:pt>
                <c:pt idx="32">
                  <c:v>240.59359136616786</c:v>
                </c:pt>
                <c:pt idx="33">
                  <c:v>247.92524315661532</c:v>
                </c:pt>
                <c:pt idx="34">
                  <c:v>255.25197475601655</c:v>
                </c:pt>
                <c:pt idx="35">
                  <c:v>262.57394749121505</c:v>
                </c:pt>
                <c:pt idx="36">
                  <c:v>269.89131294604289</c:v>
                </c:pt>
                <c:pt idx="37">
                  <c:v>277.20421380381816</c:v>
                </c:pt>
                <c:pt idx="38">
                  <c:v>284.51278459619942</c:v>
                </c:pt>
                <c:pt idx="39">
                  <c:v>291.81715237099615</c:v>
                </c:pt>
                <c:pt idx="40">
                  <c:v>299.11743728955889</c:v>
                </c:pt>
                <c:pt idx="41">
                  <c:v>306.41375316274832</c:v>
                </c:pt>
                <c:pt idx="42">
                  <c:v>313.70620793314299</c:v>
                </c:pt>
                <c:pt idx="43">
                  <c:v>320.99490411002768</c:v>
                </c:pt>
                <c:pt idx="44">
                  <c:v>328.27993916277887</c:v>
                </c:pt>
                <c:pt idx="45">
                  <c:v>335.5614058774795</c:v>
                </c:pt>
                <c:pt idx="46">
                  <c:v>342.83939268093991</c:v>
                </c:pt>
                <c:pt idx="47">
                  <c:v>350.11398393574996</c:v>
                </c:pt>
                <c:pt idx="48">
                  <c:v>357.38526020950985</c:v>
                </c:pt>
                <c:pt idx="49">
                  <c:v>364.65329852099347</c:v>
                </c:pt>
                <c:pt idx="50">
                  <c:v>371.91817256564792</c:v>
                </c:pt>
                <c:pt idx="51">
                  <c:v>379.17995292254449</c:v>
                </c:pt>
                <c:pt idx="52">
                  <c:v>386.43870724463926</c:v>
                </c:pt>
                <c:pt idx="53">
                  <c:v>393.69450043398388</c:v>
                </c:pt>
                <c:pt idx="54">
                  <c:v>400.94739480334033</c:v>
                </c:pt>
                <c:pt idx="55">
                  <c:v>408.19745022548432</c:v>
                </c:pt>
                <c:pt idx="56">
                  <c:v>415.44472427134343</c:v>
                </c:pt>
                <c:pt idx="57">
                  <c:v>422.68927233798996</c:v>
                </c:pt>
                <c:pt idx="58">
                  <c:v>429.93114776739526</c:v>
                </c:pt>
                <c:pt idx="59">
                  <c:v>437.17040195676424</c:v>
                </c:pt>
                <c:pt idx="60">
                  <c:v>444.40708446117736</c:v>
                </c:pt>
                <c:pt idx="61">
                  <c:v>301.78859980380139</c:v>
                </c:pt>
                <c:pt idx="62">
                  <c:v>316.74909882186188</c:v>
                </c:pt>
                <c:pt idx="63">
                  <c:v>331.6939492220003</c:v>
                </c:pt>
                <c:pt idx="64">
                  <c:v>346.6239553389085</c:v>
                </c:pt>
                <c:pt idx="65">
                  <c:v>361.539846559446</c:v>
                </c:pt>
                <c:pt idx="66">
                  <c:v>376.44228717513016</c:v>
                </c:pt>
                <c:pt idx="67">
                  <c:v>391.33188459265767</c:v>
                </c:pt>
                <c:pt idx="68">
                  <c:v>406.20919622941773</c:v>
                </c:pt>
                <c:pt idx="69">
                  <c:v>421.07473534602883</c:v>
                </c:pt>
                <c:pt idx="70">
                  <c:v>344.43823643912452</c:v>
                </c:pt>
                <c:pt idx="71">
                  <c:v>359.03258357048571</c:v>
                </c:pt>
                <c:pt idx="72">
                  <c:v>373.61395480477341</c:v>
                </c:pt>
                <c:pt idx="73">
                  <c:v>388.18292785095059</c:v>
                </c:pt>
                <c:pt idx="74">
                  <c:v>402.74003351764833</c:v>
                </c:pt>
                <c:pt idx="75">
                  <c:v>417.28576111378544</c:v>
                </c:pt>
                <c:pt idx="76">
                  <c:v>431.8205630568612</c:v>
                </c:pt>
                <c:pt idx="77">
                  <c:v>446.34485882845661</c:v>
                </c:pt>
                <c:pt idx="78">
                  <c:v>387.68504212740351</c:v>
                </c:pt>
                <c:pt idx="79">
                  <c:v>402.24404369441692</c:v>
                </c:pt>
                <c:pt idx="80">
                  <c:v>416.79164879683066</c:v>
                </c:pt>
                <c:pt idx="81">
                  <c:v>431.32831117955783</c:v>
                </c:pt>
                <c:pt idx="82">
                  <c:v>445.85445151299149</c:v>
                </c:pt>
                <c:pt idx="83">
                  <c:v>460.37046082542201</c:v>
                </c:pt>
                <c:pt idx="84">
                  <c:v>474.87670348003502</c:v>
                </c:pt>
                <c:pt idx="85">
                  <c:v>489.37351976925379</c:v>
                </c:pt>
                <c:pt idx="86">
                  <c:v>503.86122818572488</c:v>
                </c:pt>
                <c:pt idx="87">
                  <c:v>437.66652036266078</c:v>
                </c:pt>
                <c:pt idx="88">
                  <c:v>452.22167614044662</c:v>
                </c:pt>
                <c:pt idx="89">
                  <c:v>466.76681776608552</c:v>
                </c:pt>
                <c:pt idx="90">
                  <c:v>481.30230117242854</c:v>
                </c:pt>
                <c:pt idx="91">
                  <c:v>495.82845904603795</c:v>
                </c:pt>
                <c:pt idx="92">
                  <c:v>510.34560299616987</c:v>
                </c:pt>
                <c:pt idx="93">
                  <c:v>524.85402546418084</c:v>
                </c:pt>
                <c:pt idx="94">
                  <c:v>539.35400141087905</c:v>
                </c:pt>
                <c:pt idx="95">
                  <c:v>553.84578981304333</c:v>
                </c:pt>
                <c:pt idx="96">
                  <c:v>477.81503001597611</c:v>
                </c:pt>
                <c:pt idx="97">
                  <c:v>492.38159188749614</c:v>
                </c:pt>
                <c:pt idx="98">
                  <c:v>506.93901981766635</c:v>
                </c:pt>
                <c:pt idx="99">
                  <c:v>521.48761296117152</c:v>
                </c:pt>
                <c:pt idx="100">
                  <c:v>536.02765242552857</c:v>
                </c:pt>
                <c:pt idx="101">
                  <c:v>550.55940283000689</c:v>
                </c:pt>
                <c:pt idx="102">
                  <c:v>565.08311369145497</c:v>
                </c:pt>
                <c:pt idx="103">
                  <c:v>579.59902066029906</c:v>
                </c:pt>
                <c:pt idx="104">
                  <c:v>594.10734662633229</c:v>
                </c:pt>
                <c:pt idx="105">
                  <c:v>524.42728878652235</c:v>
                </c:pt>
                <c:pt idx="106">
                  <c:v>539.18721769684169</c:v>
                </c:pt>
                <c:pt idx="107">
                  <c:v>553.93866001674166</c:v>
                </c:pt>
                <c:pt idx="108">
                  <c:v>568.68187348266281</c:v>
                </c:pt>
                <c:pt idx="109">
                  <c:v>583.41710138371138</c:v>
                </c:pt>
                <c:pt idx="110">
                  <c:v>598.14457372350319</c:v>
                </c:pt>
                <c:pt idx="111">
                  <c:v>612.86450826168243</c:v>
                </c:pt>
                <c:pt idx="112">
                  <c:v>627.57711145022802</c:v>
                </c:pt>
                <c:pt idx="113">
                  <c:v>642.2825792774405</c:v>
                </c:pt>
                <c:pt idx="114">
                  <c:v>568.18207427282073</c:v>
                </c:pt>
                <c:pt idx="115">
                  <c:v>583.1744725407691</c:v>
                </c:pt>
                <c:pt idx="116">
                  <c:v>598.15883853648563</c:v>
                </c:pt>
                <c:pt idx="117">
                  <c:v>613.13540171236571</c:v>
                </c:pt>
                <c:pt idx="118">
                  <c:v>628.10437940382712</c:v>
                </c:pt>
                <c:pt idx="119">
                  <c:v>643.06597774867816</c:v>
                </c:pt>
                <c:pt idx="120">
                  <c:v>658.020392516524</c:v>
                </c:pt>
                <c:pt idx="121">
                  <c:v>672.96780985890575</c:v>
                </c:pt>
                <c:pt idx="122">
                  <c:v>687.90840698936972</c:v>
                </c:pt>
                <c:pt idx="123">
                  <c:v>605.19695132921026</c:v>
                </c:pt>
                <c:pt idx="124">
                  <c:v>620.40915446659915</c:v>
                </c:pt>
                <c:pt idx="125">
                  <c:v>635.61363246553321</c:v>
                </c:pt>
                <c:pt idx="126">
                  <c:v>650.81059603610004</c:v>
                </c:pt>
                <c:pt idx="127">
                  <c:v>666.00024525190713</c:v>
                </c:pt>
                <c:pt idx="128">
                  <c:v>681.18277032234562</c:v>
                </c:pt>
                <c:pt idx="129">
                  <c:v>696.35835229247311</c:v>
                </c:pt>
                <c:pt idx="130">
                  <c:v>711.52716367875882</c:v>
                </c:pt>
                <c:pt idx="131">
                  <c:v>726.68936904783868</c:v>
                </c:pt>
                <c:pt idx="132">
                  <c:v>741.84512554449418</c:v>
                </c:pt>
                <c:pt idx="133">
                  <c:v>653.62036176110962</c:v>
                </c:pt>
                <c:pt idx="134">
                  <c:v>669.28793557733968</c:v>
                </c:pt>
                <c:pt idx="135">
                  <c:v>684.94797090998281</c:v>
                </c:pt>
                <c:pt idx="136">
                  <c:v>700.60066426424748</c:v>
                </c:pt>
                <c:pt idx="137">
                  <c:v>716.24620265561543</c:v>
                </c:pt>
                <c:pt idx="138">
                  <c:v>731.88476426965838</c:v>
                </c:pt>
                <c:pt idx="139">
                  <c:v>747.51651906257723</c:v>
                </c:pt>
                <c:pt idx="140">
                  <c:v>763.14162930893906</c:v>
                </c:pt>
                <c:pt idx="141">
                  <c:v>778.76025010226238</c:v>
                </c:pt>
                <c:pt idx="142">
                  <c:v>794.37252981339236</c:v>
                </c:pt>
                <c:pt idx="143">
                  <c:v>809.97861051100574</c:v>
                </c:pt>
                <c:pt idx="144">
                  <c:v>825.57862834804939</c:v>
                </c:pt>
                <c:pt idx="145">
                  <c:v>711.83666917952871</c:v>
                </c:pt>
                <c:pt idx="146">
                  <c:v>727.86433034101958</c:v>
                </c:pt>
                <c:pt idx="147">
                  <c:v>743.88479832061319</c:v>
                </c:pt>
                <c:pt idx="148">
                  <c:v>759.89824972185613</c:v>
                </c:pt>
                <c:pt idx="149">
                  <c:v>775.904853104891</c:v>
                </c:pt>
                <c:pt idx="150">
                  <c:v>791.90476951455923</c:v>
                </c:pt>
                <c:pt idx="151">
                  <c:v>807.89815296364668</c:v>
                </c:pt>
                <c:pt idx="152">
                  <c:v>823.88515087591293</c:v>
                </c:pt>
                <c:pt idx="153">
                  <c:v>839.8659044929808</c:v>
                </c:pt>
                <c:pt idx="154">
                  <c:v>855.84054924867905</c:v>
                </c:pt>
                <c:pt idx="155">
                  <c:v>871.80921511401391</c:v>
                </c:pt>
                <c:pt idx="156">
                  <c:v>887.77202691557977</c:v>
                </c:pt>
                <c:pt idx="157">
                  <c:v>764.45806346280631</c:v>
                </c:pt>
                <c:pt idx="158">
                  <c:v>780.80146292138977</c:v>
                </c:pt>
                <c:pt idx="159">
                  <c:v>797.13793918329975</c:v>
                </c:pt>
                <c:pt idx="160">
                  <c:v>813.46765398238688</c:v>
                </c:pt>
                <c:pt idx="161">
                  <c:v>829.79076203620934</c:v>
                </c:pt>
                <c:pt idx="162">
                  <c:v>846.10741148525494</c:v>
                </c:pt>
                <c:pt idx="163">
                  <c:v>862.41774429655925</c:v>
                </c:pt>
                <c:pt idx="164">
                  <c:v>878.72189663523716</c:v>
                </c:pt>
                <c:pt idx="165">
                  <c:v>895.0199992070369</c:v>
                </c:pt>
                <c:pt idx="166">
                  <c:v>911.31217757467437</c:v>
                </c:pt>
                <c:pt idx="167">
                  <c:v>927.59855245039887</c:v>
                </c:pt>
                <c:pt idx="168">
                  <c:v>943.879239966966</c:v>
                </c:pt>
                <c:pt idx="169">
                  <c:v>808.6725777976294</c:v>
                </c:pt>
                <c:pt idx="170">
                  <c:v>825.01886738881649</c:v>
                </c:pt>
                <c:pt idx="171">
                  <c:v>841.35863877127156</c:v>
                </c:pt>
                <c:pt idx="172">
                  <c:v>857.69203623567989</c:v>
                </c:pt>
                <c:pt idx="173">
                  <c:v>874.01919813493544</c:v>
                </c:pt>
                <c:pt idx="174">
                  <c:v>890.34025723710477</c:v>
                </c:pt>
                <c:pt idx="175">
                  <c:v>906.65534105119139</c:v>
                </c:pt>
                <c:pt idx="176">
                  <c:v>922.96457212826181</c:v>
                </c:pt>
                <c:pt idx="177">
                  <c:v>939.26806834020806</c:v>
                </c:pt>
                <c:pt idx="178">
                  <c:v>955.56594313817016</c:v>
                </c:pt>
                <c:pt idx="179">
                  <c:v>971.85830579243668</c:v>
                </c:pt>
                <c:pt idx="180">
                  <c:v>988.145261615442</c:v>
                </c:pt>
                <c:pt idx="181">
                  <c:v>624.85927956155399</c:v>
                </c:pt>
                <c:pt idx="182">
                  <c:v>635.11356363549817</c:v>
                </c:pt>
                <c:pt idx="183">
                  <c:v>645.36442647554566</c:v>
                </c:pt>
                <c:pt idx="184">
                  <c:v>655.61193007140548</c:v>
                </c:pt>
                <c:pt idx="185">
                  <c:v>445.27372254357095</c:v>
                </c:pt>
                <c:pt idx="186">
                  <c:v>451.90957876828219</c:v>
                </c:pt>
                <c:pt idx="187">
                  <c:v>458.54335148038626</c:v>
                </c:pt>
                <c:pt idx="188">
                  <c:v>465.17507509285309</c:v>
                </c:pt>
                <c:pt idx="189">
                  <c:v>313.55288913052675</c:v>
                </c:pt>
                <c:pt idx="190">
                  <c:v>317.8336225639469</c:v>
                </c:pt>
                <c:pt idx="191">
                  <c:v>322.11307915685478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10.048304616950057</c:v>
                </c:pt>
                <c:pt idx="2">
                  <c:v>19.659137741821663</c:v>
                </c:pt>
                <c:pt idx="3">
                  <c:v>29.128689534447123</c:v>
                </c:pt>
                <c:pt idx="4">
                  <c:v>38.511152226622073</c:v>
                </c:pt>
                <c:pt idx="5">
                  <c:v>47.831087514335131</c:v>
                </c:pt>
                <c:pt idx="6">
                  <c:v>57.102506414457658</c:v>
                </c:pt>
                <c:pt idx="7">
                  <c:v>66.334441287822742</c:v>
                </c:pt>
                <c:pt idx="8">
                  <c:v>75.53318353034804</c:v>
                </c:pt>
                <c:pt idx="9">
                  <c:v>84.70335739806599</c:v>
                </c:pt>
                <c:pt idx="10">
                  <c:v>93.848499249538975</c:v>
                </c:pt>
                <c:pt idx="11">
                  <c:v>102.97139724369315</c:v>
                </c:pt>
                <c:pt idx="12">
                  <c:v>112.07430352517288</c:v>
                </c:pt>
                <c:pt idx="13">
                  <c:v>121.15907347671678</c:v>
                </c:pt>
                <c:pt idx="14">
                  <c:v>130.22726082253777</c:v>
                </c:pt>
                <c:pt idx="15">
                  <c:v>139.28018474891235</c:v>
                </c:pt>
                <c:pt idx="16">
                  <c:v>148.31897859961927</c:v>
                </c:pt>
                <c:pt idx="17">
                  <c:v>157.3446260433652</c:v>
                </c:pt>
                <c:pt idx="18">
                  <c:v>166.35798848569573</c:v>
                </c:pt>
                <c:pt idx="19">
                  <c:v>175.35982621473178</c:v>
                </c:pt>
                <c:pt idx="20">
                  <c:v>184.35081496817375</c:v>
                </c:pt>
                <c:pt idx="21">
                  <c:v>193.33155909274402</c:v>
                </c:pt>
                <c:pt idx="22">
                  <c:v>202.30260212604904</c:v>
                </c:pt>
                <c:pt idx="23">
                  <c:v>211.26443540008074</c:v>
                </c:pt>
                <c:pt idx="24">
                  <c:v>220.21750510623642</c:v>
                </c:pt>
                <c:pt idx="25">
                  <c:v>229.16221814965567</c:v>
                </c:pt>
                <c:pt idx="26">
                  <c:v>238.09894704049665</c:v>
                </c:pt>
                <c:pt idx="27">
                  <c:v>247.02803401154202</c:v>
                </c:pt>
                <c:pt idx="28">
                  <c:v>255.94979450864125</c:v>
                </c:pt>
                <c:pt idx="29">
                  <c:v>264.86452016850518</c:v>
                </c:pt>
                <c:pt idx="30">
                  <c:v>273.77248137423243</c:v>
                </c:pt>
                <c:pt idx="31">
                  <c:v>282.67392946052559</c:v>
                </c:pt>
                <c:pt idx="32">
                  <c:v>291.56909862637139</c:v>
                </c:pt>
                <c:pt idx="33">
                  <c:v>300.45820760191901</c:v>
                </c:pt>
                <c:pt idx="34">
                  <c:v>309.34146110763578</c:v>
                </c:pt>
                <c:pt idx="35">
                  <c:v>318.21905113697397</c:v>
                </c:pt>
                <c:pt idx="36">
                  <c:v>327.09115808832604</c:v>
                </c:pt>
                <c:pt idx="37">
                  <c:v>335.95795176767251</c:v>
                </c:pt>
                <c:pt idx="38">
                  <c:v>344.81959227978564</c:v>
                </c:pt>
                <c:pt idx="39">
                  <c:v>353.67623082298468</c:v>
                </c:pt>
                <c:pt idx="40">
                  <c:v>362.52801040008325</c:v>
                </c:pt>
                <c:pt idx="41">
                  <c:v>371.3750664562408</c:v>
                </c:pt>
                <c:pt idx="42">
                  <c:v>380.21752745283328</c:v>
                </c:pt>
                <c:pt idx="43">
                  <c:v>389.05551538512827</c:v>
                </c:pt>
                <c:pt idx="44">
                  <c:v>397.8891462504501</c:v>
                </c:pt>
                <c:pt idx="45">
                  <c:v>268.3332207978392</c:v>
                </c:pt>
                <c:pt idx="46">
                  <c:v>287.12426874710326</c:v>
                </c:pt>
                <c:pt idx="47">
                  <c:v>305.88781482274101</c:v>
                </c:pt>
                <c:pt idx="48">
                  <c:v>324.62578288235642</c:v>
                </c:pt>
                <c:pt idx="49">
                  <c:v>343.33985656629596</c:v>
                </c:pt>
                <c:pt idx="50">
                  <c:v>362.0315210237124</c:v>
                </c:pt>
                <c:pt idx="51">
                  <c:v>380.70209556651133</c:v>
                </c:pt>
                <c:pt idx="52">
                  <c:v>304.14921959879979</c:v>
                </c:pt>
                <c:pt idx="53">
                  <c:v>321.868890544267</c:v>
                </c:pt>
                <c:pt idx="54">
                  <c:v>339.56699231057195</c:v>
                </c:pt>
                <c:pt idx="55">
                  <c:v>357.24480696016116</c:v>
                </c:pt>
                <c:pt idx="56">
                  <c:v>374.90347933824819</c:v>
                </c:pt>
                <c:pt idx="57">
                  <c:v>392.54403766469613</c:v>
                </c:pt>
                <c:pt idx="58">
                  <c:v>410.16741023037071</c:v>
                </c:pt>
                <c:pt idx="59">
                  <c:v>427.77443907396082</c:v>
                </c:pt>
                <c:pt idx="60">
                  <c:v>342.61772102411163</c:v>
                </c:pt>
                <c:pt idx="61">
                  <c:v>359.16062505062047</c:v>
                </c:pt>
                <c:pt idx="62">
                  <c:v>375.68686388798625</c:v>
                </c:pt>
                <c:pt idx="63">
                  <c:v>392.19727364217937</c:v>
                </c:pt>
                <c:pt idx="64">
                  <c:v>408.6926142945477</c:v>
                </c:pt>
                <c:pt idx="65">
                  <c:v>425.17357948922836</c:v>
                </c:pt>
                <c:pt idx="66">
                  <c:v>441.64080472385695</c:v>
                </c:pt>
                <c:pt idx="67">
                  <c:v>458.09487425506512</c:v>
                </c:pt>
                <c:pt idx="68">
                  <c:v>389.00384145999186</c:v>
                </c:pt>
                <c:pt idx="69">
                  <c:v>404.88840808380127</c:v>
                </c:pt>
                <c:pt idx="70">
                  <c:v>420.75950620505029</c:v>
                </c:pt>
                <c:pt idx="71">
                  <c:v>436.61771524956117</c:v>
                </c:pt>
                <c:pt idx="72">
                  <c:v>452.46356913105257</c:v>
                </c:pt>
                <c:pt idx="73">
                  <c:v>468.29756132773349</c:v>
                </c:pt>
                <c:pt idx="74">
                  <c:v>484.12014923664145</c:v>
                </c:pt>
                <c:pt idx="75">
                  <c:v>499.93175792920005</c:v>
                </c:pt>
                <c:pt idx="76">
                  <c:v>432.23287601174712</c:v>
                </c:pt>
                <c:pt idx="77">
                  <c:v>447.64293801816285</c:v>
                </c:pt>
                <c:pt idx="78">
                  <c:v>463.04164880223556</c:v>
                </c:pt>
                <c:pt idx="79">
                  <c:v>478.42943889795788</c:v>
                </c:pt>
                <c:pt idx="80">
                  <c:v>493.80670889501863</c:v>
                </c:pt>
                <c:pt idx="81">
                  <c:v>509.17383240843407</c:v>
                </c:pt>
                <c:pt idx="82">
                  <c:v>524.53115867111683</c:v>
                </c:pt>
                <c:pt idx="83">
                  <c:v>539.879014807114</c:v>
                </c:pt>
                <c:pt idx="84">
                  <c:v>555.21770783299235</c:v>
                </c:pt>
                <c:pt idx="85">
                  <c:v>474.82491637704396</c:v>
                </c:pt>
                <c:pt idx="86">
                  <c:v>489.58681562555012</c:v>
                </c:pt>
                <c:pt idx="87">
                  <c:v>504.33927544305925</c:v>
                </c:pt>
                <c:pt idx="88">
                  <c:v>519.08261074179791</c:v>
                </c:pt>
                <c:pt idx="89">
                  <c:v>533.81711709291642</c:v>
                </c:pt>
                <c:pt idx="90">
                  <c:v>548.54307242652112</c:v>
                </c:pt>
                <c:pt idx="91">
                  <c:v>563.26073853972309</c:v>
                </c:pt>
                <c:pt idx="92">
                  <c:v>577.97036243893194</c:v>
                </c:pt>
                <c:pt idx="93">
                  <c:v>592.67217753845057</c:v>
                </c:pt>
                <c:pt idx="94">
                  <c:v>525.39800785268062</c:v>
                </c:pt>
                <c:pt idx="95">
                  <c:v>540.1830286906735</c:v>
                </c:pt>
                <c:pt idx="96">
                  <c:v>554.95955132926986</c:v>
                </c:pt>
                <c:pt idx="97">
                  <c:v>569.727833819701</c:v>
                </c:pt>
                <c:pt idx="98">
                  <c:v>584.48811975027968</c:v>
                </c:pt>
                <c:pt idx="99">
                  <c:v>599.24063940933604</c:v>
                </c:pt>
                <c:pt idx="100">
                  <c:v>613.98561082773153</c:v>
                </c:pt>
                <c:pt idx="101">
                  <c:v>628.72324071607227</c:v>
                </c:pt>
                <c:pt idx="102">
                  <c:v>643.45372530952898</c:v>
                </c:pt>
                <c:pt idx="103">
                  <c:v>658.17725113131621</c:v>
                </c:pt>
                <c:pt idx="104">
                  <c:v>564.13309016863479</c:v>
                </c:pt>
                <c:pt idx="105">
                  <c:v>578.49132971991378</c:v>
                </c:pt>
                <c:pt idx="106">
                  <c:v>592.84213641116253</c:v>
                </c:pt>
                <c:pt idx="107">
                  <c:v>607.18571543100336</c:v>
                </c:pt>
                <c:pt idx="108">
                  <c:v>621.52226148809166</c:v>
                </c:pt>
                <c:pt idx="109">
                  <c:v>635.85195958078464</c:v>
                </c:pt>
                <c:pt idx="110">
                  <c:v>650.17498569385816</c:v>
                </c:pt>
                <c:pt idx="111">
                  <c:v>664.4915074306748</c:v>
                </c:pt>
                <c:pt idx="112">
                  <c:v>678.80168458807077</c:v>
                </c:pt>
                <c:pt idx="113">
                  <c:v>693.1056696802774</c:v>
                </c:pt>
                <c:pt idx="114">
                  <c:v>621.05803334398831</c:v>
                </c:pt>
                <c:pt idx="115">
                  <c:v>636.03374756047731</c:v>
                </c:pt>
                <c:pt idx="116">
                  <c:v>651.00217703731926</c:v>
                </c:pt>
                <c:pt idx="117">
                  <c:v>665.96351276314715</c:v>
                </c:pt>
                <c:pt idx="118">
                  <c:v>680.91793645117184</c:v>
                </c:pt>
                <c:pt idx="119">
                  <c:v>695.86562118765994</c:v>
                </c:pt>
                <c:pt idx="120">
                  <c:v>710.80673202183868</c:v>
                </c:pt>
                <c:pt idx="121">
                  <c:v>725.74142650365923</c:v>
                </c:pt>
                <c:pt idx="122">
                  <c:v>740.66985517502701</c:v>
                </c:pt>
                <c:pt idx="123">
                  <c:v>755.59216201940251</c:v>
                </c:pt>
                <c:pt idx="124">
                  <c:v>770.50848487406813</c:v>
                </c:pt>
                <c:pt idx="125">
                  <c:v>785.41895580883818</c:v>
                </c:pt>
                <c:pt idx="126">
                  <c:v>667.10335010791766</c:v>
                </c:pt>
                <c:pt idx="127">
                  <c:v>681.93031271442624</c:v>
                </c:pt>
                <c:pt idx="128">
                  <c:v>696.75066156269395</c:v>
                </c:pt>
                <c:pt idx="129">
                  <c:v>711.56455705323924</c:v>
                </c:pt>
                <c:pt idx="130">
                  <c:v>726.37215236822306</c:v>
                </c:pt>
                <c:pt idx="131">
                  <c:v>741.17359393984896</c:v>
                </c:pt>
                <c:pt idx="132">
                  <c:v>755.96902187943522</c:v>
                </c:pt>
                <c:pt idx="133">
                  <c:v>770.75857037117385</c:v>
                </c:pt>
                <c:pt idx="134">
                  <c:v>785.54236803412675</c:v>
                </c:pt>
                <c:pt idx="135">
                  <c:v>800.32053825557568</c:v>
                </c:pt>
                <c:pt idx="136">
                  <c:v>815.0931994984943</c:v>
                </c:pt>
                <c:pt idx="137">
                  <c:v>829.86046558559235</c:v>
                </c:pt>
                <c:pt idx="138">
                  <c:v>702.45053268798029</c:v>
                </c:pt>
                <c:pt idx="139">
                  <c:v>716.91008548011894</c:v>
                </c:pt>
                <c:pt idx="140">
                  <c:v>731.36368508615408</c:v>
                </c:pt>
                <c:pt idx="141">
                  <c:v>745.81146564640403</c:v>
                </c:pt>
                <c:pt idx="142">
                  <c:v>760.25355568429995</c:v>
                </c:pt>
                <c:pt idx="143">
                  <c:v>774.69007844601583</c:v>
                </c:pt>
                <c:pt idx="144">
                  <c:v>789.12115221348574</c:v>
                </c:pt>
                <c:pt idx="145">
                  <c:v>803.54689059335408</c:v>
                </c:pt>
                <c:pt idx="146">
                  <c:v>817.96740278411835</c:v>
                </c:pt>
                <c:pt idx="147">
                  <c:v>832.38279382346775</c:v>
                </c:pt>
                <c:pt idx="148">
                  <c:v>846.79316481761714</c:v>
                </c:pt>
                <c:pt idx="149">
                  <c:v>861.1986131542327</c:v>
                </c:pt>
                <c:pt idx="150">
                  <c:v>533.64327606171275</c:v>
                </c:pt>
                <c:pt idx="151">
                  <c:v>542.45026377233353</c:v>
                </c:pt>
                <c:pt idx="152">
                  <c:v>551.25424958322492</c:v>
                </c:pt>
                <c:pt idx="153">
                  <c:v>560.0552882026393</c:v>
                </c:pt>
                <c:pt idx="154">
                  <c:v>367.85381429737589</c:v>
                </c:pt>
                <c:pt idx="155">
                  <c:v>373.21124685754739</c:v>
                </c:pt>
                <c:pt idx="156">
                  <c:v>378.56700327841526</c:v>
                </c:pt>
                <c:pt idx="157">
                  <c:v>383.92111064505872</c:v>
                </c:pt>
                <c:pt idx="158">
                  <c:v>257.32741893799079</c:v>
                </c:pt>
                <c:pt idx="159">
                  <c:v>260.6667052891749</c:v>
                </c:pt>
                <c:pt idx="160">
                  <c:v>264.00502543298677</c:v>
                </c:pt>
                <c:pt idx="161">
                  <c:v>267.34239333724963</c:v>
                </c:pt>
                <c:pt idx="162">
                  <c:v>59.569048558496519</c:v>
                </c:pt>
                <c:pt idx="163">
                  <c:v>116.92388726713232</c:v>
                </c:pt>
                <c:pt idx="164">
                  <c:v>173.56364734064496</c:v>
                </c:pt>
                <c:pt idx="165">
                  <c:v>229.76261630542342</c:v>
                </c:pt>
                <c:pt idx="166">
                  <c:v>1.1479655194098737E-11</c:v>
                </c:pt>
                <c:pt idx="167">
                  <c:v>1.1479655194098737E-11</c:v>
                </c:pt>
                <c:pt idx="168">
                  <c:v>1.1479655194098737E-11</c:v>
                </c:pt>
                <c:pt idx="169">
                  <c:v>1.1479655194098737E-11</c:v>
                </c:pt>
                <c:pt idx="170">
                  <c:v>1.1479655194098737E-11</c:v>
                </c:pt>
                <c:pt idx="171">
                  <c:v>1.1479655194098737E-11</c:v>
                </c:pt>
                <c:pt idx="172">
                  <c:v>1.1479655194098737E-11</c:v>
                </c:pt>
                <c:pt idx="173">
                  <c:v>1.1479655194098737E-11</c:v>
                </c:pt>
                <c:pt idx="174">
                  <c:v>1.1479655194098737E-11</c:v>
                </c:pt>
                <c:pt idx="175">
                  <c:v>1.1479655194098737E-11</c:v>
                </c:pt>
                <c:pt idx="176">
                  <c:v>1.1479655194098737E-11</c:v>
                </c:pt>
                <c:pt idx="177">
                  <c:v>1.1479655194098737E-11</c:v>
                </c:pt>
                <c:pt idx="178">
                  <c:v>1.1479655194098737E-11</c:v>
                </c:pt>
                <c:pt idx="179">
                  <c:v>1.1479655194098737E-11</c:v>
                </c:pt>
                <c:pt idx="180">
                  <c:v>1.1479655194098737E-11</c:v>
                </c:pt>
                <c:pt idx="181">
                  <c:v>1.1479655194098737E-11</c:v>
                </c:pt>
                <c:pt idx="182">
                  <c:v>1.1479655194098737E-11</c:v>
                </c:pt>
                <c:pt idx="183">
                  <c:v>1.1479655194098737E-11</c:v>
                </c:pt>
                <c:pt idx="184">
                  <c:v>1.1479655194098737E-11</c:v>
                </c:pt>
                <c:pt idx="185">
                  <c:v>1.1479655194098737E-11</c:v>
                </c:pt>
                <c:pt idx="186">
                  <c:v>1.1479655194098737E-11</c:v>
                </c:pt>
                <c:pt idx="187">
                  <c:v>1.1479655194098737E-11</c:v>
                </c:pt>
                <c:pt idx="188">
                  <c:v>1.1479655194098737E-11</c:v>
                </c:pt>
                <c:pt idx="189">
                  <c:v>1.1479655194098737E-11</c:v>
                </c:pt>
                <c:pt idx="190">
                  <c:v>1.1479655194098737E-11</c:v>
                </c:pt>
                <c:pt idx="191">
                  <c:v>1.1479655194098737E-11</c:v>
                </c:pt>
                <c:pt idx="192">
                  <c:v>1.1479655194098737E-11</c:v>
                </c:pt>
                <c:pt idx="193">
                  <c:v>1.1479655194098737E-11</c:v>
                </c:pt>
                <c:pt idx="194">
                  <c:v>1.1479655194098737E-11</c:v>
                </c:pt>
                <c:pt idx="195">
                  <c:v>1.1479655194098737E-11</c:v>
                </c:pt>
                <c:pt idx="196">
                  <c:v>1.1479655194098737E-11</c:v>
                </c:pt>
                <c:pt idx="197">
                  <c:v>1.1479655194098737E-11</c:v>
                </c:pt>
                <c:pt idx="198">
                  <c:v>1.1479655194098737E-11</c:v>
                </c:pt>
                <c:pt idx="199">
                  <c:v>1.1479655194098737E-11</c:v>
                </c:pt>
                <c:pt idx="200">
                  <c:v>1.1479655194098737E-11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2.9205980688266564</c:v>
                </c:pt>
                <c:pt idx="2">
                  <c:v>3.8193886180668186</c:v>
                </c:pt>
                <c:pt idx="3">
                  <c:v>4.9958857422955205</c:v>
                </c:pt>
                <c:pt idx="4">
                  <c:v>6.5362176188514516</c:v>
                </c:pt>
                <c:pt idx="5">
                  <c:v>8.5533177888034189</c:v>
                </c:pt>
                <c:pt idx="6">
                  <c:v>11.195294658284743</c:v>
                </c:pt>
                <c:pt idx="7">
                  <c:v>14.656421978560983</c:v>
                </c:pt>
                <c:pt idx="8">
                  <c:v>19.191573306246756</c:v>
                </c:pt>
                <c:pt idx="9">
                  <c:v>25.135182506128984</c:v>
                </c:pt>
                <c:pt idx="10">
                  <c:v>32.9261531469324</c:v>
                </c:pt>
                <c:pt idx="11">
                  <c:v>43.140587989048477</c:v>
                </c:pt>
                <c:pt idx="12">
                  <c:v>56.534799687422179</c:v>
                </c:pt>
                <c:pt idx="13">
                  <c:v>74.101840122506715</c:v>
                </c:pt>
                <c:pt idx="14">
                  <c:v>97.145807411654872</c:v>
                </c:pt>
                <c:pt idx="15">
                  <c:v>127.37953432582198</c:v>
                </c:pt>
                <c:pt idx="16">
                  <c:v>92.512559752041952</c:v>
                </c:pt>
                <c:pt idx="17">
                  <c:v>118.97444364040366</c:v>
                </c:pt>
                <c:pt idx="18">
                  <c:v>145.29205371594367</c:v>
                </c:pt>
                <c:pt idx="19">
                  <c:v>171.49532867914351</c:v>
                </c:pt>
                <c:pt idx="20">
                  <c:v>197.6042373039995</c:v>
                </c:pt>
                <c:pt idx="21">
                  <c:v>159.35586286360191</c:v>
                </c:pt>
                <c:pt idx="22">
                  <c:v>187.39794043392263</c:v>
                </c:pt>
                <c:pt idx="23">
                  <c:v>215.34198157425362</c:v>
                </c:pt>
                <c:pt idx="24">
                  <c:v>243.20250692836802</c:v>
                </c:pt>
                <c:pt idx="25">
                  <c:v>270.99042974399345</c:v>
                </c:pt>
                <c:pt idx="26">
                  <c:v>231.91700149088217</c:v>
                </c:pt>
                <c:pt idx="27">
                  <c:v>258.60689820869135</c:v>
                </c:pt>
                <c:pt idx="28">
                  <c:v>285.23452771013774</c:v>
                </c:pt>
                <c:pt idx="29">
                  <c:v>311.80651713592084</c:v>
                </c:pt>
                <c:pt idx="30">
                  <c:v>338.32827143043039</c:v>
                </c:pt>
                <c:pt idx="31">
                  <c:v>296.842883014341</c:v>
                </c:pt>
                <c:pt idx="32">
                  <c:v>320.77699701276748</c:v>
                </c:pt>
                <c:pt idx="33">
                  <c:v>344.67160985755481</c:v>
                </c:pt>
                <c:pt idx="34">
                  <c:v>368.52984306951663</c:v>
                </c:pt>
                <c:pt idx="35">
                  <c:v>392.35438115419714</c:v>
                </c:pt>
                <c:pt idx="36">
                  <c:v>348.40178403373949</c:v>
                </c:pt>
                <c:pt idx="37">
                  <c:v>369.64735159591169</c:v>
                </c:pt>
                <c:pt idx="38">
                  <c:v>390.86628899650526</c:v>
                </c:pt>
                <c:pt idx="39">
                  <c:v>412.06024430985258</c:v>
                </c:pt>
                <c:pt idx="40">
                  <c:v>433.23068233058711</c:v>
                </c:pt>
                <c:pt idx="41">
                  <c:v>386.40127265666041</c:v>
                </c:pt>
                <c:pt idx="42">
                  <c:v>404.62651852552534</c:v>
                </c:pt>
                <c:pt idx="43">
                  <c:v>422.83402201018424</c:v>
                </c:pt>
                <c:pt idx="44">
                  <c:v>441.02465426855332</c:v>
                </c:pt>
                <c:pt idx="45">
                  <c:v>459.19920876443285</c:v>
                </c:pt>
                <c:pt idx="46">
                  <c:v>430.63202519963079</c:v>
                </c:pt>
                <c:pt idx="47">
                  <c:v>446.58996615169781</c:v>
                </c:pt>
                <c:pt idx="48">
                  <c:v>462.53570293273191</c:v>
                </c:pt>
                <c:pt idx="49">
                  <c:v>478.46971536977009</c:v>
                </c:pt>
                <c:pt idx="50">
                  <c:v>494.3924487367965</c:v>
                </c:pt>
                <c:pt idx="51">
                  <c:v>472.91264200880101</c:v>
                </c:pt>
                <c:pt idx="52">
                  <c:v>486.61761247073986</c:v>
                </c:pt>
                <c:pt idx="53">
                  <c:v>500.3143920215611</c:v>
                </c:pt>
                <c:pt idx="54">
                  <c:v>514.00323643635181</c:v>
                </c:pt>
                <c:pt idx="55">
                  <c:v>527.68438675921152</c:v>
                </c:pt>
                <c:pt idx="56">
                  <c:v>509.56446562910031</c:v>
                </c:pt>
                <c:pt idx="57">
                  <c:v>521.02963842518261</c:v>
                </c:pt>
                <c:pt idx="58">
                  <c:v>532.48949356066385</c:v>
                </c:pt>
                <c:pt idx="59">
                  <c:v>543.94416159669981</c:v>
                </c:pt>
                <c:pt idx="60">
                  <c:v>555.39376714784089</c:v>
                </c:pt>
                <c:pt idx="61">
                  <c:v>539.1412145256478</c:v>
                </c:pt>
                <c:pt idx="62">
                  <c:v>548.74621845390379</c:v>
                </c:pt>
                <c:pt idx="63">
                  <c:v>558.34769693411636</c:v>
                </c:pt>
                <c:pt idx="64">
                  <c:v>567.94571913881475</c:v>
                </c:pt>
                <c:pt idx="65">
                  <c:v>577.54035171190208</c:v>
                </c:pt>
                <c:pt idx="66">
                  <c:v>562.03964926820083</c:v>
                </c:pt>
                <c:pt idx="67">
                  <c:v>570.52922017836795</c:v>
                </c:pt>
                <c:pt idx="68">
                  <c:v>579.01615230132256</c:v>
                </c:pt>
                <c:pt idx="69">
                  <c:v>587.50048977179972</c:v>
                </c:pt>
                <c:pt idx="70">
                  <c:v>595.98227534576563</c:v>
                </c:pt>
                <c:pt idx="71">
                  <c:v>579.75402315407757</c:v>
                </c:pt>
                <c:pt idx="72">
                  <c:v>587.50048977179972</c:v>
                </c:pt>
                <c:pt idx="73">
                  <c:v>595.24482902030275</c:v>
                </c:pt>
                <c:pt idx="74">
                  <c:v>602.98707248339201</c:v>
                </c:pt>
                <c:pt idx="75">
                  <c:v>610.72725086759363</c:v>
                </c:pt>
                <c:pt idx="76">
                  <c:v>595.24482902030275</c:v>
                </c:pt>
                <c:pt idx="77">
                  <c:v>601.88116484326292</c:v>
                </c:pt>
                <c:pt idx="78">
                  <c:v>608.51598029477634</c:v>
                </c:pt>
                <c:pt idx="79">
                  <c:v>615.14929429282256</c:v>
                </c:pt>
                <c:pt idx="80">
                  <c:v>621.78112531404156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10.550673681565735</c:v>
                </c:pt>
                <c:pt idx="2">
                  <c:v>20.643940976233619</c:v>
                </c:pt>
                <c:pt idx="3">
                  <c:v>30.589488968297804</c:v>
                </c:pt>
                <c:pt idx="4">
                  <c:v>40.443979345188062</c:v>
                </c:pt>
                <c:pt idx="5">
                  <c:v>50.233093041140471</c:v>
                </c:pt>
                <c:pt idx="6">
                  <c:v>59.97147953325225</c:v>
                </c:pt>
                <c:pt idx="7">
                  <c:v>69.6685827729777</c:v>
                </c:pt>
                <c:pt idx="8">
                  <c:v>79.330980845351746</c:v>
                </c:pt>
                <c:pt idx="9">
                  <c:v>88.963508726554949</c:v>
                </c:pt>
                <c:pt idx="10">
                  <c:v>98.569863921503824</c:v>
                </c:pt>
                <c:pt idx="11">
                  <c:v>108.1529616411861</c:v>
                </c:pt>
                <c:pt idx="12">
                  <c:v>117.71515665697127</c:v>
                </c:pt>
                <c:pt idx="13">
                  <c:v>127.25838889850094</c:v>
                </c:pt>
                <c:pt idx="14">
                  <c:v>136.78428289078133</c:v>
                </c:pt>
                <c:pt idx="15">
                  <c:v>146.29421793335396</c:v>
                </c:pt>
                <c:pt idx="16">
                  <c:v>155.78937901470906</c:v>
                </c:pt>
                <c:pt idx="17">
                  <c:v>165.27079462780483</c:v>
                </c:pt>
                <c:pt idx="18">
                  <c:v>174.73936543109653</c:v>
                </c:pt>
                <c:pt idx="19">
                  <c:v>184.19588635785109</c:v>
                </c:pt>
                <c:pt idx="20">
                  <c:v>193.64106393808399</c:v>
                </c:pt>
                <c:pt idx="21">
                  <c:v>203.07553005765669</c:v>
                </c:pt>
                <c:pt idx="22">
                  <c:v>212.49985302233833</c:v>
                </c:pt>
                <c:pt idx="23">
                  <c:v>221.91454655335471</c:v>
                </c:pt>
                <c:pt idx="24">
                  <c:v>231.32007717435036</c:v>
                </c:pt>
                <c:pt idx="25">
                  <c:v>240.71687033249881</c:v>
                </c:pt>
                <c:pt idx="26">
                  <c:v>250.10531551266604</c:v>
                </c:pt>
                <c:pt idx="27">
                  <c:v>259.48577054264979</c:v>
                </c:pt>
                <c:pt idx="28">
                  <c:v>268.85856524267581</c:v>
                </c:pt>
                <c:pt idx="29">
                  <c:v>278.22400453888599</c:v>
                </c:pt>
                <c:pt idx="30">
                  <c:v>287.58237113531567</c:v>
                </c:pt>
                <c:pt idx="31">
                  <c:v>296.93392781959858</c:v>
                </c:pt>
                <c:pt idx="32">
                  <c:v>306.27891946280454</c:v>
                </c:pt>
                <c:pt idx="33">
                  <c:v>315.6175747622753</c:v>
                </c:pt>
                <c:pt idx="34">
                  <c:v>324.95010776727094</c:v>
                </c:pt>
                <c:pt idx="35">
                  <c:v>334.27671922008659</c:v>
                </c:pt>
                <c:pt idx="36">
                  <c:v>343.59759773958876</c:v>
                </c:pt>
                <c:pt idx="37">
                  <c:v>352.91292086955173</c:v>
                </c:pt>
                <c:pt idx="38">
                  <c:v>362.22285601047344</c:v>
                </c:pt>
                <c:pt idx="39">
                  <c:v>371.52756125054481</c:v>
                </c:pt>
                <c:pt idx="40">
                  <c:v>380.82718610899519</c:v>
                </c:pt>
                <c:pt idx="41">
                  <c:v>390.12187220300893</c:v>
                </c:pt>
                <c:pt idx="42">
                  <c:v>399.41175384774692</c:v>
                </c:pt>
                <c:pt idx="43">
                  <c:v>408.69695859761174</c:v>
                </c:pt>
                <c:pt idx="44">
                  <c:v>417.97760773574436</c:v>
                </c:pt>
                <c:pt idx="45">
                  <c:v>281.86808607634066</c:v>
                </c:pt>
                <c:pt idx="46">
                  <c:v>301.60931379339257</c:v>
                </c:pt>
                <c:pt idx="47">
                  <c:v>321.32178641925299</c:v>
                </c:pt>
                <c:pt idx="48">
                  <c:v>341.00751547872193</c:v>
                </c:pt>
                <c:pt idx="49">
                  <c:v>360.66826133301555</c:v>
                </c:pt>
                <c:pt idx="50">
                  <c:v>380.3055768072208</c:v>
                </c:pt>
                <c:pt idx="51">
                  <c:v>399.92084133223307</c:v>
                </c:pt>
                <c:pt idx="52">
                  <c:v>319.49525990710976</c:v>
                </c:pt>
                <c:pt idx="53">
                  <c:v>338.11117261757227</c:v>
                </c:pt>
                <c:pt idx="54">
                  <c:v>356.70453327495784</c:v>
                </c:pt>
                <c:pt idx="55">
                  <c:v>375.27668236330288</c:v>
                </c:pt>
                <c:pt idx="56">
                  <c:v>393.82881689663503</c:v>
                </c:pt>
                <c:pt idx="57">
                  <c:v>412.36201194919551</c:v>
                </c:pt>
                <c:pt idx="58">
                  <c:v>430.87723811261975</c:v>
                </c:pt>
                <c:pt idx="59">
                  <c:v>449.37537579598853</c:v>
                </c:pt>
                <c:pt idx="60">
                  <c:v>359.90959363162943</c:v>
                </c:pt>
                <c:pt idx="61">
                  <c:v>377.28942906083421</c:v>
                </c:pt>
                <c:pt idx="62">
                  <c:v>394.65183989417164</c:v>
                </c:pt>
                <c:pt idx="63">
                  <c:v>411.99770033765975</c:v>
                </c:pt>
                <c:pt idx="64">
                  <c:v>429.32780500381313</c:v>
                </c:pt>
                <c:pt idx="65">
                  <c:v>446.64287914505229</c:v>
                </c:pt>
                <c:pt idx="66">
                  <c:v>463.9435872176507</c:v>
                </c:pt>
                <c:pt idx="67">
                  <c:v>481.23054010190549</c:v>
                </c:pt>
                <c:pt idx="68">
                  <c:v>408.64266982202912</c:v>
                </c:pt>
                <c:pt idx="69">
                  <c:v>425.33107639944933</c:v>
                </c:pt>
                <c:pt idx="70">
                  <c:v>442.00540073561621</c:v>
                </c:pt>
                <c:pt idx="71">
                  <c:v>458.66624865988416</c:v>
                </c:pt>
                <c:pt idx="72">
                  <c:v>475.31417841558891</c:v>
                </c:pt>
                <c:pt idx="73">
                  <c:v>491.94970596797293</c:v>
                </c:pt>
                <c:pt idx="74">
                  <c:v>508.57330955694516</c:v>
                </c:pt>
                <c:pt idx="75">
                  <c:v>525.18543362377181</c:v>
                </c:pt>
                <c:pt idx="76">
                  <c:v>454.0594711761417</c:v>
                </c:pt>
                <c:pt idx="77">
                  <c:v>470.2495330543897</c:v>
                </c:pt>
                <c:pt idx="78">
                  <c:v>486.42772645276438</c:v>
                </c:pt>
                <c:pt idx="79">
                  <c:v>502.59450152402275</c:v>
                </c:pt>
                <c:pt idx="80">
                  <c:v>518.75027711210123</c:v>
                </c:pt>
                <c:pt idx="81">
                  <c:v>534.89544385707177</c:v>
                </c:pt>
                <c:pt idx="82">
                  <c:v>551.03036690584588</c:v>
                </c:pt>
                <c:pt idx="83">
                  <c:v>567.1553882890056</c:v>
                </c:pt>
                <c:pt idx="84">
                  <c:v>583.27082901338326</c:v>
                </c:pt>
                <c:pt idx="85">
                  <c:v>498.80750033710132</c:v>
                </c:pt>
                <c:pt idx="86">
                  <c:v>514.31673796874077</c:v>
                </c:pt>
                <c:pt idx="87">
                  <c:v>529.81610602920739</c:v>
                </c:pt>
                <c:pt idx="88">
                  <c:v>545.30593378078936</c:v>
                </c:pt>
                <c:pt idx="89">
                  <c:v>560.78653026335303</c:v>
                </c:pt>
                <c:pt idx="90">
                  <c:v>576.25818607184738</c:v>
                </c:pt>
                <c:pt idx="91">
                  <c:v>591.72117493307076</c:v>
                </c:pt>
                <c:pt idx="92">
                  <c:v>607.17575510912923</c:v>
                </c:pt>
                <c:pt idx="93">
                  <c:v>622.62217065065329</c:v>
                </c:pt>
                <c:pt idx="94">
                  <c:v>551.94110923186065</c:v>
                </c:pt>
                <c:pt idx="95">
                  <c:v>567.47479691569549</c:v>
                </c:pt>
                <c:pt idx="96">
                  <c:v>582.99959915041802</c:v>
                </c:pt>
                <c:pt idx="97">
                  <c:v>598.51578574625171</c:v>
                </c:pt>
                <c:pt idx="98">
                  <c:v>614.02361139145012</c:v>
                </c:pt>
                <c:pt idx="99">
                  <c:v>629.52331686822367</c:v>
                </c:pt>
                <c:pt idx="100">
                  <c:v>645.01513014276077</c:v>
                </c:pt>
                <c:pt idx="101">
                  <c:v>660.49926734514838</c:v>
                </c:pt>
                <c:pt idx="102">
                  <c:v>675.97593365268801</c:v>
                </c:pt>
                <c:pt idx="103">
                  <c:v>691.44532408816701</c:v>
                </c:pt>
                <c:pt idx="104">
                  <c:v>592.63770493510583</c:v>
                </c:pt>
                <c:pt idx="105">
                  <c:v>607.72310706463134</c:v>
                </c:pt>
                <c:pt idx="106">
                  <c:v>622.80073763026712</c:v>
                </c:pt>
                <c:pt idx="107">
                  <c:v>637.87081117076104</c:v>
                </c:pt>
                <c:pt idx="108">
                  <c:v>652.93353126733916</c:v>
                </c:pt>
                <c:pt idx="109">
                  <c:v>667.98909134844564</c:v>
                </c:pt>
                <c:pt idx="110">
                  <c:v>683.03767541820889</c:v>
                </c:pt>
                <c:pt idx="111">
                  <c:v>698.07945871741515</c:v>
                </c:pt>
                <c:pt idx="112">
                  <c:v>713.11460832459431</c:v>
                </c:pt>
                <c:pt idx="113">
                  <c:v>728.14328370381338</c:v>
                </c:pt>
                <c:pt idx="114">
                  <c:v>652.44578851123561</c:v>
                </c:pt>
                <c:pt idx="115">
                  <c:v>668.18008790561294</c:v>
                </c:pt>
                <c:pt idx="116">
                  <c:v>683.90677060609835</c:v>
                </c:pt>
                <c:pt idx="117">
                  <c:v>699.6260363043807</c:v>
                </c:pt>
                <c:pt idx="118">
                  <c:v>715.33807499405748</c:v>
                </c:pt>
                <c:pt idx="119">
                  <c:v>731.0430676486676</c:v>
                </c:pt>
                <c:pt idx="120">
                  <c:v>746.74118683847485</c:v>
                </c:pt>
                <c:pt idx="121">
                  <c:v>762.4325972927362</c:v>
                </c:pt>
                <c:pt idx="122">
                  <c:v>778.1174564133172</c:v>
                </c:pt>
                <c:pt idx="123">
                  <c:v>793.79591474478093</c:v>
                </c:pt>
                <c:pt idx="124">
                  <c:v>809.46811640543945</c:v>
                </c:pt>
                <c:pt idx="125">
                  <c:v>825.1341994833233</c:v>
                </c:pt>
                <c:pt idx="126">
                  <c:v>700.82361840278247</c:v>
                </c:pt>
                <c:pt idx="127">
                  <c:v>716.40174110701753</c:v>
                </c:pt>
                <c:pt idx="128">
                  <c:v>731.97294867434528</c:v>
                </c:pt>
                <c:pt idx="129">
                  <c:v>747.5374088144863</c:v>
                </c:pt>
                <c:pt idx="130">
                  <c:v>763.09528168987356</c:v>
                </c:pt>
                <c:pt idx="131">
                  <c:v>778.64672040539892</c:v>
                </c:pt>
                <c:pt idx="132">
                  <c:v>794.19187145703472</c:v>
                </c:pt>
                <c:pt idx="133">
                  <c:v>809.7308751435379</c:v>
                </c:pt>
                <c:pt idx="134">
                  <c:v>825.26386594494079</c:v>
                </c:pt>
                <c:pt idx="135">
                  <c:v>840.79097287109118</c:v>
                </c:pt>
                <c:pt idx="136">
                  <c:v>856.31231978313633</c:v>
                </c:pt>
                <c:pt idx="137">
                  <c:v>871.82802569050955</c:v>
                </c:pt>
                <c:pt idx="138">
                  <c:v>737.96160708994012</c:v>
                </c:pt>
                <c:pt idx="139">
                  <c:v>753.15378309162816</c:v>
                </c:pt>
                <c:pt idx="140">
                  <c:v>768.33973462979031</c:v>
                </c:pt>
                <c:pt idx="141">
                  <c:v>783.51960195730999</c:v>
                </c:pt>
                <c:pt idx="142">
                  <c:v>798.69351945423125</c:v>
                </c:pt>
                <c:pt idx="143">
                  <c:v>813.86161598286424</c:v>
                </c:pt>
                <c:pt idx="144">
                  <c:v>829.0240152150667</c:v>
                </c:pt>
                <c:pt idx="145">
                  <c:v>844.18083593436143</c:v>
                </c:pt>
                <c:pt idx="146">
                  <c:v>859.33219231525038</c:v>
                </c:pt>
                <c:pt idx="147">
                  <c:v>874.47819418182735</c:v>
                </c:pt>
                <c:pt idx="148">
                  <c:v>889.61894724756019</c:v>
                </c:pt>
                <c:pt idx="149">
                  <c:v>904.75455333791888</c:v>
                </c:pt>
                <c:pt idx="150">
                  <c:v>560.60388643705471</c:v>
                </c:pt>
                <c:pt idx="151">
                  <c:v>569.85684147840027</c:v>
                </c:pt>
                <c:pt idx="152">
                  <c:v>579.10665782811884</c:v>
                </c:pt>
                <c:pt idx="153">
                  <c:v>588.35339268743303</c:v>
                </c:pt>
                <c:pt idx="154">
                  <c:v>386.42245421944841</c:v>
                </c:pt>
                <c:pt idx="155">
                  <c:v>392.0509598160254</c:v>
                </c:pt>
                <c:pt idx="156">
                  <c:v>397.67771289424007</c:v>
                </c:pt>
                <c:pt idx="157">
                  <c:v>403.30274177339675</c:v>
                </c:pt>
                <c:pt idx="158">
                  <c:v>270.30583780423962</c:v>
                </c:pt>
                <c:pt idx="159">
                  <c:v>273.8139508670659</c:v>
                </c:pt>
                <c:pt idx="160">
                  <c:v>277.32105369395441</c:v>
                </c:pt>
                <c:pt idx="161">
                  <c:v>280.82716088922007</c:v>
                </c:pt>
                <c:pt idx="162">
                  <c:v>1.2008003607432866E-11</c:v>
                </c:pt>
                <c:pt idx="163">
                  <c:v>1.2008003607432866E-11</c:v>
                </c:pt>
                <c:pt idx="164">
                  <c:v>1.2008003607432866E-11</c:v>
                </c:pt>
                <c:pt idx="165">
                  <c:v>1.2008003607432866E-11</c:v>
                </c:pt>
                <c:pt idx="166">
                  <c:v>1.2008003607432866E-11</c:v>
                </c:pt>
                <c:pt idx="167">
                  <c:v>1.2008003607432866E-11</c:v>
                </c:pt>
                <c:pt idx="168">
                  <c:v>1.2008003607432866E-11</c:v>
                </c:pt>
                <c:pt idx="169">
                  <c:v>1.2008003607432866E-11</c:v>
                </c:pt>
                <c:pt idx="170">
                  <c:v>1.2008003607432866E-11</c:v>
                </c:pt>
                <c:pt idx="171">
                  <c:v>1.2008003607432866E-11</c:v>
                </c:pt>
                <c:pt idx="172">
                  <c:v>1.2008003607432866E-11</c:v>
                </c:pt>
                <c:pt idx="173">
                  <c:v>1.2008003607432866E-11</c:v>
                </c:pt>
                <c:pt idx="174">
                  <c:v>1.2008003607432866E-11</c:v>
                </c:pt>
                <c:pt idx="175">
                  <c:v>1.2008003607432866E-11</c:v>
                </c:pt>
                <c:pt idx="176">
                  <c:v>1.2008003607432866E-11</c:v>
                </c:pt>
                <c:pt idx="177">
                  <c:v>1.2008003607432866E-11</c:v>
                </c:pt>
                <c:pt idx="178">
                  <c:v>1.2008003607432866E-11</c:v>
                </c:pt>
                <c:pt idx="179">
                  <c:v>1.2008003607432866E-11</c:v>
                </c:pt>
                <c:pt idx="180">
                  <c:v>1.2008003607432866E-11</c:v>
                </c:pt>
                <c:pt idx="181">
                  <c:v>1.2008003607432866E-11</c:v>
                </c:pt>
                <c:pt idx="182">
                  <c:v>1.2008003607432866E-11</c:v>
                </c:pt>
                <c:pt idx="183">
                  <c:v>1.2008003607432866E-11</c:v>
                </c:pt>
                <c:pt idx="184">
                  <c:v>1.2008003607432866E-11</c:v>
                </c:pt>
                <c:pt idx="185">
                  <c:v>1.2008003607432866E-11</c:v>
                </c:pt>
                <c:pt idx="186">
                  <c:v>1.2008003607432866E-11</c:v>
                </c:pt>
                <c:pt idx="187">
                  <c:v>1.2008003607432866E-11</c:v>
                </c:pt>
                <c:pt idx="188">
                  <c:v>1.2008003607432866E-11</c:v>
                </c:pt>
                <c:pt idx="189">
                  <c:v>1.2008003607432866E-11</c:v>
                </c:pt>
                <c:pt idx="190">
                  <c:v>1.2008003607432866E-11</c:v>
                </c:pt>
                <c:pt idx="191">
                  <c:v>1.2008003607432866E-11</c:v>
                </c:pt>
                <c:pt idx="192">
                  <c:v>1.2008003607432866E-11</c:v>
                </c:pt>
                <c:pt idx="193">
                  <c:v>1.2008003607432866E-11</c:v>
                </c:pt>
                <c:pt idx="194">
                  <c:v>1.2008003607432866E-11</c:v>
                </c:pt>
                <c:pt idx="195">
                  <c:v>1.2008003607432866E-11</c:v>
                </c:pt>
                <c:pt idx="196">
                  <c:v>1.2008003607432866E-11</c:v>
                </c:pt>
                <c:pt idx="197">
                  <c:v>1.2008003607432866E-11</c:v>
                </c:pt>
                <c:pt idx="198">
                  <c:v>1.2008003607432866E-11</c:v>
                </c:pt>
                <c:pt idx="199">
                  <c:v>1.2008003607432866E-11</c:v>
                </c:pt>
                <c:pt idx="200">
                  <c:v>1.2008003607432866E-11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2.4666401082077529</c:v>
                </c:pt>
                <c:pt idx="2">
                  <c:v>3.038131488248808</c:v>
                </c:pt>
                <c:pt idx="3">
                  <c:v>3.7425387547668367</c:v>
                </c:pt>
                <c:pt idx="4">
                  <c:v>4.6108866206039663</c:v>
                </c:pt>
                <c:pt idx="5">
                  <c:v>5.6814658439892973</c:v>
                </c:pt>
                <c:pt idx="6">
                  <c:v>7.0015402599437531</c:v>
                </c:pt>
                <c:pt idx="7">
                  <c:v>8.6294560019543258</c:v>
                </c:pt>
                <c:pt idx="8">
                  <c:v>10.637247922670763</c:v>
                </c:pt>
                <c:pt idx="9">
                  <c:v>13.113860719985803</c:v>
                </c:pt>
                <c:pt idx="10">
                  <c:v>16.169130111381239</c:v>
                </c:pt>
                <c:pt idx="11">
                  <c:v>19.938703844324056</c:v>
                </c:pt>
                <c:pt idx="12">
                  <c:v>24.590124955629083</c:v>
                </c:pt>
                <c:pt idx="13">
                  <c:v>30.33035244444093</c:v>
                </c:pt>
                <c:pt idx="14">
                  <c:v>37.415059812099081</c:v>
                </c:pt>
                <c:pt idx="15">
                  <c:v>46.160132732540724</c:v>
                </c:pt>
                <c:pt idx="16">
                  <c:v>53.544050503850364</c:v>
                </c:pt>
                <c:pt idx="17">
                  <c:v>64.237401598357238</c:v>
                </c:pt>
                <c:pt idx="18">
                  <c:v>74.884579280274849</c:v>
                </c:pt>
                <c:pt idx="19">
                  <c:v>85.493098566478125</c:v>
                </c:pt>
                <c:pt idx="20">
                  <c:v>96.068445641261476</c:v>
                </c:pt>
                <c:pt idx="21">
                  <c:v>80.193291162399461</c:v>
                </c:pt>
                <c:pt idx="22">
                  <c:v>91.886046932171325</c:v>
                </c:pt>
                <c:pt idx="23">
                  <c:v>103.54156485887916</c:v>
                </c:pt>
                <c:pt idx="24">
                  <c:v>115.16463575201853</c:v>
                </c:pt>
                <c:pt idx="25">
                  <c:v>126.75900094885519</c:v>
                </c:pt>
                <c:pt idx="26">
                  <c:v>109.79548104191571</c:v>
                </c:pt>
                <c:pt idx="27">
                  <c:v>122.38693696465789</c:v>
                </c:pt>
                <c:pt idx="28">
                  <c:v>134.94687886983328</c:v>
                </c:pt>
                <c:pt idx="29">
                  <c:v>147.47865649814872</c:v>
                </c:pt>
                <c:pt idx="30">
                  <c:v>159.98500254922158</c:v>
                </c:pt>
                <c:pt idx="31">
                  <c:v>172.46818680341792</c:v>
                </c:pt>
                <c:pt idx="32">
                  <c:v>145.84557228360381</c:v>
                </c:pt>
                <c:pt idx="33">
                  <c:v>158.35509811111217</c:v>
                </c:pt>
                <c:pt idx="34">
                  <c:v>170.84118819614926</c:v>
                </c:pt>
                <c:pt idx="35">
                  <c:v>183.30579795772098</c:v>
                </c:pt>
                <c:pt idx="36">
                  <c:v>195.75059480584989</c:v>
                </c:pt>
                <c:pt idx="37">
                  <c:v>208.17701657982505</c:v>
                </c:pt>
                <c:pt idx="38">
                  <c:v>181.29426173871184</c:v>
                </c:pt>
                <c:pt idx="39">
                  <c:v>193.35586169716734</c:v>
                </c:pt>
                <c:pt idx="40">
                  <c:v>205.39996584148545</c:v>
                </c:pt>
                <c:pt idx="41">
                  <c:v>217.42774527281196</c:v>
                </c:pt>
                <c:pt idx="42">
                  <c:v>229.44023082304497</c:v>
                </c:pt>
                <c:pt idx="43">
                  <c:v>241.43833647949381</c:v>
                </c:pt>
                <c:pt idx="44">
                  <c:v>253.42287790323667</c:v>
                </c:pt>
                <c:pt idx="45">
                  <c:v>218.29453042918621</c:v>
                </c:pt>
                <c:pt idx="46">
                  <c:v>229.47870880055882</c:v>
                </c:pt>
                <c:pt idx="47">
                  <c:v>240.6504241738447</c:v>
                </c:pt>
                <c:pt idx="48">
                  <c:v>251.81033702718767</c:v>
                </c:pt>
                <c:pt idx="49">
                  <c:v>262.95904447060485</c:v>
                </c:pt>
                <c:pt idx="50">
                  <c:v>274.09708881265965</c:v>
                </c:pt>
                <c:pt idx="51">
                  <c:v>285.224964660598</c:v>
                </c:pt>
                <c:pt idx="52">
                  <c:v>296.34312485361016</c:v>
                </c:pt>
                <c:pt idx="53">
                  <c:v>254.90083615003348</c:v>
                </c:pt>
                <c:pt idx="54">
                  <c:v>264.97271844500727</c:v>
                </c:pt>
                <c:pt idx="55">
                  <c:v>275.03597041080951</c:v>
                </c:pt>
                <c:pt idx="56">
                  <c:v>285.09095256078473</c:v>
                </c:pt>
                <c:pt idx="57">
                  <c:v>295.13799788320961</c:v>
                </c:pt>
                <c:pt idx="58">
                  <c:v>305.17741482861635</c:v>
                </c:pt>
                <c:pt idx="59">
                  <c:v>315.2094898832018</c:v>
                </c:pt>
                <c:pt idx="60">
                  <c:v>325.23448979729528</c:v>
                </c:pt>
                <c:pt idx="61">
                  <c:v>284.19750247594328</c:v>
                </c:pt>
                <c:pt idx="62">
                  <c:v>293.4863491195228</c:v>
                </c:pt>
                <c:pt idx="63">
                  <c:v>302.76863479871071</c:v>
                </c:pt>
                <c:pt idx="64">
                  <c:v>312.04458917169069</c:v>
                </c:pt>
                <c:pt idx="65">
                  <c:v>321.31442711818204</c:v>
                </c:pt>
                <c:pt idx="66">
                  <c:v>330.57835009864004</c:v>
                </c:pt>
                <c:pt idx="67">
                  <c:v>339.83654735304776</c:v>
                </c:pt>
                <c:pt idx="68">
                  <c:v>349.08919696217669</c:v>
                </c:pt>
                <c:pt idx="69">
                  <c:v>358.33646679039742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3.3607023068976729</c:v>
                </c:pt>
                <c:pt idx="2">
                  <c:v>4.2547221455608728</c:v>
                </c:pt>
                <c:pt idx="3">
                  <c:v>5.3874913175360541</c:v>
                </c:pt>
                <c:pt idx="4">
                  <c:v>6.822999493748207</c:v>
                </c:pt>
                <c:pt idx="5">
                  <c:v>8.6424447671064257</c:v>
                </c:pt>
                <c:pt idx="6">
                  <c:v>10.948875863598902</c:v>
                </c:pt>
                <c:pt idx="7">
                  <c:v>13.873090242281457</c:v>
                </c:pt>
                <c:pt idx="8">
                  <c:v>17.581128737253849</c:v>
                </c:pt>
                <c:pt idx="9">
                  <c:v>22.283800014650385</c:v>
                </c:pt>
                <c:pt idx="10">
                  <c:v>28.248785974087401</c:v>
                </c:pt>
                <c:pt idx="11">
                  <c:v>37.044761351668747</c:v>
                </c:pt>
                <c:pt idx="12">
                  <c:v>45.783421279666953</c:v>
                </c:pt>
                <c:pt idx="13">
                  <c:v>54.477343172934816</c:v>
                </c:pt>
                <c:pt idx="14">
                  <c:v>63.134713140647797</c:v>
                </c:pt>
                <c:pt idx="15">
                  <c:v>71.761269961795847</c:v>
                </c:pt>
                <c:pt idx="16">
                  <c:v>83.617060344493396</c:v>
                </c:pt>
                <c:pt idx="17">
                  <c:v>95.430378362145419</c:v>
                </c:pt>
                <c:pt idx="18">
                  <c:v>107.20723543568683</c:v>
                </c:pt>
                <c:pt idx="19">
                  <c:v>118.9522086529156</c:v>
                </c:pt>
                <c:pt idx="20">
                  <c:v>130.66889437805216</c:v>
                </c:pt>
                <c:pt idx="21">
                  <c:v>99.850701125907904</c:v>
                </c:pt>
                <c:pt idx="22">
                  <c:v>111.61512570313761</c:v>
                </c:pt>
                <c:pt idx="23">
                  <c:v>123.3491121177467</c:v>
                </c:pt>
                <c:pt idx="24">
                  <c:v>135.05596788582679</c:v>
                </c:pt>
                <c:pt idx="25">
                  <c:v>146.73837885160424</c:v>
                </c:pt>
                <c:pt idx="26">
                  <c:v>130.66889437805222</c:v>
                </c:pt>
                <c:pt idx="27">
                  <c:v>142.36018960459288</c:v>
                </c:pt>
                <c:pt idx="28">
                  <c:v>154.02847557165751</c:v>
                </c:pt>
                <c:pt idx="29">
                  <c:v>165.67574259607389</c:v>
                </c:pt>
                <c:pt idx="30">
                  <c:v>177.30367784131445</c:v>
                </c:pt>
                <c:pt idx="31">
                  <c:v>158.68980415698181</c:v>
                </c:pt>
                <c:pt idx="32">
                  <c:v>169.16608298395553</c:v>
                </c:pt>
                <c:pt idx="33">
                  <c:v>179.62707610009167</c:v>
                </c:pt>
                <c:pt idx="34">
                  <c:v>190.07380002073512</c:v>
                </c:pt>
                <c:pt idx="35">
                  <c:v>200.50715025518218</c:v>
                </c:pt>
                <c:pt idx="36">
                  <c:v>181.65947157363226</c:v>
                </c:pt>
                <c:pt idx="37">
                  <c:v>191.81359784117478</c:v>
                </c:pt>
                <c:pt idx="38">
                  <c:v>201.95521485937351</c:v>
                </c:pt>
                <c:pt idx="39">
                  <c:v>212.08503993201165</c:v>
                </c:pt>
                <c:pt idx="40">
                  <c:v>222.20371616988226</c:v>
                </c:pt>
                <c:pt idx="41">
                  <c:v>202.53437324255785</c:v>
                </c:pt>
                <c:pt idx="42">
                  <c:v>211.79577397903063</c:v>
                </c:pt>
                <c:pt idx="43">
                  <c:v>221.04784133997921</c:v>
                </c:pt>
                <c:pt idx="44">
                  <c:v>230.2910214517143</c:v>
                </c:pt>
                <c:pt idx="45">
                  <c:v>239.52572166460229</c:v>
                </c:pt>
                <c:pt idx="46">
                  <c:v>220.75885097534115</c:v>
                </c:pt>
                <c:pt idx="47">
                  <c:v>229.42483959070205</c:v>
                </c:pt>
                <c:pt idx="48">
                  <c:v>238.08334323928753</c:v>
                </c:pt>
                <c:pt idx="49">
                  <c:v>246.73467280489569</c:v>
                </c:pt>
                <c:pt idx="50">
                  <c:v>255.37911556611792</c:v>
                </c:pt>
                <c:pt idx="51">
                  <c:v>236.9292971220211</c:v>
                </c:pt>
                <c:pt idx="52">
                  <c:v>244.42833642786528</c:v>
                </c:pt>
                <c:pt idx="53">
                  <c:v>251.9221473953688</c:v>
                </c:pt>
                <c:pt idx="54">
                  <c:v>259.41090767814842</c:v>
                </c:pt>
                <c:pt idx="55">
                  <c:v>266.89478382272017</c:v>
                </c:pt>
                <c:pt idx="56">
                  <c:v>249.61690536823653</c:v>
                </c:pt>
                <c:pt idx="57">
                  <c:v>256.81920545571325</c:v>
                </c:pt>
                <c:pt idx="58">
                  <c:v>264.01693774461648</c:v>
                </c:pt>
                <c:pt idx="59">
                  <c:v>271.21024448496547</c:v>
                </c:pt>
                <c:pt idx="60">
                  <c:v>278.39925975574312</c:v>
                </c:pt>
                <c:pt idx="61">
                  <c:v>261.71415155067552</c:v>
                </c:pt>
                <c:pt idx="62">
                  <c:v>268.04572597702128</c:v>
                </c:pt>
                <c:pt idx="63">
                  <c:v>274.37393226183292</c:v>
                </c:pt>
                <c:pt idx="64">
                  <c:v>280.69885915498259</c:v>
                </c:pt>
                <c:pt idx="65">
                  <c:v>287.02059107494546</c:v>
                </c:pt>
                <c:pt idx="66">
                  <c:v>271.49788662587986</c:v>
                </c:pt>
                <c:pt idx="67">
                  <c:v>277.53680025840237</c:v>
                </c:pt>
                <c:pt idx="68">
                  <c:v>283.5727648129357</c:v>
                </c:pt>
                <c:pt idx="69">
                  <c:v>289.60585200572694</c:v>
                </c:pt>
                <c:pt idx="70">
                  <c:v>295.63613031709252</c:v>
                </c:pt>
                <c:pt idx="71">
                  <c:v>280.41143241335362</c:v>
                </c:pt>
                <c:pt idx="72">
                  <c:v>285.29679456567902</c:v>
                </c:pt>
                <c:pt idx="73">
                  <c:v>290.18028419185146</c:v>
                </c:pt>
                <c:pt idx="74">
                  <c:v>295.06193730222367</c:v>
                </c:pt>
                <c:pt idx="75">
                  <c:v>299.94178861650352</c:v>
                </c:pt>
                <c:pt idx="76">
                  <c:v>287.30786792948942</c:v>
                </c:pt>
                <c:pt idx="77">
                  <c:v>291.90342847509879</c:v>
                </c:pt>
                <c:pt idx="78">
                  <c:v>296.49737320370468</c:v>
                </c:pt>
                <c:pt idx="79">
                  <c:v>301.08973072459509</c:v>
                </c:pt>
                <c:pt idx="80">
                  <c:v>305.68052870172897</c:v>
                </c:pt>
                <c:pt idx="81">
                  <c:v>293.91347640596678</c:v>
                </c:pt>
                <c:pt idx="82">
                  <c:v>297.93265411137128</c:v>
                </c:pt>
                <c:pt idx="83">
                  <c:v>301.95062331967574</c:v>
                </c:pt>
                <c:pt idx="84">
                  <c:v>305.96740240919087</c:v>
                </c:pt>
                <c:pt idx="85">
                  <c:v>309.98300923549431</c:v>
                </c:pt>
                <c:pt idx="86">
                  <c:v>299.65478781030816</c:v>
                </c:pt>
                <c:pt idx="87">
                  <c:v>303.67224474828663</c:v>
                </c:pt>
                <c:pt idx="88">
                  <c:v>307.68851928258727</c:v>
                </c:pt>
                <c:pt idx="89">
                  <c:v>311.70362905144191</c:v>
                </c:pt>
                <c:pt idx="90">
                  <c:v>315.71759120085159</c:v>
                </c:pt>
                <c:pt idx="91">
                  <c:v>305.39364900712383</c:v>
                </c:pt>
                <c:pt idx="92">
                  <c:v>309.4094222256216</c:v>
                </c:pt>
                <c:pt idx="93">
                  <c:v>313.42403808604359</c:v>
                </c:pt>
                <c:pt idx="94">
                  <c:v>317.43751352960925</c:v>
                </c:pt>
                <c:pt idx="95">
                  <c:v>321.44986503349952</c:v>
                </c:pt>
                <c:pt idx="96">
                  <c:v>309.98300923549442</c:v>
                </c:pt>
                <c:pt idx="97">
                  <c:v>314.2841639743362</c:v>
                </c:pt>
                <c:pt idx="98">
                  <c:v>318.58401365201161</c:v>
                </c:pt>
                <c:pt idx="99">
                  <c:v>322.88257839605905</c:v>
                </c:pt>
                <c:pt idx="100">
                  <c:v>327.17987775354362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8.1821294837969027</c:v>
                </c:pt>
                <c:pt idx="2">
                  <c:v>16.001665179882195</c:v>
                </c:pt>
                <c:pt idx="3">
                  <c:v>23.704101283606182</c:v>
                </c:pt>
                <c:pt idx="4">
                  <c:v>31.33435447399172</c:v>
                </c:pt>
                <c:pt idx="5">
                  <c:v>38.912782462438038</c:v>
                </c:pt>
                <c:pt idx="6">
                  <c:v>46.450998137485477</c:v>
                </c:pt>
                <c:pt idx="7">
                  <c:v>53.956487879357091</c:v>
                </c:pt>
                <c:pt idx="8">
                  <c:v>61.434466247440376</c:v>
                </c:pt>
                <c:pt idx="9">
                  <c:v>68.888766009219609</c:v>
                </c:pt>
                <c:pt idx="10">
                  <c:v>76.322318239448407</c:v>
                </c:pt>
                <c:pt idx="11">
                  <c:v>83.73743387523713</c:v>
                </c:pt>
                <c:pt idx="12">
                  <c:v>91.135979583721522</c:v>
                </c:pt>
                <c:pt idx="13">
                  <c:v>98.519493179975257</c:v>
                </c:pt>
                <c:pt idx="14">
                  <c:v>105.88926245247744</c:v>
                </c:pt>
                <c:pt idx="15">
                  <c:v>113.24638079532888</c:v>
                </c:pt>
                <c:pt idx="16">
                  <c:v>120.59178756897008</c:v>
                </c:pt>
                <c:pt idx="17">
                  <c:v>127.92629807718343</c:v>
                </c:pt>
                <c:pt idx="18">
                  <c:v>135.2506262871764</c:v>
                </c:pt>
                <c:pt idx="19">
                  <c:v>142.56540235600957</c:v>
                </c:pt>
                <c:pt idx="20">
                  <c:v>149.87118636198909</c:v>
                </c:pt>
                <c:pt idx="21">
                  <c:v>157.16847921173658</c:v>
                </c:pt>
                <c:pt idx="22">
                  <c:v>164.45773141085769</c:v>
                </c:pt>
                <c:pt idx="23">
                  <c:v>171.73935019486649</c:v>
                </c:pt>
                <c:pt idx="24">
                  <c:v>179.01370538495533</c:v>
                </c:pt>
                <c:pt idx="25">
                  <c:v>186.28113424030212</c:v>
                </c:pt>
                <c:pt idx="26">
                  <c:v>193.54194551215505</c:v>
                </c:pt>
                <c:pt idx="27">
                  <c:v>200.7964228566681</c:v>
                </c:pt>
                <c:pt idx="28">
                  <c:v>208.0448277279188</c:v>
                </c:pt>
                <c:pt idx="29">
                  <c:v>215.28740184602262</c:v>
                </c:pt>
                <c:pt idx="30">
                  <c:v>222.52436931525537</c:v>
                </c:pt>
                <c:pt idx="31">
                  <c:v>229.75593845182368</c:v>
                </c:pt>
                <c:pt idx="32">
                  <c:v>236.98230336917092</c:v>
                </c:pt>
                <c:pt idx="33">
                  <c:v>244.20364535955198</c:v>
                </c:pt>
                <c:pt idx="34">
                  <c:v>251.42013410344009</c:v>
                </c:pt>
                <c:pt idx="35">
                  <c:v>258.63192873265098</c:v>
                </c:pt>
                <c:pt idx="36">
                  <c:v>265.83917876855406</c:v>
                </c:pt>
                <c:pt idx="37">
                  <c:v>273.04202495310557</c:v>
                </c:pt>
                <c:pt idx="38">
                  <c:v>280.24059998751426</c:v>
                </c:pt>
                <c:pt idx="39">
                  <c:v>287.43502919096625</c:v>
                </c:pt>
                <c:pt idx="40">
                  <c:v>294.62543108988598</c:v>
                </c:pt>
                <c:pt idx="41">
                  <c:v>301.81191794661373</c:v>
                </c:pt>
                <c:pt idx="42">
                  <c:v>308.99459623505135</c:v>
                </c:pt>
                <c:pt idx="43">
                  <c:v>316.17356706973356</c:v>
                </c:pt>
                <c:pt idx="44">
                  <c:v>323.34892659386003</c:v>
                </c:pt>
                <c:pt idx="45">
                  <c:v>330.52076633105781</c:v>
                </c:pt>
                <c:pt idx="46">
                  <c:v>337.68917350499459</c:v>
                </c:pt>
                <c:pt idx="47">
                  <c:v>344.85423133041496</c:v>
                </c:pt>
                <c:pt idx="48">
                  <c:v>352.01601927870962</c:v>
                </c:pt>
                <c:pt idx="49">
                  <c:v>359.17461332072804</c:v>
                </c:pt>
                <c:pt idx="50">
                  <c:v>366.33008614921073</c:v>
                </c:pt>
                <c:pt idx="51">
                  <c:v>373.48250738292387</c:v>
                </c:pt>
                <c:pt idx="52">
                  <c:v>380.63194375433119</c:v>
                </c:pt>
                <c:pt idx="53">
                  <c:v>387.77845928242181</c:v>
                </c:pt>
                <c:pt idx="54">
                  <c:v>394.92211543212437</c:v>
                </c:pt>
                <c:pt idx="55">
                  <c:v>402.06297126158034</c:v>
                </c:pt>
                <c:pt idx="56">
                  <c:v>409.20108355840267</c:v>
                </c:pt>
                <c:pt idx="57">
                  <c:v>416.33650696592531</c:v>
                </c:pt>
                <c:pt idx="58">
                  <c:v>423.46929410034483</c:v>
                </c:pt>
                <c:pt idx="59">
                  <c:v>430.599495659551</c:v>
                </c:pt>
                <c:pt idx="60">
                  <c:v>437.7271605243734</c:v>
                </c:pt>
                <c:pt idx="61">
                  <c:v>297.25638614083783</c:v>
                </c:pt>
                <c:pt idx="62">
                  <c:v>311.99167955097113</c:v>
                </c:pt>
                <c:pt idx="63">
                  <c:v>326.71153725965706</c:v>
                </c:pt>
                <c:pt idx="64">
                  <c:v>341.41675265773847</c:v>
                </c:pt>
                <c:pt idx="65">
                  <c:v>356.10804520797319</c:v>
                </c:pt>
                <c:pt idx="66">
                  <c:v>370.78607016346979</c:v>
                </c:pt>
                <c:pt idx="67">
                  <c:v>385.45142666649571</c:v>
                </c:pt>
                <c:pt idx="68">
                  <c:v>400.10466455016996</c:v>
                </c:pt>
                <c:pt idx="69">
                  <c:v>414.74629009164209</c:v>
                </c:pt>
                <c:pt idx="70">
                  <c:v>339.2639439109351</c:v>
                </c:pt>
                <c:pt idx="71">
                  <c:v>353.63853716568065</c:v>
                </c:pt>
                <c:pt idx="72">
                  <c:v>368.00033107455192</c:v>
                </c:pt>
                <c:pt idx="73">
                  <c:v>382.34989548615289</c:v>
                </c:pt>
                <c:pt idx="74">
                  <c:v>396.68775398688541</c:v>
                </c:pt>
                <c:pt idx="75">
                  <c:v>411.01438922808819</c:v>
                </c:pt>
                <c:pt idx="76">
                  <c:v>425.33024747162807</c:v>
                </c:pt>
                <c:pt idx="77">
                  <c:v>439.6357424915825</c:v>
                </c:pt>
                <c:pt idx="78">
                  <c:v>381.85950820727481</c:v>
                </c:pt>
                <c:pt idx="79">
                  <c:v>396.19923463130857</c:v>
                </c:pt>
                <c:pt idx="80">
                  <c:v>410.52771965204397</c:v>
                </c:pt>
                <c:pt idx="81">
                  <c:v>424.84541084070173</c:v>
                </c:pt>
                <c:pt idx="82">
                  <c:v>439.15272314399567</c:v>
                </c:pt>
                <c:pt idx="83">
                  <c:v>453.45004226985139</c:v>
                </c:pt>
                <c:pt idx="84">
                  <c:v>467.73772762389626</c:v>
                </c:pt>
                <c:pt idx="85">
                  <c:v>482.01611486850567</c:v>
                </c:pt>
                <c:pt idx="86">
                  <c:v>496.28551816288632</c:v>
                </c:pt>
                <c:pt idx="87">
                  <c:v>431.08814036505129</c:v>
                </c:pt>
                <c:pt idx="88">
                  <c:v>445.42402446650129</c:v>
                </c:pt>
                <c:pt idx="89">
                  <c:v>459.75003066924114</c:v>
                </c:pt>
                <c:pt idx="90">
                  <c:v>474.06651006326803</c:v>
                </c:pt>
                <c:pt idx="91">
                  <c:v>488.37379080858153</c:v>
                </c:pt>
                <c:pt idx="92">
                  <c:v>502.67218027465498</c:v>
                </c:pt>
                <c:pt idx="93">
                  <c:v>516.96196692386172</c:v>
                </c:pt>
                <c:pt idx="94">
                  <c:v>531.24342197586907</c:v>
                </c:pt>
                <c:pt idx="95">
                  <c:v>545.5168008837951</c:v>
                </c:pt>
                <c:pt idx="96">
                  <c:v>470.63178237368783</c:v>
                </c:pt>
                <c:pt idx="97">
                  <c:v>484.97886153712358</c:v>
                </c:pt>
                <c:pt idx="98">
                  <c:v>499.31693103642039</c:v>
                </c:pt>
                <c:pt idx="99">
                  <c:v>513.6462859559382</c:v>
                </c:pt>
                <c:pt idx="100">
                  <c:v>527.96720357842025</c:v>
                </c:pt>
                <c:pt idx="101">
                  <c:v>542.2799449227025</c:v>
                </c:pt>
                <c:pt idx="102">
                  <c:v>556.5847561106857</c:v>
                </c:pt>
                <c:pt idx="103">
                  <c:v>570.88186958651568</c:v>
                </c:pt>
                <c:pt idx="104">
                  <c:v>585.17150520732696</c:v>
                </c:pt>
                <c:pt idx="105">
                  <c:v>516.54166116669489</c:v>
                </c:pt>
                <c:pt idx="106">
                  <c:v>531.07915183325929</c:v>
                </c:pt>
                <c:pt idx="107">
                  <c:v>545.60827137870149</c:v>
                </c:pt>
                <c:pt idx="108">
                  <c:v>560.12927403267713</c:v>
                </c:pt>
                <c:pt idx="109">
                  <c:v>574.64239977407976</c:v>
                </c:pt>
                <c:pt idx="110">
                  <c:v>589.14787547707567</c:v>
                </c:pt>
                <c:pt idx="111">
                  <c:v>603.64591593845182</c:v>
                </c:pt>
                <c:pt idx="112">
                  <c:v>618.13672480118373</c:v>
                </c:pt>
                <c:pt idx="113">
                  <c:v>632.62049538693771</c:v>
                </c:pt>
                <c:pt idx="114">
                  <c:v>559.63700802747883</c:v>
                </c:pt>
                <c:pt idx="115">
                  <c:v>574.40342813693735</c:v>
                </c:pt>
                <c:pt idx="116">
                  <c:v>589.16192526196869</c:v>
                </c:pt>
                <c:pt idx="117">
                  <c:v>603.91272573301706</c:v>
                </c:pt>
                <c:pt idx="118">
                  <c:v>618.65604392841703</c:v>
                </c:pt>
                <c:pt idx="119">
                  <c:v>633.39208318124645</c:v>
                </c:pt>
                <c:pt idx="120">
                  <c:v>648.12103659745299</c:v>
                </c:pt>
                <c:pt idx="121">
                  <c:v>662.84308779578248</c:v>
                </c:pt>
                <c:pt idx="122">
                  <c:v>677.55841157859902</c:v>
                </c:pt>
                <c:pt idx="123">
                  <c:v>596.09394413384234</c:v>
                </c:pt>
                <c:pt idx="124">
                  <c:v>611.0768269888905</c:v>
                </c:pt>
                <c:pt idx="125">
                  <c:v>626.05208981439876</c:v>
                </c:pt>
                <c:pt idx="126">
                  <c:v>641.01994045351421</c:v>
                </c:pt>
                <c:pt idx="127">
                  <c:v>655.98057625762533</c:v>
                </c:pt>
                <c:pt idx="128">
                  <c:v>670.93418484811787</c:v>
                </c:pt>
                <c:pt idx="129">
                  <c:v>685.88094480673408</c:v>
                </c:pt>
                <c:pt idx="130">
                  <c:v>700.82102630266911</c:v>
                </c:pt>
                <c:pt idx="131">
                  <c:v>715.75459166345024</c:v>
                </c:pt>
                <c:pt idx="132">
                  <c:v>730.68179589573367</c:v>
                </c:pt>
                <c:pt idx="133">
                  <c:v>643.78734431496343</c:v>
                </c:pt>
                <c:pt idx="134">
                  <c:v>659.21869688793583</c:v>
                </c:pt>
                <c:pt idx="135">
                  <c:v>674.642613546593</c:v>
                </c:pt>
                <c:pt idx="136">
                  <c:v>690.05928812247714</c:v>
                </c:pt>
                <c:pt idx="137">
                  <c:v>705.46890508651961</c:v>
                </c:pt>
                <c:pt idx="138">
                  <c:v>720.87164019988461</c:v>
                </c:pt>
                <c:pt idx="139">
                  <c:v>736.26766110633343</c:v>
                </c:pt>
                <c:pt idx="140">
                  <c:v>751.65712787251152</c:v>
                </c:pt>
                <c:pt idx="141">
                  <c:v>767.04019348172062</c:v>
                </c:pt>
                <c:pt idx="142">
                  <c:v>782.41700428606043</c:v>
                </c:pt>
                <c:pt idx="143">
                  <c:v>797.78770042120721</c:v>
                </c:pt>
                <c:pt idx="144">
                  <c:v>813.15241618759967</c:v>
                </c:pt>
                <c:pt idx="145">
                  <c:v>701.12586468045549</c:v>
                </c:pt>
                <c:pt idx="146">
                  <c:v>716.91183460933723</c:v>
                </c:pt>
                <c:pt idx="147">
                  <c:v>732.6907092273882</c:v>
                </c:pt>
                <c:pt idx="148">
                  <c:v>748.46266273527215</c:v>
                </c:pt>
                <c:pt idx="149">
                  <c:v>764.22786139968741</c:v>
                </c:pt>
                <c:pt idx="150">
                  <c:v>779.98646407428487</c:v>
                </c:pt>
                <c:pt idx="151">
                  <c:v>795.73862267633888</c:v>
                </c:pt>
                <c:pt idx="152">
                  <c:v>811.48448262374859</c:v>
                </c:pt>
                <c:pt idx="153">
                  <c:v>827.22418323639067</c:v>
                </c:pt>
                <c:pt idx="154">
                  <c:v>842.95785810536938</c:v>
                </c:pt>
                <c:pt idx="155">
                  <c:v>858.68563543329401</c:v>
                </c:pt>
                <c:pt idx="156">
                  <c:v>874.40763834835695</c:v>
                </c:pt>
                <c:pt idx="157">
                  <c:v>752.95370834201412</c:v>
                </c:pt>
                <c:pt idx="158">
                  <c:v>769.05062066747621</c:v>
                </c:pt>
                <c:pt idx="159">
                  <c:v>785.14070399388891</c:v>
                </c:pt>
                <c:pt idx="160">
                  <c:v>801.22411785453767</c:v>
                </c:pt>
                <c:pt idx="161">
                  <c:v>817.30101486188005</c:v>
                </c:pt>
                <c:pt idx="162">
                  <c:v>833.37154114079146</c:v>
                </c:pt>
                <c:pt idx="163">
                  <c:v>849.43583672669149</c:v>
                </c:pt>
                <c:pt idx="164">
                  <c:v>865.49403593202032</c:v>
                </c:pt>
                <c:pt idx="165">
                  <c:v>881.54626768413198</c:v>
                </c:pt>
                <c:pt idx="166">
                  <c:v>897.59265583732576</c:v>
                </c:pt>
                <c:pt idx="167">
                  <c:v>913.63331946142853</c:v>
                </c:pt>
                <c:pt idx="168">
                  <c:v>929.66837310908465</c:v>
                </c:pt>
                <c:pt idx="169">
                  <c:v>796.50136678191245</c:v>
                </c:pt>
                <c:pt idx="170">
                  <c:v>812.60109850689844</c:v>
                </c:pt>
                <c:pt idx="171">
                  <c:v>828.69440071047518</c:v>
                </c:pt>
                <c:pt idx="172">
                  <c:v>844.78141572009554</c:v>
                </c:pt>
                <c:pt idx="173">
                  <c:v>860.86228000621247</c:v>
                </c:pt>
                <c:pt idx="174">
                  <c:v>876.93712453043827</c:v>
                </c:pt>
                <c:pt idx="175">
                  <c:v>893.00607506687686</c:v>
                </c:pt>
                <c:pt idx="176">
                  <c:v>909.0692524991556</c:v>
                </c:pt>
                <c:pt idx="177">
                  <c:v>925.12677309539038</c:v>
                </c:pt>
                <c:pt idx="178">
                  <c:v>941.17874876309509</c:v>
                </c:pt>
                <c:pt idx="179">
                  <c:v>957.22528728581744</c:v>
                </c:pt>
                <c:pt idx="180">
                  <c:v>973.26649254310041</c:v>
                </c:pt>
                <c:pt idx="181">
                  <c:v>615.45986536459986</c:v>
                </c:pt>
                <c:pt idx="182">
                  <c:v>625.55955995146212</c:v>
                </c:pt>
                <c:pt idx="183">
                  <c:v>635.65587985403749</c:v>
                </c:pt>
                <c:pt idx="184">
                  <c:v>645.7488862185977</c:v>
                </c:pt>
                <c:pt idx="185">
                  <c:v>438.58074281299741</c:v>
                </c:pt>
                <c:pt idx="186">
                  <c:v>445.11662895905619</c:v>
                </c:pt>
                <c:pt idx="187">
                  <c:v>451.65045994096386</c:v>
                </c:pt>
                <c:pt idx="188">
                  <c:v>458.18226970346444</c:v>
                </c:pt>
                <c:pt idx="189">
                  <c:v>308.84358546331816</c:v>
                </c:pt>
                <c:pt idx="190">
                  <c:v>313.05987668341305</c:v>
                </c:pt>
                <c:pt idx="191">
                  <c:v>317.27490843579983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8" zoomScaleNormal="100" workbookViewId="0">
      <selection activeCell="E28" sqref="E28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4.87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0.14000000000000001</v>
      </c>
      <c r="D9" s="33">
        <f t="shared" ref="D9:D18" si="0">C9*$C$5</f>
        <v>0.68180000000000007</v>
      </c>
      <c r="E9" s="34">
        <v>191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0.14000000000000001</v>
      </c>
      <c r="D10" s="33">
        <f t="shared" si="0"/>
        <v>0.68180000000000007</v>
      </c>
      <c r="E10" s="34">
        <v>165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165</v>
      </c>
      <c r="C11" s="32">
        <v>0.19</v>
      </c>
      <c r="D11" s="33">
        <f t="shared" si="0"/>
        <v>0.92530000000000001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 t="s">
        <v>23</v>
      </c>
      <c r="C12" s="32">
        <v>0.19</v>
      </c>
      <c r="D12" s="33">
        <f t="shared" si="0"/>
        <v>0.92530000000000001</v>
      </c>
      <c r="E12" s="34">
        <v>161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24</v>
      </c>
      <c r="B13" s="31" t="s">
        <v>184</v>
      </c>
      <c r="C13" s="32">
        <v>0.04</v>
      </c>
      <c r="D13" s="33">
        <f t="shared" si="0"/>
        <v>0.1948</v>
      </c>
      <c r="E13" s="34">
        <v>69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26</v>
      </c>
      <c r="B14" s="31" t="s">
        <v>136</v>
      </c>
      <c r="C14" s="32">
        <v>0.15</v>
      </c>
      <c r="D14" s="33">
        <f t="shared" si="0"/>
        <v>0.73050000000000004</v>
      </c>
      <c r="E14" s="34">
        <v>100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27</v>
      </c>
      <c r="B15" s="31" t="s">
        <v>147</v>
      </c>
      <c r="C15" s="32">
        <v>0.15</v>
      </c>
      <c r="D15" s="33">
        <f t="shared" si="0"/>
        <v>0.73050000000000004</v>
      </c>
      <c r="E15" s="34">
        <v>191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28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29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30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31</v>
      </c>
      <c r="C19" s="37">
        <f>SUM(C9:C18)</f>
        <v>1</v>
      </c>
      <c r="D19" s="38">
        <f>SUM(D9:D18)</f>
        <v>4.87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33</v>
      </c>
      <c r="B24" s="42" t="s">
        <v>34</v>
      </c>
      <c r="C24" s="43">
        <v>0</v>
      </c>
      <c r="D24" s="44" t="s">
        <v>35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36</v>
      </c>
      <c r="B25" s="42" t="s">
        <v>37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38</v>
      </c>
      <c r="B26" s="42" t="s">
        <v>39</v>
      </c>
      <c r="C26" s="43">
        <v>0.05</v>
      </c>
      <c r="D26" s="44" t="s">
        <v>40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41</v>
      </c>
      <c r="B27" s="42" t="s">
        <v>42</v>
      </c>
      <c r="C27" s="43">
        <v>0</v>
      </c>
      <c r="D27" s="44" t="s">
        <v>43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44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Chêne pubescent</v>
      </c>
      <c r="D32" s="229" t="s">
        <v>45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46</v>
      </c>
      <c r="C34" s="258" t="s">
        <v>47</v>
      </c>
      <c r="D34" s="258"/>
      <c r="E34" s="259" t="s">
        <v>48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49</v>
      </c>
      <c r="B35" s="36" t="s">
        <v>50</v>
      </c>
      <c r="C35" s="48" t="s">
        <v>51</v>
      </c>
      <c r="D35" s="48" t="s">
        <v>52</v>
      </c>
      <c r="E35" s="36" t="s">
        <v>53</v>
      </c>
      <c r="F35" s="36" t="s">
        <v>54</v>
      </c>
      <c r="G35" s="36" t="s">
        <v>55</v>
      </c>
      <c r="H35" s="36" t="s">
        <v>56</v>
      </c>
      <c r="I35" s="48" t="s">
        <v>57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60</v>
      </c>
      <c r="B36" s="60">
        <v>201.62</v>
      </c>
      <c r="C36" s="60">
        <v>1</v>
      </c>
      <c r="D36" s="60">
        <v>72.87</v>
      </c>
      <c r="E36" s="51">
        <v>0</v>
      </c>
      <c r="F36" s="51">
        <v>0.8</v>
      </c>
      <c r="G36" s="51">
        <v>0.2</v>
      </c>
      <c r="H36" s="51">
        <v>0</v>
      </c>
      <c r="I36" s="49">
        <f>IFERROR(B36/A36,"")</f>
        <v>3.3603333333333336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69</v>
      </c>
      <c r="B37" s="60">
        <v>190.79</v>
      </c>
      <c r="C37" s="60">
        <v>2</v>
      </c>
      <c r="D37" s="60">
        <v>42.22</v>
      </c>
      <c r="E37" s="51">
        <v>0</v>
      </c>
      <c r="F37" s="51">
        <v>0.8</v>
      </c>
      <c r="G37" s="51">
        <v>0.2</v>
      </c>
      <c r="H37" s="51">
        <v>0</v>
      </c>
      <c r="I37" s="53">
        <f t="shared" ref="I37:I55" si="1">IF(A37&lt;&gt;0,(B37-(B36-D36))/(A37-A36),"")</f>
        <v>6.8933333333333326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77</v>
      </c>
      <c r="B38" s="60">
        <v>202.52</v>
      </c>
      <c r="C38" s="60">
        <v>3</v>
      </c>
      <c r="D38" s="60">
        <v>33.950000000000017</v>
      </c>
      <c r="E38" s="51">
        <v>0</v>
      </c>
      <c r="F38" s="51">
        <v>0.8</v>
      </c>
      <c r="G38" s="51">
        <v>0.2</v>
      </c>
      <c r="H38" s="51">
        <v>0</v>
      </c>
      <c r="I38" s="53">
        <f t="shared" si="1"/>
        <v>6.7437500000000021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86</v>
      </c>
      <c r="B39" s="60">
        <v>229.27</v>
      </c>
      <c r="C39" s="60">
        <v>4</v>
      </c>
      <c r="D39" s="60">
        <v>37.54000000000002</v>
      </c>
      <c r="E39" s="51">
        <v>0.35</v>
      </c>
      <c r="F39" s="51">
        <v>0.2</v>
      </c>
      <c r="G39" s="51">
        <v>0.1</v>
      </c>
      <c r="H39" s="51">
        <v>0.35</v>
      </c>
      <c r="I39" s="49">
        <f t="shared" si="1"/>
        <v>6.7444444444444462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95</v>
      </c>
      <c r="B40" s="60">
        <v>252.57</v>
      </c>
      <c r="C40" s="60">
        <v>5</v>
      </c>
      <c r="D40" s="60">
        <v>42.199999999999989</v>
      </c>
      <c r="E40" s="51">
        <v>0.35</v>
      </c>
      <c r="F40" s="51">
        <v>0.2</v>
      </c>
      <c r="G40" s="51">
        <v>0.1</v>
      </c>
      <c r="H40" s="51">
        <v>0.35</v>
      </c>
      <c r="I40" s="49">
        <f t="shared" si="1"/>
        <v>6.7600000000000007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104</v>
      </c>
      <c r="B41" s="60">
        <v>271.37</v>
      </c>
      <c r="C41" s="60">
        <v>6</v>
      </c>
      <c r="D41" s="60">
        <v>39.400000000000006</v>
      </c>
      <c r="E41" s="51">
        <v>0.35</v>
      </c>
      <c r="F41" s="51">
        <v>0.2</v>
      </c>
      <c r="G41" s="51">
        <v>0.1</v>
      </c>
      <c r="H41" s="51">
        <v>0.35</v>
      </c>
      <c r="I41" s="53">
        <f t="shared" si="1"/>
        <v>6.7777777777777777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113</v>
      </c>
      <c r="B42" s="60">
        <v>293.89999999999998</v>
      </c>
      <c r="C42" s="60">
        <v>7</v>
      </c>
      <c r="D42" s="60">
        <v>41.639999999999986</v>
      </c>
      <c r="E42" s="51">
        <v>0.35</v>
      </c>
      <c r="F42" s="51">
        <v>0.2</v>
      </c>
      <c r="G42" s="51">
        <v>0.1</v>
      </c>
      <c r="H42" s="51">
        <v>0.35</v>
      </c>
      <c r="I42" s="53">
        <f t="shared" si="1"/>
        <v>6.8811111111111085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122</v>
      </c>
      <c r="B43" s="60">
        <v>315.27</v>
      </c>
      <c r="C43" s="60">
        <v>8</v>
      </c>
      <c r="D43" s="60">
        <v>45.829999999999984</v>
      </c>
      <c r="E43" s="51">
        <v>0.35</v>
      </c>
      <c r="F43" s="51">
        <v>0.2</v>
      </c>
      <c r="G43" s="51">
        <v>0.1</v>
      </c>
      <c r="H43" s="51">
        <v>0.35</v>
      </c>
      <c r="I43" s="49">
        <f t="shared" si="1"/>
        <v>7.0011111111111104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132</v>
      </c>
      <c r="B44" s="60">
        <v>340.57</v>
      </c>
      <c r="C44" s="60">
        <v>9</v>
      </c>
      <c r="D44" s="60">
        <v>48.699999999999989</v>
      </c>
      <c r="E44" s="51">
        <v>0.35</v>
      </c>
      <c r="F44" s="51">
        <v>0.2</v>
      </c>
      <c r="G44" s="51">
        <v>0.1</v>
      </c>
      <c r="H44" s="51">
        <v>0.35</v>
      </c>
      <c r="I44" s="49">
        <f t="shared" si="1"/>
        <v>7.1129999999999995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144</v>
      </c>
      <c r="B45" s="60">
        <v>379.92</v>
      </c>
      <c r="C45" s="60">
        <v>10</v>
      </c>
      <c r="D45" s="60">
        <v>60.949999999999989</v>
      </c>
      <c r="E45" s="51">
        <v>0.35</v>
      </c>
      <c r="F45" s="51">
        <v>0.2</v>
      </c>
      <c r="G45" s="51">
        <v>0.1</v>
      </c>
      <c r="H45" s="51">
        <v>0.35</v>
      </c>
      <c r="I45" s="49">
        <f t="shared" si="1"/>
        <v>7.3375000000000012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156</v>
      </c>
      <c r="B46" s="60">
        <v>409.2</v>
      </c>
      <c r="C46" s="60">
        <v>11</v>
      </c>
      <c r="D46" s="60">
        <v>65.69</v>
      </c>
      <c r="E46" s="51">
        <v>0.5</v>
      </c>
      <c r="F46" s="51">
        <v>0.2</v>
      </c>
      <c r="G46" s="51">
        <v>0</v>
      </c>
      <c r="H46" s="51">
        <v>0.3</v>
      </c>
      <c r="I46" s="49">
        <f t="shared" si="1"/>
        <v>7.5191666666666634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168</v>
      </c>
      <c r="B47" s="60">
        <v>435.65</v>
      </c>
      <c r="C47" s="60">
        <v>12</v>
      </c>
      <c r="D47" s="60">
        <v>71.37</v>
      </c>
      <c r="E47" s="51">
        <v>0.5</v>
      </c>
      <c r="F47" s="51">
        <v>0.2</v>
      </c>
      <c r="G47" s="51">
        <v>0</v>
      </c>
      <c r="H47" s="51">
        <v>0.3</v>
      </c>
      <c r="I47" s="49">
        <f t="shared" si="1"/>
        <v>7.6783333333333319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180</v>
      </c>
      <c r="B48" s="60">
        <v>456.54</v>
      </c>
      <c r="C48" s="60">
        <v>13</v>
      </c>
      <c r="D48" s="60">
        <v>175.59000000000003</v>
      </c>
      <c r="E48" s="51">
        <v>0.5</v>
      </c>
      <c r="F48" s="51">
        <v>0.2</v>
      </c>
      <c r="G48" s="51">
        <v>0</v>
      </c>
      <c r="H48" s="51">
        <v>0.3</v>
      </c>
      <c r="I48" s="49">
        <f t="shared" si="1"/>
        <v>7.688333333333337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184</v>
      </c>
      <c r="B49" s="60">
        <v>300.14</v>
      </c>
      <c r="C49" s="60">
        <v>14</v>
      </c>
      <c r="D49" s="60">
        <v>101.19999999999999</v>
      </c>
      <c r="E49" s="51">
        <v>0.5</v>
      </c>
      <c r="F49" s="51">
        <v>0.2</v>
      </c>
      <c r="G49" s="51">
        <v>0</v>
      </c>
      <c r="H49" s="51">
        <v>0.3</v>
      </c>
      <c r="I49" s="49">
        <f t="shared" si="1"/>
        <v>4.7974999999999994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188</v>
      </c>
      <c r="B50" s="50">
        <v>211.27</v>
      </c>
      <c r="C50" s="50">
        <v>15</v>
      </c>
      <c r="D50" s="50">
        <v>72.180000000000007</v>
      </c>
      <c r="E50" s="51">
        <v>0.5</v>
      </c>
      <c r="F50" s="51">
        <v>0.2</v>
      </c>
      <c r="G50" s="51">
        <v>0</v>
      </c>
      <c r="H50" s="51">
        <v>0.3</v>
      </c>
      <c r="I50" s="49">
        <f t="shared" si="1"/>
        <v>3.0825000000000031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191</v>
      </c>
      <c r="B51" s="50">
        <v>145.01</v>
      </c>
      <c r="C51" s="50">
        <v>16</v>
      </c>
      <c r="D51" s="50">
        <v>145.01</v>
      </c>
      <c r="E51" s="51">
        <v>0.45</v>
      </c>
      <c r="F51" s="51">
        <v>0.05</v>
      </c>
      <c r="G51" s="51">
        <v>0.05</v>
      </c>
      <c r="H51" s="51">
        <v>0.45</v>
      </c>
      <c r="I51" s="49">
        <f t="shared" si="1"/>
        <v>1.9733333333333292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Chêne sessile</v>
      </c>
      <c r="D58" s="229" t="s">
        <v>45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46</v>
      </c>
      <c r="C60" s="258" t="s">
        <v>47</v>
      </c>
      <c r="D60" s="258"/>
      <c r="E60" s="259" t="s">
        <v>48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49</v>
      </c>
      <c r="B61" s="36" t="s">
        <v>50</v>
      </c>
      <c r="C61" s="48" t="s">
        <v>51</v>
      </c>
      <c r="D61" s="48" t="s">
        <v>52</v>
      </c>
      <c r="E61" s="36" t="s">
        <v>53</v>
      </c>
      <c r="F61" s="36" t="s">
        <v>54</v>
      </c>
      <c r="G61" s="36" t="s">
        <v>55</v>
      </c>
      <c r="H61" s="36" t="s">
        <v>56</v>
      </c>
      <c r="I61" s="48" t="s">
        <v>57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44</v>
      </c>
      <c r="B62" s="60">
        <v>201.77</v>
      </c>
      <c r="C62" s="60">
        <v>1</v>
      </c>
      <c r="D62" s="60">
        <v>76.680000000000007</v>
      </c>
      <c r="E62" s="51">
        <v>0</v>
      </c>
      <c r="F62" s="51">
        <v>0.8</v>
      </c>
      <c r="G62" s="51">
        <v>0.2</v>
      </c>
      <c r="H62" s="51">
        <v>0</v>
      </c>
      <c r="I62" s="53">
        <f>IFERROR(B62/A62,"")</f>
        <v>4.5856818181818184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51</v>
      </c>
      <c r="B63" s="60">
        <v>192.85</v>
      </c>
      <c r="C63" s="60">
        <v>2</v>
      </c>
      <c r="D63" s="60">
        <v>48.769999999999982</v>
      </c>
      <c r="E63" s="51">
        <v>0</v>
      </c>
      <c r="F63" s="51">
        <v>0.8</v>
      </c>
      <c r="G63" s="51">
        <v>0.2</v>
      </c>
      <c r="H63" s="51">
        <v>0</v>
      </c>
      <c r="I63" s="49">
        <f>IF(A63&lt;&gt;0,(B63-(B62-D62))/(A63-A62),"")</f>
        <v>9.6799999999999979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59</v>
      </c>
      <c r="B64" s="60">
        <v>217.3</v>
      </c>
      <c r="C64" s="60">
        <v>3</v>
      </c>
      <c r="D64" s="60">
        <v>52.75</v>
      </c>
      <c r="E64" s="51">
        <v>0.35</v>
      </c>
      <c r="F64" s="51">
        <v>0.2</v>
      </c>
      <c r="G64" s="51">
        <v>0.1</v>
      </c>
      <c r="H64" s="51">
        <v>0.35</v>
      </c>
      <c r="I64" s="49">
        <f>IF(A64&lt;&gt;0,(B64-(B63-D63))/(A64-A63),"")</f>
        <v>9.1524999999999999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67</v>
      </c>
      <c r="B65" s="60">
        <v>233.08</v>
      </c>
      <c r="C65" s="60">
        <v>4</v>
      </c>
      <c r="D65" s="60">
        <v>44.170000000000016</v>
      </c>
      <c r="E65" s="51">
        <v>0.35</v>
      </c>
      <c r="F65" s="51">
        <v>0.2</v>
      </c>
      <c r="G65" s="51">
        <v>0.1</v>
      </c>
      <c r="H65" s="51">
        <v>0.35</v>
      </c>
      <c r="I65" s="49">
        <f>IF(A65&lt;&gt;0,(B65-(B64-D64))/(A65-A64),"")</f>
        <v>8.5662500000000001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75</v>
      </c>
      <c r="B66" s="60">
        <v>254.89</v>
      </c>
      <c r="C66" s="60">
        <v>5</v>
      </c>
      <c r="D66" s="60">
        <v>43.289999999999992</v>
      </c>
      <c r="E66" s="51">
        <v>0.35</v>
      </c>
      <c r="F66" s="51">
        <v>0.2</v>
      </c>
      <c r="G66" s="51">
        <v>0.1</v>
      </c>
      <c r="H66" s="51">
        <v>0.35</v>
      </c>
      <c r="I66" s="49">
        <f t="shared" ref="I66:I81" si="2">IF(A66&lt;&gt;0,(B66-(B65-D65))/(A66-A65),"")</f>
        <v>8.2474999999999987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84</v>
      </c>
      <c r="B67" s="60">
        <v>283.77</v>
      </c>
      <c r="C67" s="60">
        <v>6</v>
      </c>
      <c r="D67" s="60">
        <v>49.669999999999987</v>
      </c>
      <c r="E67" s="51">
        <v>0.35</v>
      </c>
      <c r="F67" s="51">
        <v>0.2</v>
      </c>
      <c r="G67" s="51">
        <v>0.1</v>
      </c>
      <c r="H67" s="51">
        <v>0.35</v>
      </c>
      <c r="I67" s="49">
        <f t="shared" si="2"/>
        <v>8.0188888888888883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93</v>
      </c>
      <c r="B68" s="60">
        <v>303.37</v>
      </c>
      <c r="C68" s="60">
        <v>7</v>
      </c>
      <c r="D68" s="60">
        <v>42.910000000000025</v>
      </c>
      <c r="E68" s="51">
        <v>0.35</v>
      </c>
      <c r="F68" s="51">
        <v>0.2</v>
      </c>
      <c r="G68" s="51">
        <v>0.1</v>
      </c>
      <c r="H68" s="51">
        <v>0.35</v>
      </c>
      <c r="I68" s="49">
        <f t="shared" si="2"/>
        <v>7.6966666666666681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103</v>
      </c>
      <c r="B69" s="50">
        <v>337.71</v>
      </c>
      <c r="C69" s="50">
        <v>8</v>
      </c>
      <c r="D69" s="50">
        <v>56.789999999999964</v>
      </c>
      <c r="E69" s="51">
        <v>0.35</v>
      </c>
      <c r="F69" s="51">
        <v>0.2</v>
      </c>
      <c r="G69" s="51">
        <v>0.1</v>
      </c>
      <c r="H69" s="51">
        <v>0.35</v>
      </c>
      <c r="I69" s="49">
        <f t="shared" si="2"/>
        <v>7.7249999999999996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113</v>
      </c>
      <c r="B70" s="50">
        <v>356.05</v>
      </c>
      <c r="C70" s="50">
        <v>9</v>
      </c>
      <c r="D70" s="50">
        <v>45.660000000000025</v>
      </c>
      <c r="E70" s="51">
        <v>0.5</v>
      </c>
      <c r="F70" s="51">
        <v>0.2</v>
      </c>
      <c r="G70" s="51">
        <v>0</v>
      </c>
      <c r="H70" s="51">
        <v>0.3</v>
      </c>
      <c r="I70" s="49">
        <f t="shared" si="2"/>
        <v>7.5129999999999999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125</v>
      </c>
      <c r="B71" s="50">
        <v>404.61</v>
      </c>
      <c r="C71" s="50">
        <v>10</v>
      </c>
      <c r="D71" s="50">
        <v>70</v>
      </c>
      <c r="E71" s="51">
        <v>0.5</v>
      </c>
      <c r="F71" s="51">
        <v>0.2</v>
      </c>
      <c r="G71" s="51">
        <v>0</v>
      </c>
      <c r="H71" s="51">
        <v>0.3</v>
      </c>
      <c r="I71" s="49">
        <f t="shared" si="2"/>
        <v>7.8516666666666692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137</v>
      </c>
      <c r="B72" s="50">
        <v>428.03</v>
      </c>
      <c r="C72" s="50">
        <v>11</v>
      </c>
      <c r="D72" s="50">
        <v>74.669999999999959</v>
      </c>
      <c r="E72" s="51">
        <v>0.5</v>
      </c>
      <c r="F72" s="51">
        <v>0.2</v>
      </c>
      <c r="G72" s="51">
        <v>0</v>
      </c>
      <c r="H72" s="51">
        <v>0.3</v>
      </c>
      <c r="I72" s="49">
        <f t="shared" si="2"/>
        <v>7.7849999999999966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149</v>
      </c>
      <c r="B73" s="50">
        <v>444.56</v>
      </c>
      <c r="C73" s="50">
        <v>12</v>
      </c>
      <c r="D73" s="50">
        <v>176.67000000000002</v>
      </c>
      <c r="E73" s="51">
        <v>0.45</v>
      </c>
      <c r="F73" s="51">
        <v>0.05</v>
      </c>
      <c r="G73" s="51">
        <v>0.05</v>
      </c>
      <c r="H73" s="51">
        <v>0.45</v>
      </c>
      <c r="I73" s="49">
        <f t="shared" si="2"/>
        <v>7.5999999999999988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153</v>
      </c>
      <c r="B74" s="50">
        <v>286.3</v>
      </c>
      <c r="C74" s="50">
        <v>13</v>
      </c>
      <c r="D74" s="50">
        <v>102.89000000000001</v>
      </c>
      <c r="E74" s="51">
        <v>0.45</v>
      </c>
      <c r="F74" s="51">
        <v>0.05</v>
      </c>
      <c r="G74" s="51">
        <v>0.05</v>
      </c>
      <c r="H74" s="51">
        <v>0.45</v>
      </c>
      <c r="I74" s="49">
        <f t="shared" si="2"/>
        <v>4.6025000000000063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157</v>
      </c>
      <c r="B75" s="50">
        <v>194.52</v>
      </c>
      <c r="C75" s="50">
        <v>14</v>
      </c>
      <c r="D75" s="50">
        <v>67.13000000000001</v>
      </c>
      <c r="E75" s="51">
        <v>0.45</v>
      </c>
      <c r="F75" s="51">
        <v>0.05</v>
      </c>
      <c r="G75" s="51">
        <v>0.05</v>
      </c>
      <c r="H75" s="51">
        <v>0.45</v>
      </c>
      <c r="I75" s="49">
        <f t="shared" si="2"/>
        <v>2.7775000000000034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161</v>
      </c>
      <c r="B76" s="50">
        <v>134.26</v>
      </c>
      <c r="C76" s="50">
        <v>15</v>
      </c>
      <c r="D76" s="50">
        <v>134.26</v>
      </c>
      <c r="E76" s="51">
        <v>0.45</v>
      </c>
      <c r="F76" s="51">
        <v>0.05</v>
      </c>
      <c r="G76" s="51">
        <v>0.05</v>
      </c>
      <c r="H76" s="51">
        <v>0.45</v>
      </c>
      <c r="I76" s="49">
        <f t="shared" si="2"/>
        <v>1.7174999999999976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165</v>
      </c>
      <c r="B77" s="50">
        <v>114.95</v>
      </c>
      <c r="C77" s="50">
        <v>16</v>
      </c>
      <c r="D77" s="50">
        <v>114.95</v>
      </c>
      <c r="E77" s="51">
        <v>0.45</v>
      </c>
      <c r="F77" s="51">
        <v>0.05</v>
      </c>
      <c r="G77" s="51">
        <v>0.05</v>
      </c>
      <c r="H77" s="51">
        <v>0.45</v>
      </c>
      <c r="I77" s="49">
        <f t="shared" si="2"/>
        <v>28.737500000000001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Erable champêtre</v>
      </c>
      <c r="D84" s="229" t="s">
        <v>45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46</v>
      </c>
      <c r="C86" s="258" t="s">
        <v>47</v>
      </c>
      <c r="D86" s="258"/>
      <c r="E86" s="259" t="s">
        <v>48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49</v>
      </c>
      <c r="B87" s="36" t="s">
        <v>50</v>
      </c>
      <c r="C87" s="48" t="s">
        <v>51</v>
      </c>
      <c r="D87" s="48" t="s">
        <v>52</v>
      </c>
      <c r="E87" s="36" t="s">
        <v>53</v>
      </c>
      <c r="F87" s="36" t="s">
        <v>54</v>
      </c>
      <c r="G87" s="36" t="s">
        <v>55</v>
      </c>
      <c r="H87" s="36" t="s">
        <v>56</v>
      </c>
      <c r="I87" s="48" t="s">
        <v>57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15</v>
      </c>
      <c r="B88" s="60">
        <v>65</v>
      </c>
      <c r="C88" s="60">
        <v>1</v>
      </c>
      <c r="D88" s="60">
        <v>32</v>
      </c>
      <c r="E88" s="51">
        <v>0</v>
      </c>
      <c r="F88" s="51">
        <v>0.25</v>
      </c>
      <c r="G88" s="51">
        <v>0.25</v>
      </c>
      <c r="H88" s="87">
        <v>0.5</v>
      </c>
      <c r="I88" s="53">
        <f>IFERROR(B88/A88,"")</f>
        <v>4.333333333333333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20</v>
      </c>
      <c r="B89" s="60">
        <v>102</v>
      </c>
      <c r="C89" s="60">
        <v>2</v>
      </c>
      <c r="D89" s="60">
        <v>35</v>
      </c>
      <c r="E89" s="51">
        <v>0</v>
      </c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13.8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25</v>
      </c>
      <c r="B90" s="60">
        <v>141</v>
      </c>
      <c r="C90" s="60">
        <v>3</v>
      </c>
      <c r="D90" s="60">
        <v>35</v>
      </c>
      <c r="E90" s="87">
        <v>0</v>
      </c>
      <c r="F90" s="87">
        <v>0.25</v>
      </c>
      <c r="G90" s="87">
        <v>0.25</v>
      </c>
      <c r="H90" s="87">
        <v>0.5</v>
      </c>
      <c r="I90" s="53">
        <f t="shared" si="3"/>
        <v>14.8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30</v>
      </c>
      <c r="B91" s="60">
        <v>177</v>
      </c>
      <c r="C91" s="60">
        <v>4</v>
      </c>
      <c r="D91" s="60">
        <v>35</v>
      </c>
      <c r="E91" s="87">
        <v>0.25</v>
      </c>
      <c r="F91" s="87">
        <v>0.25</v>
      </c>
      <c r="G91" s="87">
        <v>0.25</v>
      </c>
      <c r="H91" s="87">
        <v>0.25</v>
      </c>
      <c r="I91" s="53">
        <f t="shared" si="3"/>
        <v>14.2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35</v>
      </c>
      <c r="B92" s="60">
        <v>206</v>
      </c>
      <c r="C92" s="60">
        <v>5</v>
      </c>
      <c r="D92" s="60">
        <v>35</v>
      </c>
      <c r="E92" s="87">
        <v>0.25</v>
      </c>
      <c r="F92" s="87">
        <v>0.25</v>
      </c>
      <c r="G92" s="87">
        <v>0.25</v>
      </c>
      <c r="H92" s="87">
        <v>0.25</v>
      </c>
      <c r="I92" s="53">
        <f t="shared" si="3"/>
        <v>12.8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40</v>
      </c>
      <c r="B93" s="60">
        <v>228</v>
      </c>
      <c r="C93" s="60">
        <v>6</v>
      </c>
      <c r="D93" s="60">
        <v>35</v>
      </c>
      <c r="E93" s="87">
        <v>0.25</v>
      </c>
      <c r="F93" s="87">
        <v>0.25</v>
      </c>
      <c r="G93" s="87">
        <v>0.25</v>
      </c>
      <c r="H93" s="87">
        <v>0.25</v>
      </c>
      <c r="I93" s="53">
        <f t="shared" si="3"/>
        <v>11.4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45</v>
      </c>
      <c r="B94" s="60">
        <v>242</v>
      </c>
      <c r="C94" s="60">
        <v>7</v>
      </c>
      <c r="D94" s="60">
        <v>24</v>
      </c>
      <c r="E94" s="87">
        <v>0.25</v>
      </c>
      <c r="F94" s="87">
        <v>0.25</v>
      </c>
      <c r="G94" s="87">
        <v>0.25</v>
      </c>
      <c r="H94" s="87">
        <v>0.25</v>
      </c>
      <c r="I94" s="53">
        <f t="shared" si="3"/>
        <v>9.8000000000000007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50</v>
      </c>
      <c r="B95" s="60">
        <v>261</v>
      </c>
      <c r="C95" s="60">
        <v>8</v>
      </c>
      <c r="D95" s="60">
        <v>19</v>
      </c>
      <c r="E95" s="87">
        <v>0.25</v>
      </c>
      <c r="F95" s="87">
        <v>0.25</v>
      </c>
      <c r="G95" s="87">
        <v>0.25</v>
      </c>
      <c r="H95" s="87">
        <v>0.25</v>
      </c>
      <c r="I95" s="53">
        <f t="shared" si="3"/>
        <v>8.6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55</v>
      </c>
      <c r="B96" s="60">
        <v>279</v>
      </c>
      <c r="C96" s="60">
        <v>9</v>
      </c>
      <c r="D96" s="60">
        <v>16</v>
      </c>
      <c r="E96" s="87">
        <v>0.25</v>
      </c>
      <c r="F96" s="87">
        <v>0.25</v>
      </c>
      <c r="G96" s="87">
        <v>0.25</v>
      </c>
      <c r="H96" s="87">
        <v>0.25</v>
      </c>
      <c r="I96" s="53">
        <f t="shared" si="3"/>
        <v>7.4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60</v>
      </c>
      <c r="B97" s="60">
        <v>294</v>
      </c>
      <c r="C97" s="60">
        <v>10</v>
      </c>
      <c r="D97" s="60">
        <v>14</v>
      </c>
      <c r="E97" s="87">
        <v>0.25</v>
      </c>
      <c r="F97" s="87">
        <v>0.25</v>
      </c>
      <c r="G97" s="87">
        <v>0.25</v>
      </c>
      <c r="H97" s="87">
        <v>0.25</v>
      </c>
      <c r="I97" s="53">
        <f t="shared" si="3"/>
        <v>6.2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65</v>
      </c>
      <c r="B98" s="60">
        <v>306</v>
      </c>
      <c r="C98" s="60">
        <v>11</v>
      </c>
      <c r="D98" s="60">
        <v>13</v>
      </c>
      <c r="E98" s="87">
        <v>0.25</v>
      </c>
      <c r="F98" s="87">
        <v>0.25</v>
      </c>
      <c r="G98" s="87">
        <v>0.25</v>
      </c>
      <c r="H98" s="87">
        <v>0.25</v>
      </c>
      <c r="I98" s="53">
        <f t="shared" si="3"/>
        <v>5.2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70</v>
      </c>
      <c r="B99" s="60">
        <v>316</v>
      </c>
      <c r="C99" s="60">
        <v>12</v>
      </c>
      <c r="D99" s="60">
        <v>13</v>
      </c>
      <c r="E99" s="87">
        <v>0.25</v>
      </c>
      <c r="F99" s="87">
        <v>0.25</v>
      </c>
      <c r="G99" s="87">
        <v>0.25</v>
      </c>
      <c r="H99" s="87">
        <v>0.25</v>
      </c>
      <c r="I99" s="53">
        <f t="shared" si="3"/>
        <v>4.5999999999999996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75</v>
      </c>
      <c r="B100" s="60">
        <v>324</v>
      </c>
      <c r="C100" s="60">
        <v>13</v>
      </c>
      <c r="D100" s="60">
        <v>12</v>
      </c>
      <c r="E100" s="65">
        <v>0.25</v>
      </c>
      <c r="F100" s="65">
        <v>0.25</v>
      </c>
      <c r="G100" s="65">
        <v>0.25</v>
      </c>
      <c r="H100" s="65">
        <v>0.25</v>
      </c>
      <c r="I100" s="53">
        <f t="shared" si="3"/>
        <v>4.2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80</v>
      </c>
      <c r="B101" s="60">
        <v>330</v>
      </c>
      <c r="C101" s="60">
        <v>14</v>
      </c>
      <c r="D101" s="60">
        <v>330</v>
      </c>
      <c r="E101" s="65">
        <v>0.25</v>
      </c>
      <c r="F101" s="65">
        <v>0.25</v>
      </c>
      <c r="G101" s="65">
        <v>0.25</v>
      </c>
      <c r="H101" s="65">
        <v>0.25</v>
      </c>
      <c r="I101" s="53">
        <f t="shared" si="3"/>
        <v>3.6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>Charme</v>
      </c>
      <c r="D110" s="229" t="s">
        <v>45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46</v>
      </c>
      <c r="C112" s="258" t="s">
        <v>47</v>
      </c>
      <c r="D112" s="258"/>
      <c r="E112" s="259" t="s">
        <v>48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49</v>
      </c>
      <c r="B113" s="36" t="s">
        <v>50</v>
      </c>
      <c r="C113" s="48" t="s">
        <v>51</v>
      </c>
      <c r="D113" s="48" t="s">
        <v>52</v>
      </c>
      <c r="E113" s="36" t="s">
        <v>53</v>
      </c>
      <c r="F113" s="36" t="s">
        <v>54</v>
      </c>
      <c r="G113" s="36" t="s">
        <v>55</v>
      </c>
      <c r="H113" s="36" t="s">
        <v>56</v>
      </c>
      <c r="I113" s="48" t="s">
        <v>57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44</v>
      </c>
      <c r="B114" s="60">
        <v>201.77</v>
      </c>
      <c r="C114" s="50">
        <v>1</v>
      </c>
      <c r="D114" s="60">
        <v>76.680000000000007</v>
      </c>
      <c r="E114" s="51">
        <v>0</v>
      </c>
      <c r="F114" s="51">
        <v>0.8</v>
      </c>
      <c r="G114" s="51">
        <v>0.2</v>
      </c>
      <c r="H114" s="51">
        <v>0</v>
      </c>
      <c r="I114" s="53">
        <f>IFERROR(B114/A114,"")</f>
        <v>4.5856818181818184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51</v>
      </c>
      <c r="B115" s="60">
        <v>192.85</v>
      </c>
      <c r="C115" s="50">
        <v>2</v>
      </c>
      <c r="D115" s="60">
        <v>48.769999999999982</v>
      </c>
      <c r="E115" s="51">
        <v>0</v>
      </c>
      <c r="F115" s="51">
        <v>0.8</v>
      </c>
      <c r="G115" s="51">
        <v>0.2</v>
      </c>
      <c r="H115" s="51">
        <v>0</v>
      </c>
      <c r="I115" s="53">
        <f t="shared" ref="I115:I133" si="4">IF(A115&lt;&gt;0,(B115-(B114-D114))/(A115-A114),"")</f>
        <v>9.6799999999999979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59</v>
      </c>
      <c r="B116" s="60">
        <v>217.3</v>
      </c>
      <c r="C116" s="50">
        <v>3</v>
      </c>
      <c r="D116" s="60">
        <v>52.75</v>
      </c>
      <c r="E116" s="51">
        <v>0.35</v>
      </c>
      <c r="F116" s="51">
        <v>0.2</v>
      </c>
      <c r="G116" s="51">
        <v>0.1</v>
      </c>
      <c r="H116" s="51">
        <v>0.35</v>
      </c>
      <c r="I116" s="53">
        <f t="shared" si="4"/>
        <v>9.1524999999999999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67</v>
      </c>
      <c r="B117" s="60">
        <v>233.08</v>
      </c>
      <c r="C117" s="50">
        <v>4</v>
      </c>
      <c r="D117" s="60">
        <v>44.170000000000016</v>
      </c>
      <c r="E117" s="51">
        <v>0.35</v>
      </c>
      <c r="F117" s="51">
        <v>0.2</v>
      </c>
      <c r="G117" s="51">
        <v>0.1</v>
      </c>
      <c r="H117" s="51">
        <v>0.35</v>
      </c>
      <c r="I117" s="53">
        <f t="shared" si="4"/>
        <v>8.5662500000000001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75</v>
      </c>
      <c r="B118" s="60">
        <v>254.89</v>
      </c>
      <c r="C118" s="50">
        <v>5</v>
      </c>
      <c r="D118" s="60">
        <v>43.289999999999992</v>
      </c>
      <c r="E118" s="51">
        <v>0.35</v>
      </c>
      <c r="F118" s="51">
        <v>0.2</v>
      </c>
      <c r="G118" s="51">
        <v>0.1</v>
      </c>
      <c r="H118" s="51">
        <v>0.35</v>
      </c>
      <c r="I118" s="53">
        <f t="shared" si="4"/>
        <v>8.2474999999999987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84</v>
      </c>
      <c r="B119" s="60">
        <v>283.77</v>
      </c>
      <c r="C119" s="50">
        <v>6</v>
      </c>
      <c r="D119" s="60">
        <v>49.669999999999987</v>
      </c>
      <c r="E119" s="51">
        <v>0.35</v>
      </c>
      <c r="F119" s="51">
        <v>0.2</v>
      </c>
      <c r="G119" s="51">
        <v>0.1</v>
      </c>
      <c r="H119" s="51">
        <v>0.35</v>
      </c>
      <c r="I119" s="53">
        <f t="shared" si="4"/>
        <v>8.0188888888888883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93</v>
      </c>
      <c r="B120" s="60">
        <v>303.37</v>
      </c>
      <c r="C120" s="60">
        <v>7</v>
      </c>
      <c r="D120" s="60">
        <v>42.910000000000025</v>
      </c>
      <c r="E120" s="87">
        <v>0.35</v>
      </c>
      <c r="F120" s="87">
        <v>0.2</v>
      </c>
      <c r="G120" s="87">
        <v>0.1</v>
      </c>
      <c r="H120" s="87">
        <v>0.35</v>
      </c>
      <c r="I120" s="53">
        <f t="shared" si="4"/>
        <v>7.6966666666666681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103</v>
      </c>
      <c r="B121" s="60">
        <v>337.71</v>
      </c>
      <c r="C121" s="60">
        <v>8</v>
      </c>
      <c r="D121" s="60">
        <v>56.789999999999964</v>
      </c>
      <c r="E121" s="87">
        <v>0.35</v>
      </c>
      <c r="F121" s="87">
        <v>0.2</v>
      </c>
      <c r="G121" s="87">
        <v>0.1</v>
      </c>
      <c r="H121" s="87">
        <v>0.35</v>
      </c>
      <c r="I121" s="53">
        <f t="shared" si="4"/>
        <v>7.7249999999999996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113</v>
      </c>
      <c r="B122" s="60">
        <v>356.05</v>
      </c>
      <c r="C122" s="60">
        <v>9</v>
      </c>
      <c r="D122" s="60">
        <v>45.660000000000025</v>
      </c>
      <c r="E122" s="87">
        <v>0.5</v>
      </c>
      <c r="F122" s="87">
        <v>0.2</v>
      </c>
      <c r="G122" s="87">
        <v>0</v>
      </c>
      <c r="H122" s="87">
        <v>0.3</v>
      </c>
      <c r="I122" s="53">
        <f t="shared" si="4"/>
        <v>7.5129999999999999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125</v>
      </c>
      <c r="B123" s="60">
        <v>404.61</v>
      </c>
      <c r="C123" s="60">
        <v>10</v>
      </c>
      <c r="D123" s="60">
        <v>70</v>
      </c>
      <c r="E123" s="87">
        <v>0.5</v>
      </c>
      <c r="F123" s="87">
        <v>0.2</v>
      </c>
      <c r="G123" s="87">
        <v>0</v>
      </c>
      <c r="H123" s="87">
        <v>0.3</v>
      </c>
      <c r="I123" s="53">
        <f t="shared" si="4"/>
        <v>7.8516666666666692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137</v>
      </c>
      <c r="B124" s="60">
        <v>428.03</v>
      </c>
      <c r="C124" s="60">
        <v>11</v>
      </c>
      <c r="D124" s="60">
        <v>74.669999999999959</v>
      </c>
      <c r="E124" s="87">
        <v>0.5</v>
      </c>
      <c r="F124" s="87">
        <v>0.2</v>
      </c>
      <c r="G124" s="87">
        <v>0</v>
      </c>
      <c r="H124" s="87">
        <v>0.3</v>
      </c>
      <c r="I124" s="53">
        <f t="shared" si="4"/>
        <v>7.7849999999999966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149</v>
      </c>
      <c r="B125" s="60">
        <v>444.56</v>
      </c>
      <c r="C125" s="60">
        <v>12</v>
      </c>
      <c r="D125" s="60">
        <v>176.67000000000002</v>
      </c>
      <c r="E125" s="87">
        <v>0.45</v>
      </c>
      <c r="F125" s="87">
        <v>0.05</v>
      </c>
      <c r="G125" s="87">
        <v>0.05</v>
      </c>
      <c r="H125" s="87">
        <v>0.45</v>
      </c>
      <c r="I125" s="53">
        <f t="shared" si="4"/>
        <v>7.5999999999999988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153</v>
      </c>
      <c r="B126" s="60">
        <v>286.3</v>
      </c>
      <c r="C126" s="60">
        <v>13</v>
      </c>
      <c r="D126" s="60">
        <v>102.89000000000001</v>
      </c>
      <c r="E126" s="65">
        <v>0.45</v>
      </c>
      <c r="F126" s="65">
        <v>0.05</v>
      </c>
      <c r="G126" s="65">
        <v>0.05</v>
      </c>
      <c r="H126" s="65">
        <v>0.45</v>
      </c>
      <c r="I126" s="53">
        <f t="shared" si="4"/>
        <v>4.6025000000000063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157</v>
      </c>
      <c r="B127" s="60">
        <v>194.52</v>
      </c>
      <c r="C127" s="60">
        <v>14</v>
      </c>
      <c r="D127" s="60">
        <v>67.13000000000001</v>
      </c>
      <c r="E127" s="65">
        <v>0.45</v>
      </c>
      <c r="F127" s="65">
        <v>0.05</v>
      </c>
      <c r="G127" s="65">
        <v>0.05</v>
      </c>
      <c r="H127" s="65">
        <v>0.45</v>
      </c>
      <c r="I127" s="53">
        <f t="shared" si="4"/>
        <v>2.7775000000000034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161</v>
      </c>
      <c r="B128" s="50">
        <v>134.26</v>
      </c>
      <c r="C128" s="50">
        <v>15</v>
      </c>
      <c r="D128" s="50">
        <v>134.26</v>
      </c>
      <c r="E128" s="54">
        <v>0.45</v>
      </c>
      <c r="F128" s="54">
        <v>0.05</v>
      </c>
      <c r="G128" s="54">
        <v>0.05</v>
      </c>
      <c r="H128" s="54">
        <v>0.45</v>
      </c>
      <c r="I128" s="53">
        <f t="shared" si="4"/>
        <v>1.7174999999999976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24</v>
      </c>
      <c r="B136" s="52" t="str">
        <f>IF(B13="","",B13)</f>
        <v>Merisier</v>
      </c>
      <c r="D136" s="229" t="s">
        <v>45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46</v>
      </c>
      <c r="C138" s="258" t="s">
        <v>47</v>
      </c>
      <c r="D138" s="258"/>
      <c r="E138" s="259" t="s">
        <v>48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49</v>
      </c>
      <c r="B139" s="36" t="s">
        <v>50</v>
      </c>
      <c r="C139" s="48" t="s">
        <v>51</v>
      </c>
      <c r="D139" s="48" t="s">
        <v>52</v>
      </c>
      <c r="E139" s="36" t="s">
        <v>53</v>
      </c>
      <c r="F139" s="36" t="s">
        <v>54</v>
      </c>
      <c r="G139" s="36" t="s">
        <v>55</v>
      </c>
      <c r="H139" s="36" t="s">
        <v>56</v>
      </c>
      <c r="I139" s="48" t="s">
        <v>57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15</v>
      </c>
      <c r="B140" s="60">
        <v>25.641025641025639</v>
      </c>
      <c r="C140" s="50">
        <v>1</v>
      </c>
      <c r="D140" s="60">
        <v>1.9230769230769229</v>
      </c>
      <c r="E140" s="51">
        <v>0</v>
      </c>
      <c r="F140" s="51">
        <v>0.25</v>
      </c>
      <c r="G140" s="51">
        <v>0.25</v>
      </c>
      <c r="H140" s="51">
        <v>0.5</v>
      </c>
      <c r="I140" s="57">
        <f>IFERROR(B140/A140,"")</f>
        <v>1.7094017094017093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20</v>
      </c>
      <c r="B141" s="60">
        <v>54.487179487179482</v>
      </c>
      <c r="C141" s="50">
        <v>2</v>
      </c>
      <c r="D141" s="60">
        <v>16.025641025641026</v>
      </c>
      <c r="E141" s="51">
        <v>0</v>
      </c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6.1538461538461533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25</v>
      </c>
      <c r="B142" s="60">
        <v>72.435897435897431</v>
      </c>
      <c r="C142" s="50">
        <v>3</v>
      </c>
      <c r="D142" s="60">
        <v>17.307692307692307</v>
      </c>
      <c r="E142" s="51">
        <v>0</v>
      </c>
      <c r="F142" s="51">
        <v>0.25</v>
      </c>
      <c r="G142" s="51">
        <v>0.25</v>
      </c>
      <c r="H142" s="51">
        <v>0.5</v>
      </c>
      <c r="I142" s="57">
        <f t="shared" si="5"/>
        <v>6.7948717948717956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31</v>
      </c>
      <c r="B143" s="60">
        <v>99.358974358974351</v>
      </c>
      <c r="C143" s="50">
        <v>4</v>
      </c>
      <c r="D143" s="60">
        <v>23.076923076923077</v>
      </c>
      <c r="E143" s="51">
        <v>0.25</v>
      </c>
      <c r="F143" s="51">
        <v>0.25</v>
      </c>
      <c r="G143" s="51">
        <v>0.25</v>
      </c>
      <c r="H143" s="51">
        <v>0.25</v>
      </c>
      <c r="I143" s="57">
        <f t="shared" si="5"/>
        <v>7.3717948717948714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37</v>
      </c>
      <c r="B144" s="60">
        <v>120.51282051282051</v>
      </c>
      <c r="C144" s="50">
        <v>5</v>
      </c>
      <c r="D144" s="60">
        <v>23.076923076923077</v>
      </c>
      <c r="E144" s="51">
        <v>0.25</v>
      </c>
      <c r="F144" s="51">
        <v>0.25</v>
      </c>
      <c r="G144" s="51">
        <v>0.25</v>
      </c>
      <c r="H144" s="51">
        <v>0.25</v>
      </c>
      <c r="I144" s="57">
        <f t="shared" si="5"/>
        <v>7.3717948717948731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44</v>
      </c>
      <c r="B145" s="60">
        <v>147.43589743589743</v>
      </c>
      <c r="C145" s="50">
        <v>6</v>
      </c>
      <c r="D145" s="60">
        <v>27.564102564102562</v>
      </c>
      <c r="E145" s="51">
        <v>0.25</v>
      </c>
      <c r="F145" s="51">
        <v>0.25</v>
      </c>
      <c r="G145" s="51">
        <v>0.25</v>
      </c>
      <c r="H145" s="51">
        <v>0.25</v>
      </c>
      <c r="I145" s="57">
        <f t="shared" si="5"/>
        <v>7.1428571428571432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52</v>
      </c>
      <c r="B146" s="60">
        <v>173.07692307692307</v>
      </c>
      <c r="C146" s="50">
        <v>7</v>
      </c>
      <c r="D146" s="60">
        <v>30.769230769230766</v>
      </c>
      <c r="E146" s="51">
        <v>0.25</v>
      </c>
      <c r="F146" s="51">
        <v>0.25</v>
      </c>
      <c r="G146" s="51">
        <v>0.25</v>
      </c>
      <c r="H146" s="51">
        <v>0.25</v>
      </c>
      <c r="I146" s="57">
        <f t="shared" si="5"/>
        <v>6.6506410256410255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60</v>
      </c>
      <c r="B147" s="60">
        <v>190.38461538461539</v>
      </c>
      <c r="C147" s="50">
        <v>8</v>
      </c>
      <c r="D147" s="60">
        <v>30.128205128205128</v>
      </c>
      <c r="E147" s="51">
        <v>0.25</v>
      </c>
      <c r="F147" s="51">
        <v>0.25</v>
      </c>
      <c r="G147" s="51">
        <v>0.25</v>
      </c>
      <c r="H147" s="51">
        <v>0.25</v>
      </c>
      <c r="I147" s="57">
        <f>IF(A147&lt;&gt;0,(B147-(B146-D146))/(A147-A146),"")</f>
        <v>6.0096153846153868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69</v>
      </c>
      <c r="B148" s="60">
        <v>210.25641025641025</v>
      </c>
      <c r="C148" s="50">
        <v>9</v>
      </c>
      <c r="D148" s="60">
        <v>210.25641025641025</v>
      </c>
      <c r="E148" s="51">
        <v>0.25</v>
      </c>
      <c r="F148" s="51">
        <v>0.25</v>
      </c>
      <c r="G148" s="51">
        <v>0.25</v>
      </c>
      <c r="H148" s="51">
        <v>0.25</v>
      </c>
      <c r="I148" s="57">
        <f t="shared" si="5"/>
        <v>5.5555555555555554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26</v>
      </c>
      <c r="B162" s="52" t="str">
        <f>IF(B14="","",B14)</f>
        <v>Chêne chevelu</v>
      </c>
      <c r="D162" s="229" t="s">
        <v>45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46</v>
      </c>
      <c r="C164" s="258" t="s">
        <v>47</v>
      </c>
      <c r="D164" s="258"/>
      <c r="E164" s="259" t="s">
        <v>48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49</v>
      </c>
      <c r="B165" s="36" t="s">
        <v>50</v>
      </c>
      <c r="C165" s="48" t="s">
        <v>51</v>
      </c>
      <c r="D165" s="48" t="s">
        <v>52</v>
      </c>
      <c r="E165" s="36" t="s">
        <v>53</v>
      </c>
      <c r="F165" s="36" t="s">
        <v>54</v>
      </c>
      <c r="G165" s="36" t="s">
        <v>55</v>
      </c>
      <c r="H165" s="36" t="s">
        <v>56</v>
      </c>
      <c r="I165" s="48" t="s">
        <v>57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10</v>
      </c>
      <c r="B166" s="60">
        <v>11.538461538461538</v>
      </c>
      <c r="C166" s="60">
        <v>0</v>
      </c>
      <c r="D166" s="60">
        <v>0</v>
      </c>
      <c r="E166" s="51">
        <v>0</v>
      </c>
      <c r="F166" s="51">
        <v>0.5</v>
      </c>
      <c r="G166" s="51">
        <v>0</v>
      </c>
      <c r="H166" s="51">
        <v>0.5</v>
      </c>
      <c r="I166" s="49">
        <f>IFERROR(B166/A166,"")</f>
        <v>1.1538461538461537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15</v>
      </c>
      <c r="B167" s="60">
        <v>30.128205128205128</v>
      </c>
      <c r="C167" s="60">
        <v>0</v>
      </c>
      <c r="D167" s="60">
        <v>0</v>
      </c>
      <c r="E167" s="51">
        <v>0</v>
      </c>
      <c r="F167" s="51">
        <v>0.5</v>
      </c>
      <c r="G167" s="51">
        <v>0</v>
      </c>
      <c r="H167" s="51">
        <v>0.5</v>
      </c>
      <c r="I167" s="49">
        <f t="shared" ref="I167:I185" si="6">IF(A167&lt;&gt;0,(B167-(B166-D166))/(A167-A166),"")</f>
        <v>3.7179487179487181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20</v>
      </c>
      <c r="B168" s="60">
        <v>55.769230769230759</v>
      </c>
      <c r="C168" s="60">
        <v>1</v>
      </c>
      <c r="D168" s="60">
        <v>18.589743589743588</v>
      </c>
      <c r="E168" s="51">
        <v>0</v>
      </c>
      <c r="F168" s="51">
        <v>0.5</v>
      </c>
      <c r="G168" s="51">
        <v>0</v>
      </c>
      <c r="H168" s="51">
        <v>0.5</v>
      </c>
      <c r="I168" s="49">
        <f t="shared" si="6"/>
        <v>5.128205128205126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25</v>
      </c>
      <c r="B169" s="60">
        <v>62.820512820512818</v>
      </c>
      <c r="C169" s="60">
        <v>2</v>
      </c>
      <c r="D169" s="60">
        <v>12.179487179487179</v>
      </c>
      <c r="E169" s="51">
        <v>0</v>
      </c>
      <c r="F169" s="51">
        <v>0.5</v>
      </c>
      <c r="G169" s="51">
        <v>0</v>
      </c>
      <c r="H169" s="51">
        <v>0.5</v>
      </c>
      <c r="I169" s="49">
        <f t="shared" si="6"/>
        <v>5.1282051282051295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30</v>
      </c>
      <c r="B170" s="60">
        <v>76.282051282051285</v>
      </c>
      <c r="C170" s="60">
        <v>3</v>
      </c>
      <c r="D170" s="60">
        <v>12.820512820512819</v>
      </c>
      <c r="E170" s="51">
        <v>0</v>
      </c>
      <c r="F170" s="51">
        <v>0.5</v>
      </c>
      <c r="G170" s="51">
        <v>0</v>
      </c>
      <c r="H170" s="51">
        <v>0.5</v>
      </c>
      <c r="I170" s="49">
        <f t="shared" si="6"/>
        <v>5.1282051282051295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35</v>
      </c>
      <c r="B171" s="60">
        <v>86.538461538461533</v>
      </c>
      <c r="C171" s="60">
        <v>4</v>
      </c>
      <c r="D171" s="60">
        <v>12.820512820512819</v>
      </c>
      <c r="E171" s="51">
        <v>0</v>
      </c>
      <c r="F171" s="51">
        <v>0.5</v>
      </c>
      <c r="G171" s="51">
        <v>0</v>
      </c>
      <c r="H171" s="51">
        <v>0.5</v>
      </c>
      <c r="I171" s="49">
        <f t="shared" si="6"/>
        <v>4.6153846153846132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40</v>
      </c>
      <c r="B172" s="60">
        <v>96.153846153846146</v>
      </c>
      <c r="C172" s="60">
        <v>5</v>
      </c>
      <c r="D172" s="60">
        <v>12.820512820512819</v>
      </c>
      <c r="E172" s="51">
        <v>0</v>
      </c>
      <c r="F172" s="51">
        <v>0.5</v>
      </c>
      <c r="G172" s="51">
        <v>0</v>
      </c>
      <c r="H172" s="51">
        <v>0.5</v>
      </c>
      <c r="I172" s="49">
        <f t="shared" si="6"/>
        <v>4.4871794871794863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45</v>
      </c>
      <c r="B173" s="50">
        <v>103.84615384615384</v>
      </c>
      <c r="C173" s="50">
        <v>6</v>
      </c>
      <c r="D173" s="50">
        <v>12.179487179487179</v>
      </c>
      <c r="E173" s="51">
        <v>0</v>
      </c>
      <c r="F173" s="51">
        <v>0.5</v>
      </c>
      <c r="G173" s="51">
        <v>0</v>
      </c>
      <c r="H173" s="51">
        <v>0.5</v>
      </c>
      <c r="I173" s="49">
        <f t="shared" si="6"/>
        <v>4.1025641025641022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50</v>
      </c>
      <c r="B174" s="50">
        <v>110.89743589743588</v>
      </c>
      <c r="C174" s="50">
        <v>7</v>
      </c>
      <c r="D174" s="50">
        <v>11.538461538461538</v>
      </c>
      <c r="E174" s="51">
        <v>0</v>
      </c>
      <c r="F174" s="51">
        <v>0.5</v>
      </c>
      <c r="G174" s="51">
        <v>0</v>
      </c>
      <c r="H174" s="51">
        <v>0.5</v>
      </c>
      <c r="I174" s="49">
        <f t="shared" si="6"/>
        <v>3.8461538461538454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55</v>
      </c>
      <c r="B175" s="50">
        <v>116.02564102564102</v>
      </c>
      <c r="C175" s="50">
        <v>8</v>
      </c>
      <c r="D175" s="50">
        <v>10.897435897435898</v>
      </c>
      <c r="E175" s="51">
        <v>0</v>
      </c>
      <c r="F175" s="51">
        <v>0.5</v>
      </c>
      <c r="G175" s="51">
        <v>0</v>
      </c>
      <c r="H175" s="51">
        <v>0.5</v>
      </c>
      <c r="I175" s="49">
        <f t="shared" si="6"/>
        <v>3.3333333333333344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60</v>
      </c>
      <c r="B176" s="50">
        <v>121.15384615384616</v>
      </c>
      <c r="C176" s="50">
        <v>9</v>
      </c>
      <c r="D176" s="50">
        <v>10.256410256410255</v>
      </c>
      <c r="E176" s="51">
        <v>0</v>
      </c>
      <c r="F176" s="51">
        <v>0.5</v>
      </c>
      <c r="G176" s="51">
        <v>0</v>
      </c>
      <c r="H176" s="51">
        <v>0.5</v>
      </c>
      <c r="I176" s="49">
        <f t="shared" si="6"/>
        <v>3.2051282051282071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65</v>
      </c>
      <c r="B177" s="50">
        <v>125</v>
      </c>
      <c r="C177" s="50">
        <v>10</v>
      </c>
      <c r="D177" s="50">
        <v>9.615384615384615</v>
      </c>
      <c r="E177" s="51">
        <v>0.1</v>
      </c>
      <c r="F177" s="51">
        <v>0.5</v>
      </c>
      <c r="G177" s="51">
        <v>0</v>
      </c>
      <c r="H177" s="51">
        <v>0.4</v>
      </c>
      <c r="I177" s="49">
        <f t="shared" si="6"/>
        <v>2.8205128205128176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70</v>
      </c>
      <c r="B178" s="50">
        <v>128.84615384615384</v>
      </c>
      <c r="C178" s="50">
        <v>11</v>
      </c>
      <c r="D178" s="50">
        <v>8.9743589743589745</v>
      </c>
      <c r="E178" s="51">
        <v>0.1</v>
      </c>
      <c r="F178" s="51">
        <v>0.5</v>
      </c>
      <c r="G178" s="51">
        <v>0</v>
      </c>
      <c r="H178" s="51">
        <v>0.4</v>
      </c>
      <c r="I178" s="49">
        <f t="shared" si="6"/>
        <v>2.6923076923076907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75</v>
      </c>
      <c r="B179" s="50">
        <v>130.76923076923075</v>
      </c>
      <c r="C179" s="50">
        <v>12</v>
      </c>
      <c r="D179" s="50">
        <v>7.6923076923076916</v>
      </c>
      <c r="E179" s="51">
        <v>0.1</v>
      </c>
      <c r="F179" s="51">
        <v>0.5</v>
      </c>
      <c r="G179" s="51">
        <v>0</v>
      </c>
      <c r="H179" s="51">
        <v>0.4</v>
      </c>
      <c r="I179" s="49">
        <f t="shared" si="6"/>
        <v>2.1794871794871766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>
        <v>80</v>
      </c>
      <c r="B180" s="50">
        <v>133.33333333333334</v>
      </c>
      <c r="C180" s="50">
        <v>13</v>
      </c>
      <c r="D180" s="50">
        <v>7.0512820512820511</v>
      </c>
      <c r="E180" s="51">
        <v>0.1</v>
      </c>
      <c r="F180" s="51">
        <v>0.5</v>
      </c>
      <c r="G180" s="51">
        <v>0</v>
      </c>
      <c r="H180" s="51">
        <v>0.4</v>
      </c>
      <c r="I180" s="49">
        <f t="shared" si="6"/>
        <v>2.0512820512820582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>
        <v>85</v>
      </c>
      <c r="B181" s="50">
        <v>135.25641025641025</v>
      </c>
      <c r="C181" s="50">
        <v>14</v>
      </c>
      <c r="D181" s="50">
        <v>6.4102564102564097</v>
      </c>
      <c r="E181" s="51">
        <v>0.1</v>
      </c>
      <c r="F181" s="51">
        <v>0.5</v>
      </c>
      <c r="G181" s="51">
        <v>0</v>
      </c>
      <c r="H181" s="51">
        <v>0.4</v>
      </c>
      <c r="I181" s="49">
        <f t="shared" si="6"/>
        <v>1.7948717948717898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>
        <v>90</v>
      </c>
      <c r="B182" s="50">
        <v>137.82051282051282</v>
      </c>
      <c r="C182" s="50">
        <v>15</v>
      </c>
      <c r="D182" s="50">
        <v>6.4102564102564097</v>
      </c>
      <c r="E182" s="51">
        <v>0.1</v>
      </c>
      <c r="F182" s="51">
        <v>0.5</v>
      </c>
      <c r="G182" s="51">
        <v>0</v>
      </c>
      <c r="H182" s="51">
        <v>0.4</v>
      </c>
      <c r="I182" s="49">
        <f t="shared" si="6"/>
        <v>1.7948717948717956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>
        <v>95</v>
      </c>
      <c r="B183" s="50">
        <v>140.38461538461539</v>
      </c>
      <c r="C183" s="50">
        <v>16</v>
      </c>
      <c r="D183" s="50">
        <v>7.0512820512820511</v>
      </c>
      <c r="E183" s="51">
        <v>0.1</v>
      </c>
      <c r="F183" s="51">
        <v>0.5</v>
      </c>
      <c r="G183" s="51">
        <v>0</v>
      </c>
      <c r="H183" s="51">
        <v>0.4</v>
      </c>
      <c r="I183" s="49">
        <f t="shared" si="6"/>
        <v>1.7948717948717956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>
        <v>100</v>
      </c>
      <c r="B184" s="50">
        <v>142.94871794871796</v>
      </c>
      <c r="C184" s="50">
        <v>17</v>
      </c>
      <c r="D184" s="50">
        <v>142.94871794871796</v>
      </c>
      <c r="E184" s="51">
        <v>0.1</v>
      </c>
      <c r="F184" s="51">
        <v>0.5</v>
      </c>
      <c r="G184" s="51">
        <v>0</v>
      </c>
      <c r="H184" s="51">
        <v>0.4</v>
      </c>
      <c r="I184" s="49">
        <f t="shared" si="6"/>
        <v>1.9230769230769227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27</v>
      </c>
      <c r="B188" s="52" t="str">
        <f>IF(B15="","",B15)</f>
        <v>Chêne tauzin</v>
      </c>
      <c r="D188" s="229" t="s">
        <v>45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46</v>
      </c>
      <c r="C190" s="258" t="s">
        <v>47</v>
      </c>
      <c r="D190" s="258"/>
      <c r="E190" s="259" t="s">
        <v>48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49</v>
      </c>
      <c r="B191" s="36" t="s">
        <v>50</v>
      </c>
      <c r="C191" s="48" t="s">
        <v>51</v>
      </c>
      <c r="D191" s="48" t="s">
        <v>52</v>
      </c>
      <c r="E191" s="36" t="s">
        <v>53</v>
      </c>
      <c r="F191" s="36" t="s">
        <v>54</v>
      </c>
      <c r="G191" s="36" t="s">
        <v>55</v>
      </c>
      <c r="H191" s="36" t="s">
        <v>56</v>
      </c>
      <c r="I191" s="48" t="s">
        <v>57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>
        <v>60</v>
      </c>
      <c r="B192" s="60">
        <v>201.62</v>
      </c>
      <c r="C192" s="60">
        <v>1</v>
      </c>
      <c r="D192" s="60">
        <v>72.87</v>
      </c>
      <c r="E192" s="51">
        <v>0</v>
      </c>
      <c r="F192" s="51">
        <v>0.8</v>
      </c>
      <c r="G192" s="51">
        <v>0.2</v>
      </c>
      <c r="H192" s="51">
        <v>0</v>
      </c>
      <c r="I192" s="49">
        <f>IFERROR(B192/A192,"")</f>
        <v>3.3603333333333336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>
        <v>69</v>
      </c>
      <c r="B193" s="60">
        <v>190.79</v>
      </c>
      <c r="C193" s="60">
        <v>2</v>
      </c>
      <c r="D193" s="60">
        <v>42.22</v>
      </c>
      <c r="E193" s="51">
        <v>0</v>
      </c>
      <c r="F193" s="51">
        <v>0.8</v>
      </c>
      <c r="G193" s="51">
        <v>0.2</v>
      </c>
      <c r="H193" s="51">
        <v>0</v>
      </c>
      <c r="I193" s="49">
        <f t="shared" ref="I193:I211" si="7">IF(A193&lt;&gt;0,(B193-(B192-D192))/(A193-A192),"")</f>
        <v>6.8933333333333326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>
        <v>77</v>
      </c>
      <c r="B194" s="60">
        <v>202.52</v>
      </c>
      <c r="C194" s="60">
        <v>3</v>
      </c>
      <c r="D194" s="60">
        <v>33.950000000000017</v>
      </c>
      <c r="E194" s="51">
        <v>0</v>
      </c>
      <c r="F194" s="51">
        <v>0.8</v>
      </c>
      <c r="G194" s="51">
        <v>0.2</v>
      </c>
      <c r="H194" s="51">
        <v>0</v>
      </c>
      <c r="I194" s="49">
        <f t="shared" si="7"/>
        <v>6.7437500000000021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>
        <v>86</v>
      </c>
      <c r="B195" s="60">
        <v>229.27</v>
      </c>
      <c r="C195" s="60">
        <v>4</v>
      </c>
      <c r="D195" s="60">
        <v>37.54000000000002</v>
      </c>
      <c r="E195" s="51">
        <v>0.35</v>
      </c>
      <c r="F195" s="51">
        <v>0.2</v>
      </c>
      <c r="G195" s="51">
        <v>0.1</v>
      </c>
      <c r="H195" s="51">
        <v>0.35</v>
      </c>
      <c r="I195" s="49">
        <f t="shared" si="7"/>
        <v>6.7444444444444462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>
        <v>95</v>
      </c>
      <c r="B196" s="60">
        <v>252.57</v>
      </c>
      <c r="C196" s="60">
        <v>5</v>
      </c>
      <c r="D196" s="60">
        <v>42.199999999999989</v>
      </c>
      <c r="E196" s="51">
        <v>0.35</v>
      </c>
      <c r="F196" s="51">
        <v>0.2</v>
      </c>
      <c r="G196" s="51">
        <v>0.1</v>
      </c>
      <c r="H196" s="51">
        <v>0.35</v>
      </c>
      <c r="I196" s="49">
        <f t="shared" si="7"/>
        <v>6.7600000000000007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>
        <v>104</v>
      </c>
      <c r="B197" s="60">
        <v>271.37</v>
      </c>
      <c r="C197" s="60">
        <v>6</v>
      </c>
      <c r="D197" s="60">
        <v>39.400000000000006</v>
      </c>
      <c r="E197" s="51">
        <v>0.35</v>
      </c>
      <c r="F197" s="51">
        <v>0.2</v>
      </c>
      <c r="G197" s="51">
        <v>0.1</v>
      </c>
      <c r="H197" s="51">
        <v>0.35</v>
      </c>
      <c r="I197" s="49">
        <f t="shared" si="7"/>
        <v>6.7777777777777777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>
        <v>113</v>
      </c>
      <c r="B198" s="60">
        <v>293.89999999999998</v>
      </c>
      <c r="C198" s="60">
        <v>7</v>
      </c>
      <c r="D198" s="60">
        <v>41.639999999999986</v>
      </c>
      <c r="E198" s="51">
        <v>0.35</v>
      </c>
      <c r="F198" s="51">
        <v>0.2</v>
      </c>
      <c r="G198" s="51">
        <v>0.1</v>
      </c>
      <c r="H198" s="51">
        <v>0.35</v>
      </c>
      <c r="I198" s="49">
        <f t="shared" si="7"/>
        <v>6.8811111111111085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>
        <v>122</v>
      </c>
      <c r="B199" s="50">
        <v>315.27</v>
      </c>
      <c r="C199" s="50">
        <v>8</v>
      </c>
      <c r="D199" s="50">
        <v>45.829999999999984</v>
      </c>
      <c r="E199" s="51">
        <v>0.35</v>
      </c>
      <c r="F199" s="51">
        <v>0.2</v>
      </c>
      <c r="G199" s="51">
        <v>0.1</v>
      </c>
      <c r="H199" s="51">
        <v>0.35</v>
      </c>
      <c r="I199" s="49">
        <f t="shared" si="7"/>
        <v>7.0011111111111104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>
        <v>132</v>
      </c>
      <c r="B200" s="50">
        <v>340.57</v>
      </c>
      <c r="C200" s="50">
        <v>9</v>
      </c>
      <c r="D200" s="50">
        <v>48.699999999999989</v>
      </c>
      <c r="E200" s="51">
        <v>0.35</v>
      </c>
      <c r="F200" s="51">
        <v>0.2</v>
      </c>
      <c r="G200" s="51">
        <v>0.1</v>
      </c>
      <c r="H200" s="51">
        <v>0.35</v>
      </c>
      <c r="I200" s="49">
        <f t="shared" si="7"/>
        <v>7.1129999999999995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>
        <v>144</v>
      </c>
      <c r="B201" s="50">
        <v>379.92</v>
      </c>
      <c r="C201" s="50">
        <v>10</v>
      </c>
      <c r="D201" s="50">
        <v>60.949999999999989</v>
      </c>
      <c r="E201" s="51">
        <v>0.35</v>
      </c>
      <c r="F201" s="51">
        <v>0.2</v>
      </c>
      <c r="G201" s="51">
        <v>0.1</v>
      </c>
      <c r="H201" s="51">
        <v>0.35</v>
      </c>
      <c r="I201" s="49">
        <f t="shared" si="7"/>
        <v>7.3375000000000012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>
        <v>156</v>
      </c>
      <c r="B202" s="50">
        <v>409.2</v>
      </c>
      <c r="C202" s="50">
        <v>11</v>
      </c>
      <c r="D202" s="50">
        <v>65.69</v>
      </c>
      <c r="E202" s="51">
        <v>0.5</v>
      </c>
      <c r="F202" s="51">
        <v>0.2</v>
      </c>
      <c r="G202" s="51">
        <v>0</v>
      </c>
      <c r="H202" s="51">
        <v>0.3</v>
      </c>
      <c r="I202" s="49">
        <f t="shared" si="7"/>
        <v>7.5191666666666634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>
        <v>168</v>
      </c>
      <c r="B203" s="50">
        <v>435.65</v>
      </c>
      <c r="C203" s="50">
        <v>12</v>
      </c>
      <c r="D203" s="50">
        <v>71.37</v>
      </c>
      <c r="E203" s="51">
        <v>0.5</v>
      </c>
      <c r="F203" s="51">
        <v>0.2</v>
      </c>
      <c r="G203" s="51">
        <v>0</v>
      </c>
      <c r="H203" s="51">
        <v>0.3</v>
      </c>
      <c r="I203" s="49">
        <f t="shared" si="7"/>
        <v>7.6783333333333319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>
        <v>180</v>
      </c>
      <c r="B204" s="50">
        <v>456.54</v>
      </c>
      <c r="C204" s="50">
        <v>13</v>
      </c>
      <c r="D204" s="50">
        <v>175.59000000000003</v>
      </c>
      <c r="E204" s="51">
        <v>0.5</v>
      </c>
      <c r="F204" s="51">
        <v>0.2</v>
      </c>
      <c r="G204" s="51">
        <v>0</v>
      </c>
      <c r="H204" s="51">
        <v>0.3</v>
      </c>
      <c r="I204" s="49">
        <f t="shared" si="7"/>
        <v>7.688333333333337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>
        <v>184</v>
      </c>
      <c r="B205" s="50">
        <v>300.14</v>
      </c>
      <c r="C205" s="50">
        <v>14</v>
      </c>
      <c r="D205" s="50">
        <v>101.19999999999999</v>
      </c>
      <c r="E205" s="51">
        <v>0.5</v>
      </c>
      <c r="F205" s="51">
        <v>0.2</v>
      </c>
      <c r="G205" s="51">
        <v>0</v>
      </c>
      <c r="H205" s="51">
        <v>0.3</v>
      </c>
      <c r="I205" s="49">
        <f t="shared" si="7"/>
        <v>4.7974999999999994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>
        <v>188</v>
      </c>
      <c r="B206" s="50">
        <v>211.27</v>
      </c>
      <c r="C206" s="50">
        <v>15</v>
      </c>
      <c r="D206" s="50">
        <v>72.180000000000007</v>
      </c>
      <c r="E206" s="51">
        <v>0.5</v>
      </c>
      <c r="F206" s="51">
        <v>0.2</v>
      </c>
      <c r="G206" s="51">
        <v>0</v>
      </c>
      <c r="H206" s="51">
        <v>0.3</v>
      </c>
      <c r="I206" s="49">
        <f t="shared" si="7"/>
        <v>3.0825000000000031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>
        <v>191</v>
      </c>
      <c r="B207" s="50">
        <v>145.01</v>
      </c>
      <c r="C207" s="50">
        <v>16</v>
      </c>
      <c r="D207" s="50">
        <v>145.01</v>
      </c>
      <c r="E207" s="51">
        <v>0.45</v>
      </c>
      <c r="F207" s="51">
        <v>0.05</v>
      </c>
      <c r="G207" s="51">
        <v>0.05</v>
      </c>
      <c r="H207" s="51">
        <v>0.45</v>
      </c>
      <c r="I207" s="49">
        <f t="shared" si="7"/>
        <v>1.9733333333333292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28</v>
      </c>
      <c r="B214" s="52" t="str">
        <f>IF(B16="","",B16)</f>
        <v/>
      </c>
      <c r="D214" s="229" t="s">
        <v>45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46</v>
      </c>
      <c r="C216" s="258" t="s">
        <v>47</v>
      </c>
      <c r="D216" s="258"/>
      <c r="E216" s="259" t="s">
        <v>48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49</v>
      </c>
      <c r="B217" s="36" t="s">
        <v>50</v>
      </c>
      <c r="C217" s="48" t="s">
        <v>51</v>
      </c>
      <c r="D217" s="48" t="s">
        <v>52</v>
      </c>
      <c r="E217" s="36" t="s">
        <v>53</v>
      </c>
      <c r="F217" s="36" t="s">
        <v>54</v>
      </c>
      <c r="G217" s="36" t="s">
        <v>55</v>
      </c>
      <c r="H217" s="36" t="s">
        <v>56</v>
      </c>
      <c r="I217" s="48" t="s">
        <v>57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29</v>
      </c>
      <c r="B240" s="52" t="str">
        <f>IF(B17="","",B17)</f>
        <v/>
      </c>
      <c r="D240" s="229" t="s">
        <v>45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46</v>
      </c>
      <c r="C242" s="258" t="s">
        <v>47</v>
      </c>
      <c r="D242" s="258"/>
      <c r="E242" s="259" t="s">
        <v>48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49</v>
      </c>
      <c r="B243" s="36" t="s">
        <v>50</v>
      </c>
      <c r="C243" s="48" t="s">
        <v>51</v>
      </c>
      <c r="D243" s="48" t="s">
        <v>52</v>
      </c>
      <c r="E243" s="36" t="s">
        <v>53</v>
      </c>
      <c r="F243" s="36" t="s">
        <v>54</v>
      </c>
      <c r="G243" s="36" t="s">
        <v>55</v>
      </c>
      <c r="H243" s="36" t="s">
        <v>56</v>
      </c>
      <c r="I243" s="48" t="s">
        <v>57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30</v>
      </c>
      <c r="B266" s="52" t="str">
        <f>IF(B18="","",B18)</f>
        <v/>
      </c>
      <c r="D266" s="229" t="s">
        <v>45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46</v>
      </c>
      <c r="C268" s="258" t="s">
        <v>47</v>
      </c>
      <c r="D268" s="258"/>
      <c r="E268" s="259" t="s">
        <v>48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49</v>
      </c>
      <c r="B269" s="36" t="s">
        <v>50</v>
      </c>
      <c r="C269" s="48" t="s">
        <v>51</v>
      </c>
      <c r="D269" s="48" t="s">
        <v>52</v>
      </c>
      <c r="E269" s="36" t="s">
        <v>53</v>
      </c>
      <c r="F269" s="36" t="s">
        <v>54</v>
      </c>
      <c r="G269" s="36" t="s">
        <v>55</v>
      </c>
      <c r="H269" s="36" t="s">
        <v>56</v>
      </c>
      <c r="I269" s="48" t="s">
        <v>57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C17" sqref="C17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58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59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60</v>
      </c>
      <c r="C7" s="100" t="s">
        <v>61</v>
      </c>
      <c r="D7" s="215"/>
      <c r="E7" s="101"/>
      <c r="F7" s="26" t="s">
        <v>60</v>
      </c>
      <c r="G7" s="100" t="s">
        <v>62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63</v>
      </c>
      <c r="D8" s="23"/>
      <c r="E8" s="105">
        <v>4</v>
      </c>
      <c r="F8" s="61">
        <v>0</v>
      </c>
      <c r="G8" s="102" t="s">
        <v>64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65</v>
      </c>
      <c r="D9" s="23"/>
      <c r="E9" s="105">
        <v>5</v>
      </c>
      <c r="F9" s="61">
        <v>0</v>
      </c>
      <c r="G9" s="103" t="s">
        <v>66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68</v>
      </c>
      <c r="D13" s="216"/>
      <c r="E13" s="99"/>
      <c r="F13" s="107"/>
      <c r="G13" s="98" t="s">
        <v>69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70</v>
      </c>
      <c r="D14" s="216"/>
      <c r="E14" s="99"/>
      <c r="F14" s="107"/>
      <c r="G14" s="98" t="s">
        <v>71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60</v>
      </c>
      <c r="C15" s="4"/>
      <c r="D15" s="23"/>
      <c r="E15" s="4"/>
      <c r="F15" s="4"/>
      <c r="G15" s="2" t="s">
        <v>72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73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74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75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pubescent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Erable champêtre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Charme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Merisier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 chevelu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Chêne tauzin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77</v>
      </c>
      <c r="B2" s="72" t="s">
        <v>78</v>
      </c>
      <c r="C2" s="5" t="s">
        <v>79</v>
      </c>
      <c r="D2" s="5" t="s">
        <v>80</v>
      </c>
      <c r="E2" s="5" t="s">
        <v>81</v>
      </c>
      <c r="F2" s="5" t="s">
        <v>82</v>
      </c>
      <c r="G2" s="5" t="s">
        <v>83</v>
      </c>
      <c r="H2" s="66" t="s">
        <v>84</v>
      </c>
      <c r="I2" s="68" t="s">
        <v>81</v>
      </c>
      <c r="J2" s="69" t="s">
        <v>82</v>
      </c>
      <c r="K2" s="6" t="s">
        <v>85</v>
      </c>
      <c r="L2" s="6" t="s">
        <v>86</v>
      </c>
      <c r="M2" s="6" t="s">
        <v>86</v>
      </c>
      <c r="N2" s="6" t="s">
        <v>87</v>
      </c>
      <c r="O2" s="6" t="s">
        <v>88</v>
      </c>
      <c r="P2" s="6" t="s">
        <v>89</v>
      </c>
      <c r="Q2" s="6" t="s">
        <v>83</v>
      </c>
      <c r="R2" s="6" t="s">
        <v>90</v>
      </c>
      <c r="S2" s="6" t="s">
        <v>91</v>
      </c>
      <c r="T2" s="6" t="s">
        <v>92</v>
      </c>
      <c r="U2" s="7" t="s">
        <v>93</v>
      </c>
      <c r="V2" s="8" t="s">
        <v>94</v>
      </c>
      <c r="W2" s="7" t="s">
        <v>53</v>
      </c>
      <c r="X2" s="7" t="s">
        <v>54</v>
      </c>
      <c r="Y2" s="7" t="s">
        <v>95</v>
      </c>
      <c r="Z2" s="8" t="s">
        <v>96</v>
      </c>
      <c r="AA2" s="8" t="s">
        <v>97</v>
      </c>
      <c r="AB2" s="8" t="s">
        <v>98</v>
      </c>
      <c r="AC2" s="9" t="s">
        <v>99</v>
      </c>
      <c r="AD2" s="69" t="s">
        <v>81</v>
      </c>
      <c r="AE2" s="69" t="s">
        <v>82</v>
      </c>
      <c r="AF2" s="6" t="s">
        <v>85</v>
      </c>
      <c r="AG2" s="6" t="s">
        <v>86</v>
      </c>
      <c r="AH2" s="6" t="s">
        <v>86</v>
      </c>
      <c r="AI2" s="6" t="s">
        <v>87</v>
      </c>
      <c r="AJ2" s="6" t="s">
        <v>88</v>
      </c>
      <c r="AK2" s="6" t="s">
        <v>89</v>
      </c>
      <c r="AL2" s="6" t="s">
        <v>83</v>
      </c>
      <c r="AM2" s="6" t="s">
        <v>90</v>
      </c>
      <c r="AN2" s="6" t="s">
        <v>91</v>
      </c>
      <c r="AO2" s="6" t="s">
        <v>92</v>
      </c>
      <c r="AP2" s="7" t="s">
        <v>93</v>
      </c>
      <c r="AQ2" s="8" t="s">
        <v>94</v>
      </c>
      <c r="AR2" s="7" t="s">
        <v>53</v>
      </c>
      <c r="AS2" s="7" t="s">
        <v>54</v>
      </c>
      <c r="AT2" s="8" t="s">
        <v>100</v>
      </c>
      <c r="AU2" s="8" t="s">
        <v>96</v>
      </c>
      <c r="AV2" s="8" t="s">
        <v>97</v>
      </c>
      <c r="AW2" s="8" t="s">
        <v>98</v>
      </c>
      <c r="AX2" s="8" t="s">
        <v>99</v>
      </c>
      <c r="AY2" s="68" t="s">
        <v>81</v>
      </c>
      <c r="AZ2" s="69" t="s">
        <v>82</v>
      </c>
      <c r="BA2" s="6" t="s">
        <v>85</v>
      </c>
      <c r="BB2" s="6" t="s">
        <v>86</v>
      </c>
      <c r="BC2" s="6" t="s">
        <v>86</v>
      </c>
      <c r="BD2" s="6" t="s">
        <v>87</v>
      </c>
      <c r="BE2" s="6" t="s">
        <v>88</v>
      </c>
      <c r="BF2" s="6" t="s">
        <v>89</v>
      </c>
      <c r="BG2" s="6" t="s">
        <v>83</v>
      </c>
      <c r="BH2" s="6" t="s">
        <v>90</v>
      </c>
      <c r="BI2" s="6" t="s">
        <v>91</v>
      </c>
      <c r="BJ2" s="6" t="s">
        <v>92</v>
      </c>
      <c r="BK2" s="7" t="s">
        <v>93</v>
      </c>
      <c r="BL2" s="8" t="s">
        <v>94</v>
      </c>
      <c r="BM2" s="7" t="s">
        <v>53</v>
      </c>
      <c r="BN2" s="7" t="s">
        <v>54</v>
      </c>
      <c r="BO2" s="8" t="s">
        <v>100</v>
      </c>
      <c r="BP2" s="8" t="s">
        <v>96</v>
      </c>
      <c r="BQ2" s="8" t="s">
        <v>97</v>
      </c>
      <c r="BR2" s="8" t="s">
        <v>98</v>
      </c>
      <c r="BS2" s="9" t="s">
        <v>99</v>
      </c>
      <c r="BT2" s="68" t="s">
        <v>81</v>
      </c>
      <c r="BU2" s="69" t="s">
        <v>82</v>
      </c>
      <c r="BV2" s="6" t="s">
        <v>85</v>
      </c>
      <c r="BW2" s="6" t="s">
        <v>86</v>
      </c>
      <c r="BX2" s="6" t="s">
        <v>86</v>
      </c>
      <c r="BY2" s="6" t="s">
        <v>87</v>
      </c>
      <c r="BZ2" s="6" t="s">
        <v>88</v>
      </c>
      <c r="CA2" s="6" t="s">
        <v>89</v>
      </c>
      <c r="CB2" s="6" t="s">
        <v>83</v>
      </c>
      <c r="CC2" s="6" t="s">
        <v>90</v>
      </c>
      <c r="CD2" s="6" t="s">
        <v>91</v>
      </c>
      <c r="CE2" s="6" t="s">
        <v>92</v>
      </c>
      <c r="CF2" s="7" t="s">
        <v>93</v>
      </c>
      <c r="CG2" s="8" t="s">
        <v>94</v>
      </c>
      <c r="CH2" s="7" t="s">
        <v>53</v>
      </c>
      <c r="CI2" s="7" t="s">
        <v>54</v>
      </c>
      <c r="CJ2" s="8" t="s">
        <v>100</v>
      </c>
      <c r="CK2" s="8" t="s">
        <v>96</v>
      </c>
      <c r="CL2" s="8" t="s">
        <v>97</v>
      </c>
      <c r="CM2" s="8" t="s">
        <v>98</v>
      </c>
      <c r="CN2" s="9" t="s">
        <v>99</v>
      </c>
      <c r="CO2" s="68" t="s">
        <v>81</v>
      </c>
      <c r="CP2" s="69" t="s">
        <v>82</v>
      </c>
      <c r="CQ2" s="6" t="s">
        <v>85</v>
      </c>
      <c r="CR2" s="6" t="s">
        <v>86</v>
      </c>
      <c r="CS2" s="6" t="s">
        <v>86</v>
      </c>
      <c r="CT2" s="6" t="s">
        <v>87</v>
      </c>
      <c r="CU2" s="6" t="s">
        <v>88</v>
      </c>
      <c r="CV2" s="6" t="s">
        <v>89</v>
      </c>
      <c r="CW2" s="6" t="s">
        <v>83</v>
      </c>
      <c r="CX2" s="6" t="s">
        <v>90</v>
      </c>
      <c r="CY2" s="6" t="s">
        <v>91</v>
      </c>
      <c r="CZ2" s="6" t="s">
        <v>92</v>
      </c>
      <c r="DA2" s="7" t="s">
        <v>93</v>
      </c>
      <c r="DB2" s="8" t="s">
        <v>94</v>
      </c>
      <c r="DC2" s="7" t="s">
        <v>53</v>
      </c>
      <c r="DD2" s="7" t="s">
        <v>54</v>
      </c>
      <c r="DE2" s="8" t="s">
        <v>100</v>
      </c>
      <c r="DF2" s="8" t="s">
        <v>96</v>
      </c>
      <c r="DG2" s="8" t="s">
        <v>97</v>
      </c>
      <c r="DH2" s="8" t="s">
        <v>98</v>
      </c>
      <c r="DI2" s="9" t="s">
        <v>99</v>
      </c>
      <c r="DJ2" s="68" t="s">
        <v>81</v>
      </c>
      <c r="DK2" s="69" t="s">
        <v>82</v>
      </c>
      <c r="DL2" s="6" t="s">
        <v>85</v>
      </c>
      <c r="DM2" s="6" t="s">
        <v>86</v>
      </c>
      <c r="DN2" s="6" t="s">
        <v>86</v>
      </c>
      <c r="DO2" s="6" t="s">
        <v>87</v>
      </c>
      <c r="DP2" s="6" t="s">
        <v>88</v>
      </c>
      <c r="DQ2" s="6" t="s">
        <v>89</v>
      </c>
      <c r="DR2" s="6" t="s">
        <v>83</v>
      </c>
      <c r="DS2" s="6" t="s">
        <v>90</v>
      </c>
      <c r="DT2" s="6" t="s">
        <v>91</v>
      </c>
      <c r="DU2" s="6" t="s">
        <v>92</v>
      </c>
      <c r="DV2" s="7" t="s">
        <v>93</v>
      </c>
      <c r="DW2" s="8" t="s">
        <v>94</v>
      </c>
      <c r="DX2" s="7" t="s">
        <v>53</v>
      </c>
      <c r="DY2" s="7" t="s">
        <v>54</v>
      </c>
      <c r="DZ2" s="8" t="s">
        <v>100</v>
      </c>
      <c r="EA2" s="8" t="s">
        <v>96</v>
      </c>
      <c r="EB2" s="8" t="s">
        <v>97</v>
      </c>
      <c r="EC2" s="8" t="s">
        <v>98</v>
      </c>
      <c r="ED2" s="9" t="s">
        <v>99</v>
      </c>
      <c r="EE2" s="68" t="s">
        <v>81</v>
      </c>
      <c r="EF2" s="69" t="s">
        <v>82</v>
      </c>
      <c r="EG2" s="6" t="s">
        <v>85</v>
      </c>
      <c r="EH2" s="6" t="s">
        <v>86</v>
      </c>
      <c r="EI2" s="6" t="s">
        <v>86</v>
      </c>
      <c r="EJ2" s="6" t="s">
        <v>87</v>
      </c>
      <c r="EK2" s="6" t="s">
        <v>88</v>
      </c>
      <c r="EL2" s="6" t="s">
        <v>89</v>
      </c>
      <c r="EM2" s="6" t="s">
        <v>83</v>
      </c>
      <c r="EN2" s="6" t="s">
        <v>90</v>
      </c>
      <c r="EO2" s="6" t="s">
        <v>91</v>
      </c>
      <c r="EP2" s="6" t="s">
        <v>92</v>
      </c>
      <c r="EQ2" s="7" t="s">
        <v>93</v>
      </c>
      <c r="ER2" s="8" t="s">
        <v>94</v>
      </c>
      <c r="ES2" s="7" t="s">
        <v>53</v>
      </c>
      <c r="ET2" s="7" t="s">
        <v>54</v>
      </c>
      <c r="EU2" s="8" t="s">
        <v>100</v>
      </c>
      <c r="EV2" s="8" t="s">
        <v>96</v>
      </c>
      <c r="EW2" s="8" t="s">
        <v>97</v>
      </c>
      <c r="EX2" s="8" t="s">
        <v>98</v>
      </c>
      <c r="EY2" s="9" t="s">
        <v>99</v>
      </c>
      <c r="EZ2" s="68" t="s">
        <v>81</v>
      </c>
      <c r="FA2" s="69" t="s">
        <v>82</v>
      </c>
      <c r="FB2" s="6" t="s">
        <v>85</v>
      </c>
      <c r="FC2" s="6" t="s">
        <v>86</v>
      </c>
      <c r="FD2" s="6" t="s">
        <v>86</v>
      </c>
      <c r="FE2" s="6" t="s">
        <v>87</v>
      </c>
      <c r="FF2" s="6" t="s">
        <v>88</v>
      </c>
      <c r="FG2" s="6" t="s">
        <v>89</v>
      </c>
      <c r="FH2" s="6" t="s">
        <v>83</v>
      </c>
      <c r="FI2" s="6" t="s">
        <v>90</v>
      </c>
      <c r="FJ2" s="6" t="s">
        <v>91</v>
      </c>
      <c r="FK2" s="6" t="s">
        <v>92</v>
      </c>
      <c r="FL2" s="7" t="s">
        <v>93</v>
      </c>
      <c r="FM2" s="8" t="s">
        <v>94</v>
      </c>
      <c r="FN2" s="7" t="s">
        <v>53</v>
      </c>
      <c r="FO2" s="7" t="s">
        <v>54</v>
      </c>
      <c r="FP2" s="8" t="s">
        <v>101</v>
      </c>
      <c r="FQ2" s="8" t="s">
        <v>96</v>
      </c>
      <c r="FR2" s="8" t="s">
        <v>97</v>
      </c>
      <c r="FS2" s="8" t="s">
        <v>98</v>
      </c>
      <c r="FT2" s="9" t="s">
        <v>99</v>
      </c>
      <c r="FU2" s="68" t="s">
        <v>81</v>
      </c>
      <c r="FV2" s="69" t="s">
        <v>82</v>
      </c>
      <c r="FW2" s="6" t="s">
        <v>85</v>
      </c>
      <c r="FX2" s="6" t="s">
        <v>86</v>
      </c>
      <c r="FY2" s="6" t="s">
        <v>86</v>
      </c>
      <c r="FZ2" s="6" t="s">
        <v>87</v>
      </c>
      <c r="GA2" s="6" t="s">
        <v>88</v>
      </c>
      <c r="GB2" s="6" t="s">
        <v>89</v>
      </c>
      <c r="GC2" s="6" t="s">
        <v>83</v>
      </c>
      <c r="GD2" s="6" t="s">
        <v>90</v>
      </c>
      <c r="GE2" s="6" t="s">
        <v>91</v>
      </c>
      <c r="GF2" s="6" t="s">
        <v>92</v>
      </c>
      <c r="GG2" s="7" t="s">
        <v>93</v>
      </c>
      <c r="GH2" s="8" t="s">
        <v>94</v>
      </c>
      <c r="GI2" s="7" t="s">
        <v>53</v>
      </c>
      <c r="GJ2" s="7" t="s">
        <v>54</v>
      </c>
      <c r="GK2" s="8" t="s">
        <v>100</v>
      </c>
      <c r="GL2" s="8" t="s">
        <v>96</v>
      </c>
      <c r="GM2" s="8" t="s">
        <v>97</v>
      </c>
      <c r="GN2" s="8" t="s">
        <v>98</v>
      </c>
      <c r="GO2" s="8" t="s">
        <v>99</v>
      </c>
      <c r="GP2" s="68" t="s">
        <v>81</v>
      </c>
      <c r="GQ2" s="69" t="s">
        <v>82</v>
      </c>
      <c r="GR2" s="6" t="s">
        <v>85</v>
      </c>
      <c r="GS2" s="6" t="s">
        <v>86</v>
      </c>
      <c r="GT2" s="6" t="s">
        <v>86</v>
      </c>
      <c r="GU2" s="6" t="s">
        <v>87</v>
      </c>
      <c r="GV2" s="6" t="s">
        <v>88</v>
      </c>
      <c r="GW2" s="6" t="s">
        <v>89</v>
      </c>
      <c r="GX2" s="6" t="s">
        <v>83</v>
      </c>
      <c r="GY2" s="6" t="s">
        <v>90</v>
      </c>
      <c r="GZ2" s="6" t="s">
        <v>91</v>
      </c>
      <c r="HA2" s="6" t="s">
        <v>92</v>
      </c>
      <c r="HB2" s="7" t="s">
        <v>93</v>
      </c>
      <c r="HC2" s="8" t="s">
        <v>94</v>
      </c>
      <c r="HD2" s="7" t="s">
        <v>53</v>
      </c>
      <c r="HE2" s="7" t="s">
        <v>54</v>
      </c>
      <c r="HF2" s="8" t="s">
        <v>100</v>
      </c>
      <c r="HG2" s="8" t="s">
        <v>96</v>
      </c>
      <c r="HH2" s="8" t="s">
        <v>97</v>
      </c>
      <c r="HI2" s="8" t="s">
        <v>98</v>
      </c>
      <c r="HJ2" s="9" t="s">
        <v>99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533.26035274112917</v>
      </c>
      <c r="T3" s="59">
        <f>IF('Données projet'!E9&gt;30,$R$33-$H$33,LOOKUP('Données projet'!$E$9,$A$3:$A$203,R3:R203)-LOOKUP('Données projet'!$E$9,$A$3:$A$203,$H$3:$H$203))</f>
        <v>262.58149402282521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482.62991869403385</v>
      </c>
      <c r="AO3" s="59">
        <f>IF('Données projet'!E10&gt;30,$AM$33-$H$33,LOOKUP('Données projet'!$E$10,$A$3:$A$203,AM3:AM203)-LOOKUP('Données projet'!$E$10,$A$3:$A$203,$H$3:$H$203))</f>
        <v>310.43914804089906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384.34044781465661</v>
      </c>
      <c r="BJ3" s="59">
        <f>IF('Données projet'!E11&gt;30,$BH$33-$H$33,LOOKUP('Données projet'!$E$11,$A$3:$A$203,BH3:BH203)-LOOKUP('Données projet'!$E$11,$A$3:$A$203,$H$3:$H$203))</f>
        <v>374.99493809709708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513.14430745499283</v>
      </c>
      <c r="CE3" s="59">
        <f>IF('Données projet'!E12&gt;30,$CC$33-$H$33,LOOKUP('Données projet'!$E$12,$A$3:$A$203,CC3:CC203)-LOOKUP('Données projet'!$E$12,$A$3:$A$203,$H$3:$H$203))</f>
        <v>324.2490378019823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197.51452239559433</v>
      </c>
      <c r="CZ3" s="59">
        <f>IF('Données projet'!E13&gt;30,$CX$33-$H$33,LOOKUP('Données projet'!$E$13,$A$3:$A$203,CX3:CX203)-LOOKUP('Données projet'!$E$13,$A$3:$A$203,$H$3:$H$203))</f>
        <v>196.65166921588821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239.26156489359892</v>
      </c>
      <c r="DU3" s="59">
        <f>IF('Données projet'!E14&gt;30,$DS$33-$H$33,LOOKUP('Données projet'!$E$14,$A$3:$A$203,DS3:DS203)-LOOKUP('Données projet'!$E$14,$A$3:$A$203,$H$3:$H$203))</f>
        <v>213.97034450798111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525.74725170626471</v>
      </c>
      <c r="EP3" s="59">
        <f>IF('Données projet'!E15&gt;30,$EN$33-$H$33,LOOKUP('Données projet'!$E$15,$A$3:$A$203,EN3:EN203)-LOOKUP('Données projet'!$E$15,$A$3:$A$203,$H$3:$H$203))</f>
        <v>259.19103598192197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3.3603333333333336</v>
      </c>
      <c r="N4" s="13">
        <f>IF('Données projet'!$A$36&gt;35,N3+M4-V3,IF(A4&lt;'Données projet'!$A$36,$K$205^A4,IF(A4='Données projet'!$A$36,'Données projet'!$B$36,N3+M4-V3)))</f>
        <v>3.3603333333333336</v>
      </c>
      <c r="O4" s="13">
        <f>N4*VLOOKUP('Données projet'!$B$9,Paramètres!$A$1:$I$89,3,0)*VLOOKUP('Données projet'!$B$9,Paramètres!$A$1:$I$89,5,0)</f>
        <v>3.4073780000000005</v>
      </c>
      <c r="P4" s="13">
        <f>EXP(-1.0587+0.8836*LN(O4)+0.284)</f>
        <v>1.361440466803705</v>
      </c>
      <c r="Q4" s="20">
        <f t="shared" ref="Q4:Q34" si="2">(O4+P4)*0.475*44/12</f>
        <v>8.3056921630164542</v>
      </c>
      <c r="R4" s="59">
        <f t="shared" si="0"/>
        <v>266.19458105190529</v>
      </c>
      <c r="S4" s="59">
        <f ca="1">AVERAGE(OFFSET($R$3,0,0,'Données projet'!$E$9+1,1))-AVERAGE(OFFSET($H$3,0,0,'Données projet'!$E$9+1,1))</f>
        <v>533.26035274112917</v>
      </c>
      <c r="T4" s="59">
        <f>$T$3</f>
        <v>262.58149402282521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4.5856818181818184</v>
      </c>
      <c r="AI4" s="13">
        <f>IF('Données projet'!$A$62&gt;35,AI3+AH4-AQ3,IF(A4&lt;'Données projet'!$A$62,$AF$205^A4,IF(A4='Données projet'!$A$62,'Données projet'!$B$62,AI3+AH4-AQ3)))</f>
        <v>4.5856818181818184</v>
      </c>
      <c r="AJ4" s="13">
        <f>AI4*VLOOKUP('Données projet'!$B$10,Paramètres!$A$1:$I$89,3,0)*VLOOKUP('Données projet'!$B$10,Paramètres!$A$1:$I$89,5,0)</f>
        <v>4.1491249090909088</v>
      </c>
      <c r="AK4" s="13">
        <f>EXP(-1.0587+0.8836*LN(AJ4)+0.284)</f>
        <v>1.6202365934641478</v>
      </c>
      <c r="AL4" s="20">
        <f t="shared" ref="AL4:AL67" si="4">(AJ4+AK4)*0.475*44/12</f>
        <v>10.048304616950057</v>
      </c>
      <c r="AM4" s="59">
        <f t="shared" ref="AM4:AM67" si="5">AL4+(AD4+AE4)*44/12</f>
        <v>267.93719350583893</v>
      </c>
      <c r="AN4" s="59">
        <f ca="1">AVERAGE(OFFSET($AM$3,0,0,'Données projet'!$E$10+1,1))-AVERAGE(OFFSET($H$3,0,0,'Données projet'!$E$10+1,1))</f>
        <v>482.62991869403385</v>
      </c>
      <c r="AO4" s="59">
        <f>$AO$3</f>
        <v>310.43914804089906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4.333333333333333</v>
      </c>
      <c r="BD4" s="12">
        <f>IF('Données projet'!$A$88&gt;35,BD3+BC4-BL3,IF(A4&lt;'Données projet'!$A$88,$BA$205^A4,IF(A4='Données projet'!$A$88,'Données projet'!$B$88,BD3+BC4-BL3)))</f>
        <v>1.3208724756526424</v>
      </c>
      <c r="BE4" s="13">
        <f>BD4*VLOOKUP('Données projet'!$B$11,Paramètres!$A$1:$I$89,3,0)*VLOOKUP('Données projet'!$B$11,Paramètres!$A$1:$I$89,5,0)</f>
        <v>1.1539141947301486</v>
      </c>
      <c r="BF4" s="13">
        <f>EXP(-1.0587+0.8836*LN(BE4)+0.284)</f>
        <v>0.52298421799329042</v>
      </c>
      <c r="BG4" s="20">
        <f t="shared" ref="BG4:BG67" si="7">(BE4+BF4)*0.475*44/12</f>
        <v>2.9205980688266564</v>
      </c>
      <c r="BH4" s="59">
        <f t="shared" ref="BH4:BH67" si="8">BG4+(AY4+AZ4)*44/12</f>
        <v>260.80948695771554</v>
      </c>
      <c r="BI4" s="59">
        <f ca="1">AVERAGE(OFFSET($BH$3,0,0,'Données projet'!$E$11+1,1))-AVERAGE(OFFSET($H$3,0,0,'Données projet'!$E$11+1,1))</f>
        <v>384.34044781465661</v>
      </c>
      <c r="BJ4" s="59">
        <f>$BJ$3</f>
        <v>374.99493809709708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4.5856818181818184</v>
      </c>
      <c r="BY4" s="12">
        <f>IF('Données projet'!$A$114&gt;35,BY3+BX4-CG3,IF(A4&lt;'Données projet'!$A$114,$BV$205^A4,IF(A4='Données projet'!$A$114,'Données projet'!$B$114,BY3+BX4-CG3)))</f>
        <v>4.5856818181818184</v>
      </c>
      <c r="BZ4" s="13">
        <f>BY4*VLOOKUP('Données projet'!$B$12,Paramètres!$A$1:$I$89,3,0)*VLOOKUP('Données projet'!$B$12,Paramètres!$A$1:$I$89,5,0)</f>
        <v>4.3637348181818183</v>
      </c>
      <c r="CA4" s="13">
        <f>EXP(-1.0587+0.8836*LN(BZ4)+0.284)</f>
        <v>1.6940682525736275</v>
      </c>
      <c r="CB4" s="20">
        <f t="shared" ref="CB4:CB67" si="10">(BZ4+CA4)*0.475*44/12</f>
        <v>10.550673681565735</v>
      </c>
      <c r="CC4" s="59">
        <f t="shared" ref="CC4:CC67" si="11">CB4+(BT4+BU4)*44/12</f>
        <v>268.4395625704546</v>
      </c>
      <c r="CD4" s="59">
        <f ca="1">AVERAGE(OFFSET($CC$3,0,0,'Données projet'!$E$12+1,1))-AVERAGE(OFFSET($H$3,0,0,'Données projet'!$E$12+1,1))</f>
        <v>513.14430745499283</v>
      </c>
      <c r="CE4" s="59">
        <f>$CE$3</f>
        <v>324.2490378019823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1.7094017094017093</v>
      </c>
      <c r="CT4" s="12">
        <f>IF('Données projet'!$A$140&gt;35,CT3+CS4-DB3,IF(A4&lt;'Données projet'!$A$140,$CQ$205^A4,IF(A4='Données projet'!$A$140,'Données projet'!$B$140,CT3+CS4-DB3)))</f>
        <v>1.2414494093563335</v>
      </c>
      <c r="CU4" s="17">
        <f>CT4*VLOOKUP('Données projet'!$B$13,Paramètres!$A$1:$I$89,3,0)*VLOOKUP('Données projet'!$B$13,Paramètres!$A$1:$I$89,5,0)</f>
        <v>0.96833053929794022</v>
      </c>
      <c r="CV4" s="13">
        <f>EXP(-1.0587+0.8836*LN(CU4)+0.284)</f>
        <v>0.44792215440986066</v>
      </c>
      <c r="CW4" s="20">
        <f t="shared" ref="CW4:CW67" si="13">(CU4+CV4)*0.475*44/12</f>
        <v>2.4666401082077529</v>
      </c>
      <c r="CX4" s="59">
        <f t="shared" ref="CX4:CX67" si="14">CW4+(CO4+CP4)*44/12</f>
        <v>260.3555289970966</v>
      </c>
      <c r="CY4" s="59">
        <f ca="1">AVERAGE(OFFSET($CX$3,0,0,'Données projet'!$E$13+1,1))-AVERAGE(OFFSET($H$3,0,0,'Données projet'!$E$13+1,1))</f>
        <v>197.51452239559433</v>
      </c>
      <c r="CZ4" s="59">
        <f>$CZ$3</f>
        <v>196.65166921588821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1.1538461538461537</v>
      </c>
      <c r="DO4" s="12">
        <f>IF('Données projet'!$A$166&gt;35,DO3+DN4-DW3,IF(A4&lt;'Données projet'!$A$166,$DL$205^A4,IF(A4='Données projet'!$A$166,'Données projet'!$B$166,DO3+DN4-DW3)))</f>
        <v>1.2770702581475548</v>
      </c>
      <c r="DP4" s="17">
        <f>DO4*VLOOKUP('Données projet'!$B$14,Paramètres!$A$1:$I$89,3,0)*VLOOKUP('Données projet'!$B$14,Paramètres!$A$1:$I$89,5,0)</f>
        <v>1.3347938338158245</v>
      </c>
      <c r="DQ4" s="13">
        <f>EXP(-1.0587+0.8836*LN(DP4)+0.284)</f>
        <v>0.59479600746513583</v>
      </c>
      <c r="DR4" s="20">
        <f t="shared" ref="DR4:DR67" si="16">(DP4+DQ4)*0.475*44/12</f>
        <v>3.3607023068976729</v>
      </c>
      <c r="DS4" s="59">
        <f t="shared" ref="DS4:DS67" si="17">DR4+(DJ4+DK4)*44/12</f>
        <v>261.24959119578654</v>
      </c>
      <c r="DT4" s="59">
        <f ca="1">AVERAGE(OFFSET($DS$3,0,0,'Données projet'!$E$14+1,1))-AVERAGE(OFFSET($H$3,0,0,'Données projet'!$E$14+1,1))</f>
        <v>239.26156489359892</v>
      </c>
      <c r="DU4" s="59">
        <f>$DU$3</f>
        <v>213.97034450798111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3.3603333333333336</v>
      </c>
      <c r="EJ4" s="12">
        <f>IF('Données projet'!$A$192&gt;35,EJ3+EI4-ER3,IF(A4&lt;'Données projet'!$A$192,$EG$205^A4,IF(A4='Données projet'!$A$192,'Données projet'!$B$192,EJ3+EI4-ER3)))</f>
        <v>3.3603333333333336</v>
      </c>
      <c r="EK4" s="17">
        <f>EJ4*VLOOKUP('Données projet'!$B$15,Paramètres!$A$1:$I$89,3,0)*VLOOKUP('Données projet'!$B$15,Paramètres!$A$1:$I$89,5,0)</f>
        <v>3.3549568000000005</v>
      </c>
      <c r="EL4" s="13">
        <f>EXP(-1.0587+0.8836*LN(EK4)+0.284)</f>
        <v>1.3429165878259732</v>
      </c>
      <c r="EM4" s="20">
        <f t="shared" ref="EM4:EM67" si="19">(EK4+EL4)*0.475*44/12</f>
        <v>8.1821294837969027</v>
      </c>
      <c r="EN4" s="59">
        <f t="shared" ref="EN4:EN67" si="20">EM4+(EE4+EF4)*44/12</f>
        <v>266.07101837268578</v>
      </c>
      <c r="EO4" s="59">
        <f ca="1">AVERAGE(OFFSET($EN$3,0,0,'Données projet'!$E$15+1,1))-AVERAGE(OFFSET($H$3,0,0,'Données projet'!$E$15+1,1))</f>
        <v>525.74725170626471</v>
      </c>
      <c r="EP4" s="59">
        <f>$EP$3</f>
        <v>259.19103598192197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3.3603333333333336</v>
      </c>
      <c r="N5" s="13">
        <f>IF('Données projet'!$A$36&gt;35,N4+M5-V4,IF(A5&lt;'Données projet'!$A$36,$K$205^A5,IF(A5='Données projet'!$A$36,'Données projet'!$B$36,N4+M5-V4)))</f>
        <v>6.7206666666666672</v>
      </c>
      <c r="O5" s="13">
        <f>N5*VLOOKUP('Données projet'!$B$9,Paramètres!$A$1:$I$89,3,0)*VLOOKUP('Données projet'!$B$9,Paramètres!$A$1:$I$89,5,0)</f>
        <v>6.8147560000000009</v>
      </c>
      <c r="P5" s="13">
        <f t="shared" ref="P5:P68" si="33">EXP(-1.0587+0.8836*LN(O5)+0.284)</f>
        <v>2.5118214185487715</v>
      </c>
      <c r="Q5" s="20">
        <f t="shared" si="2"/>
        <v>16.243789003972445</v>
      </c>
      <c r="R5" s="59">
        <f t="shared" si="0"/>
        <v>275.35490011508358</v>
      </c>
      <c r="S5" s="59">
        <f ca="1">AVERAGE(OFFSET($R$3,0,0,'Données projet'!$E$9+1,1))-AVERAGE(OFFSET($H$3,0,0,'Données projet'!$E$9+1,1))</f>
        <v>533.26035274112917</v>
      </c>
      <c r="T5" s="59">
        <f t="shared" ref="T5:T68" si="34">$T$3</f>
        <v>262.58149402282521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4.5856818181818184</v>
      </c>
      <c r="AI5" s="13">
        <f>IF('Données projet'!$A$62&gt;35,AI4+AH5-AQ4,IF(A5&lt;'Données projet'!$A$62,$AF$205^A5,IF(A5='Données projet'!$A$62,'Données projet'!$B$62,AI4+AH5-AQ4)))</f>
        <v>9.1713636363636368</v>
      </c>
      <c r="AJ5" s="13">
        <f>AI5*VLOOKUP('Données projet'!$B$10,Paramètres!$A$1:$I$89,3,0)*VLOOKUP('Données projet'!$B$10,Paramètres!$A$1:$I$89,5,0)</f>
        <v>8.2982498181818176</v>
      </c>
      <c r="AK5" s="13">
        <f t="shared" ref="AK5:AK68" si="35">EXP(-1.0587+0.8836*LN(AJ5)+0.284)</f>
        <v>2.9892933828641128</v>
      </c>
      <c r="AL5" s="20">
        <f t="shared" si="4"/>
        <v>19.659137741821663</v>
      </c>
      <c r="AM5" s="59">
        <f t="shared" si="5"/>
        <v>278.77024885293281</v>
      </c>
      <c r="AN5" s="59">
        <f ca="1">AVERAGE(OFFSET($AM$3,0,0,'Données projet'!$E$10+1,1))-AVERAGE(OFFSET($H$3,0,0,'Données projet'!$E$10+1,1))</f>
        <v>482.62991869403385</v>
      </c>
      <c r="AO5" s="59">
        <f t="shared" ref="AO5:AO68" si="36">$AO$3</f>
        <v>310.43914804089906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4.333333333333333</v>
      </c>
      <c r="BD5" s="12">
        <f>IF('Données projet'!$A$88&gt;35,BD4+BC5-BL4,IF(A5&lt;'Données projet'!$A$88,$BA$205^A5,IF(A5='Données projet'!$A$88,'Données projet'!$B$88,BD4+BC5-BL4)))</f>
        <v>1.7447040969367404</v>
      </c>
      <c r="BE5" s="13">
        <f>BD5*VLOOKUP('Données projet'!$B$11,Paramètres!$A$1:$I$89,3,0)*VLOOKUP('Données projet'!$B$11,Paramètres!$A$1:$I$89,5,0)</f>
        <v>1.5241734990839366</v>
      </c>
      <c r="BF5" s="13">
        <f t="shared" ref="BF5:BF68" si="37">EXP(-1.0587+0.8836*LN(BE5)+0.284)</f>
        <v>0.66877690363385434</v>
      </c>
      <c r="BG5" s="20">
        <f t="shared" si="7"/>
        <v>3.8193886180668186</v>
      </c>
      <c r="BH5" s="59">
        <f t="shared" si="8"/>
        <v>262.93049972917794</v>
      </c>
      <c r="BI5" s="59">
        <f ca="1">AVERAGE(OFFSET($BH$3,0,0,'Données projet'!$E$11+1,1))-AVERAGE(OFFSET($H$3,0,0,'Données projet'!$E$11+1,1))</f>
        <v>384.34044781465661</v>
      </c>
      <c r="BJ5" s="59">
        <f t="shared" ref="BJ5:BJ68" si="38">$BJ$3</f>
        <v>374.99493809709708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4.5856818181818184</v>
      </c>
      <c r="BY5" s="12">
        <f>IF('Données projet'!$A$114&gt;35,BY4+BX5-CG4,IF(A5&lt;'Données projet'!$A$114,$BV$205^A5,IF(A5='Données projet'!$A$114,'Données projet'!$B$114,BY4+BX5-CG4)))</f>
        <v>9.1713636363636368</v>
      </c>
      <c r="BZ5" s="13">
        <f>BY5*VLOOKUP('Données projet'!$B$12,Paramètres!$A$1:$I$89,3,0)*VLOOKUP('Données projet'!$B$12,Paramètres!$A$1:$I$89,5,0)</f>
        <v>8.7274696363636366</v>
      </c>
      <c r="CA5" s="13">
        <f t="shared" ref="CA5:CA68" si="39">EXP(-1.0587+0.8836*LN(BZ5)+0.284)</f>
        <v>3.1255108284594941</v>
      </c>
      <c r="CB5" s="20">
        <f t="shared" si="10"/>
        <v>20.643940976233619</v>
      </c>
      <c r="CC5" s="59">
        <f t="shared" si="11"/>
        <v>279.75505208734478</v>
      </c>
      <c r="CD5" s="59">
        <f ca="1">AVERAGE(OFFSET($CC$3,0,0,'Données projet'!$E$12+1,1))-AVERAGE(OFFSET($H$3,0,0,'Données projet'!$E$12+1,1))</f>
        <v>513.14430745499283</v>
      </c>
      <c r="CE5" s="59">
        <f t="shared" ref="CE5:CE68" si="40">$CE$3</f>
        <v>324.2490378019823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1.7094017094017093</v>
      </c>
      <c r="CT5" s="12">
        <f>IF('Données projet'!$A$140&gt;35,CT4+CS5-DB4,IF(A5&lt;'Données projet'!$A$140,$CQ$205^A5,IF(A5='Données projet'!$A$140,'Données projet'!$B$140,CT4+CS5-DB4)))</f>
        <v>1.5411966359911893</v>
      </c>
      <c r="CU5" s="17">
        <f>CT5*VLOOKUP('Données projet'!$B$13,Paramètres!$A$1:$I$89,3,0)*VLOOKUP('Données projet'!$B$13,Paramètres!$A$1:$I$89,5,0)</f>
        <v>1.2021333760731276</v>
      </c>
      <c r="CV5" s="13">
        <f t="shared" ref="CV5:CV68" si="41">EXP(-1.0587+0.8836*LN(CU5)+0.284)</f>
        <v>0.54224833966781483</v>
      </c>
      <c r="CW5" s="20">
        <f t="shared" si="13"/>
        <v>3.038131488248808</v>
      </c>
      <c r="CX5" s="59">
        <f t="shared" si="14"/>
        <v>262.14924259935992</v>
      </c>
      <c r="CY5" s="59">
        <f ca="1">AVERAGE(OFFSET($CX$3,0,0,'Données projet'!$E$13+1,1))-AVERAGE(OFFSET($H$3,0,0,'Données projet'!$E$13+1,1))</f>
        <v>197.51452239559433</v>
      </c>
      <c r="CZ5" s="59">
        <f t="shared" ref="CZ5:CZ68" si="42">$CZ$3</f>
        <v>196.65166921588821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1.1538461538461537</v>
      </c>
      <c r="DO5" s="12">
        <f>IF('Données projet'!$A$166&gt;35,DO4+DN5-DW4,IF(A5&lt;'Données projet'!$A$166,$DL$205^A5,IF(A5='Données projet'!$A$166,'Données projet'!$B$166,DO4+DN5-DW4)))</f>
        <v>1.6309084442450623</v>
      </c>
      <c r="DP5" s="17">
        <f>DO5*VLOOKUP('Données projet'!$B$14,Paramètres!$A$1:$I$89,3,0)*VLOOKUP('Données projet'!$B$14,Paramètres!$A$1:$I$89,5,0)</f>
        <v>1.7046255059249393</v>
      </c>
      <c r="DQ5" s="13">
        <f t="shared" ref="DQ5:DQ68" si="43">EXP(-1.0587+0.8836*LN(DP5)+0.284)</f>
        <v>0.7382771613827388</v>
      </c>
      <c r="DR5" s="20">
        <f t="shared" si="16"/>
        <v>4.2547221455608728</v>
      </c>
      <c r="DS5" s="59">
        <f t="shared" si="17"/>
        <v>263.36583325667203</v>
      </c>
      <c r="DT5" s="59">
        <f ca="1">AVERAGE(OFFSET($DS$3,0,0,'Données projet'!$E$14+1,1))-AVERAGE(OFFSET($H$3,0,0,'Données projet'!$E$14+1,1))</f>
        <v>239.26156489359892</v>
      </c>
      <c r="DU5" s="59">
        <f t="shared" ref="DU5:DU68" si="44">$DU$3</f>
        <v>213.97034450798111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3.3603333333333336</v>
      </c>
      <c r="EJ5" s="12">
        <f>IF('Données projet'!$A$192&gt;35,EJ4+EI5-ER4,IF(A5&lt;'Données projet'!$A$192,$EG$205^A5,IF(A5='Données projet'!$A$192,'Données projet'!$B$192,EJ4+EI5-ER4)))</f>
        <v>6.7206666666666672</v>
      </c>
      <c r="EK5" s="17">
        <f>EJ5*VLOOKUP('Données projet'!$B$15,Paramètres!$A$1:$I$89,3,0)*VLOOKUP('Données projet'!$B$15,Paramètres!$A$1:$I$89,5,0)</f>
        <v>6.709913600000001</v>
      </c>
      <c r="EL5" s="13">
        <f t="shared" ref="EL5:EL68" si="45">EXP(-1.0587+0.8836*LN(EK5)+0.284)</f>
        <v>2.477645354956282</v>
      </c>
      <c r="EM5" s="20">
        <f t="shared" si="19"/>
        <v>16.001665179882195</v>
      </c>
      <c r="EN5" s="59">
        <f t="shared" si="20"/>
        <v>275.11277629099334</v>
      </c>
      <c r="EO5" s="59">
        <f ca="1">AVERAGE(OFFSET($EN$3,0,0,'Données projet'!$E$15+1,1))-AVERAGE(OFFSET($H$3,0,0,'Données projet'!$E$15+1,1))</f>
        <v>525.74725170626471</v>
      </c>
      <c r="EP5" s="59">
        <f t="shared" ref="EP5:EP68" si="46">$EP$3</f>
        <v>259.19103598192197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3.3603333333333336</v>
      </c>
      <c r="N6" s="13">
        <f>IF('Données projet'!$A$36&gt;35,N5+M6-V5,IF(A6&lt;'Données projet'!$A$36,$K$205^A6,IF(A6='Données projet'!$A$36,'Données projet'!$B$36,N5+M6-V5)))</f>
        <v>10.081000000000001</v>
      </c>
      <c r="O6" s="13">
        <f>N6*VLOOKUP('Données projet'!$B$9,Paramètres!$A$1:$I$89,3,0)*VLOOKUP('Données projet'!$B$9,Paramètres!$A$1:$I$89,5,0)</f>
        <v>10.222134000000002</v>
      </c>
      <c r="P6" s="13">
        <f t="shared" si="33"/>
        <v>3.594040741454803</v>
      </c>
      <c r="Q6" s="20">
        <f t="shared" si="2"/>
        <v>24.063171008033788</v>
      </c>
      <c r="R6" s="59">
        <f t="shared" si="0"/>
        <v>284.39650434136712</v>
      </c>
      <c r="S6" s="59">
        <f ca="1">AVERAGE(OFFSET($R$3,0,0,'Données projet'!$E$9+1,1))-AVERAGE(OFFSET($H$3,0,0,'Données projet'!$E$9+1,1))</f>
        <v>533.26035274112917</v>
      </c>
      <c r="T6" s="59">
        <f t="shared" si="34"/>
        <v>262.58149402282521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4.5856818181818184</v>
      </c>
      <c r="AI6" s="13">
        <f>IF('Données projet'!$A$62&gt;35,AI5+AH6-AQ5,IF(A6&lt;'Données projet'!$A$62,$AF$205^A6,IF(A6='Données projet'!$A$62,'Données projet'!$B$62,AI5+AH6-AQ5)))</f>
        <v>13.757045454545455</v>
      </c>
      <c r="AJ6" s="13">
        <f>AI6*VLOOKUP('Données projet'!$B$10,Paramètres!$A$1:$I$89,3,0)*VLOOKUP('Données projet'!$B$10,Paramètres!$A$1:$I$89,5,0)</f>
        <v>12.447374727272727</v>
      </c>
      <c r="AK6" s="13">
        <f t="shared" si="35"/>
        <v>4.2772317039887771</v>
      </c>
      <c r="AL6" s="20">
        <f t="shared" si="4"/>
        <v>29.128689534447123</v>
      </c>
      <c r="AM6" s="59">
        <f t="shared" si="5"/>
        <v>289.46202286778043</v>
      </c>
      <c r="AN6" s="59">
        <f ca="1">AVERAGE(OFFSET($AM$3,0,0,'Données projet'!$E$10+1,1))-AVERAGE(OFFSET($H$3,0,0,'Données projet'!$E$10+1,1))</f>
        <v>482.62991869403385</v>
      </c>
      <c r="AO6" s="59">
        <f t="shared" si="36"/>
        <v>310.43914804089906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4.333333333333333</v>
      </c>
      <c r="BD6" s="12">
        <f>IF('Données projet'!$A$88&gt;35,BD5+BC6-BL5,IF(A6&lt;'Données projet'!$A$88,$BA$205^A6,IF(A6='Données projet'!$A$88,'Données projet'!$B$88,BD5+BC6-BL5)))</f>
        <v>2.3045316198021402</v>
      </c>
      <c r="BE6" s="13">
        <f>BD6*VLOOKUP('Données projet'!$B$11,Paramètres!$A$1:$I$89,3,0)*VLOOKUP('Données projet'!$B$11,Paramètres!$A$1:$I$89,5,0)</f>
        <v>2.01323882305915</v>
      </c>
      <c r="BF6" s="13">
        <f t="shared" si="37"/>
        <v>0.85521232084258414</v>
      </c>
      <c r="BG6" s="20">
        <f t="shared" si="7"/>
        <v>4.9958857422955205</v>
      </c>
      <c r="BH6" s="59">
        <f t="shared" si="8"/>
        <v>265.32921907562883</v>
      </c>
      <c r="BI6" s="59">
        <f ca="1">AVERAGE(OFFSET($BH$3,0,0,'Données projet'!$E$11+1,1))-AVERAGE(OFFSET($H$3,0,0,'Données projet'!$E$11+1,1))</f>
        <v>384.34044781465661</v>
      </c>
      <c r="BJ6" s="59">
        <f t="shared" si="38"/>
        <v>374.99493809709708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4.5856818181818184</v>
      </c>
      <c r="BY6" s="12">
        <f>IF('Données projet'!$A$114&gt;35,BY5+BX6-CG5,IF(A6&lt;'Données projet'!$A$114,$BV$205^A6,IF(A6='Données projet'!$A$114,'Données projet'!$B$114,BY5+BX6-CG5)))</f>
        <v>13.757045454545455</v>
      </c>
      <c r="BZ6" s="13">
        <f>BY6*VLOOKUP('Données projet'!$B$12,Paramètres!$A$1:$I$89,3,0)*VLOOKUP('Données projet'!$B$12,Paramètres!$A$1:$I$89,5,0)</f>
        <v>13.091204454545455</v>
      </c>
      <c r="CA6" s="13">
        <f t="shared" si="39"/>
        <v>4.4721384937595063</v>
      </c>
      <c r="CB6" s="20">
        <f t="shared" si="10"/>
        <v>30.589488968297804</v>
      </c>
      <c r="CC6" s="59">
        <f t="shared" si="11"/>
        <v>290.92282230163113</v>
      </c>
      <c r="CD6" s="59">
        <f ca="1">AVERAGE(OFFSET($CC$3,0,0,'Données projet'!$E$12+1,1))-AVERAGE(OFFSET($H$3,0,0,'Données projet'!$E$12+1,1))</f>
        <v>513.14430745499283</v>
      </c>
      <c r="CE6" s="59">
        <f t="shared" si="40"/>
        <v>324.2490378019823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1.7094017094017093</v>
      </c>
      <c r="CT6" s="12">
        <f>IF('Données projet'!$A$140&gt;35,CT5+CS6-DB5,IF(A6&lt;'Données projet'!$A$140,$CQ$205^A6,IF(A6='Données projet'!$A$140,'Données projet'!$B$140,CT5+CS6-DB5)))</f>
        <v>1.9133176534532301</v>
      </c>
      <c r="CU6" s="17">
        <f>CT6*VLOOKUP('Données projet'!$B$13,Paramètres!$A$1:$I$89,3,0)*VLOOKUP('Données projet'!$B$13,Paramètres!$A$1:$I$89,5,0)</f>
        <v>1.4923877696935195</v>
      </c>
      <c r="CV6" s="13">
        <f t="shared" si="41"/>
        <v>0.65643830959844374</v>
      </c>
      <c r="CW6" s="20">
        <f t="shared" si="13"/>
        <v>3.7425387547668367</v>
      </c>
      <c r="CX6" s="59">
        <f t="shared" si="14"/>
        <v>264.07587208810014</v>
      </c>
      <c r="CY6" s="59">
        <f ca="1">AVERAGE(OFFSET($CX$3,0,0,'Données projet'!$E$13+1,1))-AVERAGE(OFFSET($H$3,0,0,'Données projet'!$E$13+1,1))</f>
        <v>197.51452239559433</v>
      </c>
      <c r="CZ6" s="59">
        <f t="shared" si="42"/>
        <v>196.65166921588821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1.1538461538461537</v>
      </c>
      <c r="DO6" s="12">
        <f>IF('Données projet'!$A$166&gt;35,DO5+DN6-DW5,IF(A6&lt;'Données projet'!$A$166,$DL$205^A6,IF(A6='Données projet'!$A$166,'Données projet'!$B$166,DO5+DN6-DW5)))</f>
        <v>2.082784667907069</v>
      </c>
      <c r="DP6" s="17">
        <f>DO6*VLOOKUP('Données projet'!$B$14,Paramètres!$A$1:$I$89,3,0)*VLOOKUP('Données projet'!$B$14,Paramètres!$A$1:$I$89,5,0)</f>
        <v>2.1769265348964688</v>
      </c>
      <c r="DQ6" s="13">
        <f t="shared" si="43"/>
        <v>0.9163699153634669</v>
      </c>
      <c r="DR6" s="20">
        <f t="shared" si="16"/>
        <v>5.3874913175360541</v>
      </c>
      <c r="DS6" s="59">
        <f t="shared" si="17"/>
        <v>265.72082465086936</v>
      </c>
      <c r="DT6" s="59">
        <f ca="1">AVERAGE(OFFSET($DS$3,0,0,'Données projet'!$E$14+1,1))-AVERAGE(OFFSET($H$3,0,0,'Données projet'!$E$14+1,1))</f>
        <v>239.26156489359892</v>
      </c>
      <c r="DU6" s="59">
        <f t="shared" si="44"/>
        <v>213.97034450798111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3.3603333333333336</v>
      </c>
      <c r="EJ6" s="12">
        <f>IF('Données projet'!$A$192&gt;35,EJ5+EI6-ER5,IF(A6&lt;'Données projet'!$A$192,$EG$205^A6,IF(A6='Données projet'!$A$192,'Données projet'!$B$192,EJ5+EI6-ER5)))</f>
        <v>10.081000000000001</v>
      </c>
      <c r="EK6" s="17">
        <f>EJ6*VLOOKUP('Données projet'!$B$15,Paramètres!$A$1:$I$89,3,0)*VLOOKUP('Données projet'!$B$15,Paramètres!$A$1:$I$89,5,0)</f>
        <v>10.064870400000002</v>
      </c>
      <c r="EL6" s="13">
        <f t="shared" si="45"/>
        <v>3.5451399063767561</v>
      </c>
      <c r="EM6" s="20">
        <f t="shared" si="19"/>
        <v>23.704101283606182</v>
      </c>
      <c r="EN6" s="59">
        <f t="shared" si="20"/>
        <v>284.03743461693949</v>
      </c>
      <c r="EO6" s="59">
        <f ca="1">AVERAGE(OFFSET($EN$3,0,0,'Données projet'!$E$15+1,1))-AVERAGE(OFFSET($H$3,0,0,'Données projet'!$E$15+1,1))</f>
        <v>525.74725170626471</v>
      </c>
      <c r="EP6" s="59">
        <f t="shared" si="46"/>
        <v>259.19103598192197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3.3603333333333336</v>
      </c>
      <c r="N7" s="13">
        <f>IF('Données projet'!$A$36&gt;35,N6+M7-V6,IF(A7&lt;'Données projet'!$A$36,$K$205^A7,IF(A7='Données projet'!$A$36,'Données projet'!$B$36,N6+M7-V6)))</f>
        <v>13.441333333333334</v>
      </c>
      <c r="O7" s="13">
        <f>N7*VLOOKUP('Données projet'!$B$9,Paramètres!$A$1:$I$89,3,0)*VLOOKUP('Données projet'!$B$9,Paramètres!$A$1:$I$89,5,0)</f>
        <v>13.629512000000002</v>
      </c>
      <c r="P7" s="13">
        <f t="shared" si="33"/>
        <v>4.6342436503982958</v>
      </c>
      <c r="Q7" s="20">
        <f t="shared" si="2"/>
        <v>31.8093744244437</v>
      </c>
      <c r="R7" s="59">
        <f t="shared" si="0"/>
        <v>293.36492997999926</v>
      </c>
      <c r="S7" s="59">
        <f ca="1">AVERAGE(OFFSET($R$3,0,0,'Données projet'!$E$9+1,1))-AVERAGE(OFFSET($H$3,0,0,'Données projet'!$E$9+1,1))</f>
        <v>533.26035274112917</v>
      </c>
      <c r="T7" s="59">
        <f t="shared" si="34"/>
        <v>262.58149402282521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4.5856818181818184</v>
      </c>
      <c r="AI7" s="13">
        <f>IF('Données projet'!$A$62&gt;35,AI6+AH7-AQ6,IF(A7&lt;'Données projet'!$A$62,$AF$205^A7,IF(A7='Données projet'!$A$62,'Données projet'!$B$62,AI6+AH7-AQ6)))</f>
        <v>18.342727272727274</v>
      </c>
      <c r="AJ7" s="13">
        <f>AI7*VLOOKUP('Données projet'!$B$10,Paramètres!$A$1:$I$89,3,0)*VLOOKUP('Données projet'!$B$10,Paramètres!$A$1:$I$89,5,0)</f>
        <v>16.596499636363635</v>
      </c>
      <c r="AK7" s="13">
        <f t="shared" si="35"/>
        <v>5.5151667138499949</v>
      </c>
      <c r="AL7" s="20">
        <f t="shared" si="4"/>
        <v>38.511152226622073</v>
      </c>
      <c r="AM7" s="59">
        <f t="shared" si="5"/>
        <v>300.06670778217762</v>
      </c>
      <c r="AN7" s="59">
        <f ca="1">AVERAGE(OFFSET($AM$3,0,0,'Données projet'!$E$10+1,1))-AVERAGE(OFFSET($H$3,0,0,'Données projet'!$E$10+1,1))</f>
        <v>482.62991869403385</v>
      </c>
      <c r="AO7" s="59">
        <f t="shared" si="36"/>
        <v>310.43914804089906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4.333333333333333</v>
      </c>
      <c r="BD7" s="12">
        <f>IF('Données projet'!$A$88&gt;35,BD6+BC7-BL6,IF(A7&lt;'Données projet'!$A$88,$BA$205^A7,IF(A7='Données projet'!$A$88,'Données projet'!$B$88,BD6+BC7-BL6)))</f>
        <v>3.0439923858678468</v>
      </c>
      <c r="BE7" s="13">
        <f>BD7*VLOOKUP('Données projet'!$B$11,Paramètres!$A$1:$I$89,3,0)*VLOOKUP('Données projet'!$B$11,Paramètres!$A$1:$I$89,5,0)</f>
        <v>2.6592317482941512</v>
      </c>
      <c r="BF7" s="13">
        <f t="shared" si="37"/>
        <v>1.0936204730559642</v>
      </c>
      <c r="BG7" s="20">
        <f t="shared" si="7"/>
        <v>6.5362176188514516</v>
      </c>
      <c r="BH7" s="59">
        <f t="shared" si="8"/>
        <v>268.09177317440697</v>
      </c>
      <c r="BI7" s="59">
        <f ca="1">AVERAGE(OFFSET($BH$3,0,0,'Données projet'!$E$11+1,1))-AVERAGE(OFFSET($H$3,0,0,'Données projet'!$E$11+1,1))</f>
        <v>384.34044781465661</v>
      </c>
      <c r="BJ7" s="59">
        <f t="shared" si="38"/>
        <v>374.99493809709708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4.5856818181818184</v>
      </c>
      <c r="BY7" s="12">
        <f>IF('Données projet'!$A$114&gt;35,BY6+BX7-CG6,IF(A7&lt;'Données projet'!$A$114,$BV$205^A7,IF(A7='Données projet'!$A$114,'Données projet'!$B$114,BY6+BX7-CG6)))</f>
        <v>18.342727272727274</v>
      </c>
      <c r="BZ7" s="13">
        <f>BY7*VLOOKUP('Données projet'!$B$12,Paramètres!$A$1:$I$89,3,0)*VLOOKUP('Données projet'!$B$12,Paramètres!$A$1:$I$89,5,0)</f>
        <v>17.454939272727273</v>
      </c>
      <c r="CA7" s="13">
        <f t="shared" si="39"/>
        <v>5.7664842747491232</v>
      </c>
      <c r="CB7" s="20">
        <f t="shared" si="10"/>
        <v>40.443979345188062</v>
      </c>
      <c r="CC7" s="59">
        <f t="shared" si="11"/>
        <v>301.99953490074358</v>
      </c>
      <c r="CD7" s="59">
        <f ca="1">AVERAGE(OFFSET($CC$3,0,0,'Données projet'!$E$12+1,1))-AVERAGE(OFFSET($H$3,0,0,'Données projet'!$E$12+1,1))</f>
        <v>513.14430745499283</v>
      </c>
      <c r="CE7" s="59">
        <f t="shared" si="40"/>
        <v>324.2490378019823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1.7094017094017093</v>
      </c>
      <c r="CT7" s="12">
        <f>IF('Données projet'!$A$140&gt;35,CT6+CS7-DB6,IF(A7&lt;'Données projet'!$A$140,$CQ$205^A7,IF(A7='Données projet'!$A$140,'Données projet'!$B$140,CT6+CS7-DB6)))</f>
        <v>2.3752870707905585</v>
      </c>
      <c r="CU7" s="17">
        <f>CT7*VLOOKUP('Données projet'!$B$13,Paramètres!$A$1:$I$89,3,0)*VLOOKUP('Données projet'!$B$13,Paramètres!$A$1:$I$89,5,0)</f>
        <v>1.8527239152166357</v>
      </c>
      <c r="CV7" s="13">
        <f t="shared" si="41"/>
        <v>0.79467510139808173</v>
      </c>
      <c r="CW7" s="20">
        <f t="shared" si="13"/>
        <v>4.6108866206039663</v>
      </c>
      <c r="CX7" s="59">
        <f t="shared" si="14"/>
        <v>266.16644217615953</v>
      </c>
      <c r="CY7" s="59">
        <f ca="1">AVERAGE(OFFSET($CX$3,0,0,'Données projet'!$E$13+1,1))-AVERAGE(OFFSET($H$3,0,0,'Données projet'!$E$13+1,1))</f>
        <v>197.51452239559433</v>
      </c>
      <c r="CZ7" s="59">
        <f t="shared" si="42"/>
        <v>196.65166921588821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1.1538461538461537</v>
      </c>
      <c r="DO7" s="12">
        <f>IF('Données projet'!$A$166&gt;35,DO6+DN7-DW6,IF(A7&lt;'Données projet'!$A$166,$DL$205^A7,IF(A7='Données projet'!$A$166,'Données projet'!$B$166,DO6+DN7-DW6)))</f>
        <v>2.6598623535098493</v>
      </c>
      <c r="DP7" s="17">
        <f>DO7*VLOOKUP('Données projet'!$B$14,Paramètres!$A$1:$I$89,3,0)*VLOOKUP('Données projet'!$B$14,Paramètres!$A$1:$I$89,5,0)</f>
        <v>2.7800881318884949</v>
      </c>
      <c r="DQ7" s="13">
        <f t="shared" si="43"/>
        <v>1.1374235391631071</v>
      </c>
      <c r="DR7" s="20">
        <f t="shared" si="16"/>
        <v>6.822999493748207</v>
      </c>
      <c r="DS7" s="59">
        <f t="shared" si="17"/>
        <v>268.37855504930377</v>
      </c>
      <c r="DT7" s="59">
        <f ca="1">AVERAGE(OFFSET($DS$3,0,0,'Données projet'!$E$14+1,1))-AVERAGE(OFFSET($H$3,0,0,'Données projet'!$E$14+1,1))</f>
        <v>239.26156489359892</v>
      </c>
      <c r="DU7" s="59">
        <f t="shared" si="44"/>
        <v>213.97034450798111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3.3603333333333336</v>
      </c>
      <c r="EJ7" s="12">
        <f>IF('Données projet'!$A$192&gt;35,EJ6+EI7-ER6,IF(A7&lt;'Données projet'!$A$192,$EG$205^A7,IF(A7='Données projet'!$A$192,'Données projet'!$B$192,EJ6+EI7-ER6)))</f>
        <v>13.441333333333334</v>
      </c>
      <c r="EK7" s="17">
        <f>EJ7*VLOOKUP('Données projet'!$B$15,Paramètres!$A$1:$I$89,3,0)*VLOOKUP('Données projet'!$B$15,Paramètres!$A$1:$I$89,5,0)</f>
        <v>13.419827200000002</v>
      </c>
      <c r="EL7" s="13">
        <f t="shared" si="45"/>
        <v>4.5711897228660572</v>
      </c>
      <c r="EM7" s="20">
        <f t="shared" si="19"/>
        <v>31.33435447399172</v>
      </c>
      <c r="EN7" s="59">
        <f t="shared" si="20"/>
        <v>292.88991002954725</v>
      </c>
      <c r="EO7" s="59">
        <f ca="1">AVERAGE(OFFSET($EN$3,0,0,'Données projet'!$E$15+1,1))-AVERAGE(OFFSET($H$3,0,0,'Données projet'!$E$15+1,1))</f>
        <v>525.74725170626471</v>
      </c>
      <c r="EP7" s="59">
        <f t="shared" si="46"/>
        <v>259.19103598192197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3.3603333333333336</v>
      </c>
      <c r="N8" s="13">
        <f>IF('Données projet'!$A$36&gt;35,N7+M8-V7,IF(A8&lt;'Données projet'!$A$36,$K$205^A8,IF(A8='Données projet'!$A$36,'Données projet'!$B$36,N7+M8-V7)))</f>
        <v>16.801666666666669</v>
      </c>
      <c r="O8" s="13">
        <f>N8*VLOOKUP('Données projet'!$B$9,Paramètres!$A$1:$I$89,3,0)*VLOOKUP('Données projet'!$B$9,Paramètres!$A$1:$I$89,5,0)</f>
        <v>17.036890000000003</v>
      </c>
      <c r="P8" s="13">
        <f t="shared" si="33"/>
        <v>5.6442800138581015</v>
      </c>
      <c r="Q8" s="20">
        <f t="shared" si="2"/>
        <v>39.503037774136196</v>
      </c>
      <c r="R8" s="59">
        <f t="shared" si="0"/>
        <v>302.28081555191397</v>
      </c>
      <c r="S8" s="59">
        <f ca="1">AVERAGE(OFFSET($R$3,0,0,'Données projet'!$E$9+1,1))-AVERAGE(OFFSET($H$3,0,0,'Données projet'!$E$9+1,1))</f>
        <v>533.26035274112917</v>
      </c>
      <c r="T8" s="59">
        <f t="shared" si="34"/>
        <v>262.58149402282521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4.5856818181818184</v>
      </c>
      <c r="AI8" s="13">
        <f>IF('Données projet'!$A$62&gt;35,AI7+AH8-AQ7,IF(A8&lt;'Données projet'!$A$62,$AF$205^A8,IF(A8='Données projet'!$A$62,'Données projet'!$B$62,AI7+AH8-AQ7)))</f>
        <v>22.928409090909092</v>
      </c>
      <c r="AJ8" s="13">
        <f>AI8*VLOOKUP('Données projet'!$B$10,Paramètres!$A$1:$I$89,3,0)*VLOOKUP('Données projet'!$B$10,Paramètres!$A$1:$I$89,5,0)</f>
        <v>20.745624545454547</v>
      </c>
      <c r="AK8" s="13">
        <f t="shared" si="35"/>
        <v>6.7172008216278272</v>
      </c>
      <c r="AL8" s="20">
        <f t="shared" si="4"/>
        <v>47.831087514335131</v>
      </c>
      <c r="AM8" s="59">
        <f t="shared" si="5"/>
        <v>310.60886529211291</v>
      </c>
      <c r="AN8" s="59">
        <f ca="1">AVERAGE(OFFSET($AM$3,0,0,'Données projet'!$E$10+1,1))-AVERAGE(OFFSET($H$3,0,0,'Données projet'!$E$10+1,1))</f>
        <v>482.62991869403385</v>
      </c>
      <c r="AO8" s="59">
        <f t="shared" si="36"/>
        <v>310.43914804089906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4.333333333333333</v>
      </c>
      <c r="BD8" s="12">
        <f>IF('Données projet'!$A$88&gt;35,BD7+BC8-BL7,IF(A8&lt;'Données projet'!$A$88,$BA$205^A8,IF(A8='Données projet'!$A$88,'Données projet'!$B$88,BD7+BC8-BL7)))</f>
        <v>4.0207257585890561</v>
      </c>
      <c r="BE8" s="13">
        <f>BD8*VLOOKUP('Données projet'!$B$11,Paramètres!$A$1:$I$89,3,0)*VLOOKUP('Données projet'!$B$11,Paramètres!$A$1:$I$89,5,0)</f>
        <v>3.5125060227033997</v>
      </c>
      <c r="BF8" s="13">
        <f t="shared" si="37"/>
        <v>1.3984898368966503</v>
      </c>
      <c r="BG8" s="20">
        <f t="shared" si="7"/>
        <v>8.5533177888034189</v>
      </c>
      <c r="BH8" s="59">
        <f t="shared" si="8"/>
        <v>271.33109556658121</v>
      </c>
      <c r="BI8" s="59">
        <f ca="1">AVERAGE(OFFSET($BH$3,0,0,'Données projet'!$E$11+1,1))-AVERAGE(OFFSET($H$3,0,0,'Données projet'!$E$11+1,1))</f>
        <v>384.34044781465661</v>
      </c>
      <c r="BJ8" s="59">
        <f t="shared" si="38"/>
        <v>374.99493809709708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4.5856818181818184</v>
      </c>
      <c r="BY8" s="12">
        <f>IF('Données projet'!$A$114&gt;35,BY7+BX8-CG7,IF(A8&lt;'Données projet'!$A$114,$BV$205^A8,IF(A8='Données projet'!$A$114,'Données projet'!$B$114,BY7+BX8-CG7)))</f>
        <v>22.928409090909092</v>
      </c>
      <c r="BZ8" s="13">
        <f>BY8*VLOOKUP('Données projet'!$B$12,Paramètres!$A$1:$I$89,3,0)*VLOOKUP('Données projet'!$B$12,Paramètres!$A$1:$I$89,5,0)</f>
        <v>21.818674090909091</v>
      </c>
      <c r="CA8" s="13">
        <f t="shared" si="39"/>
        <v>7.0232932054395016</v>
      </c>
      <c r="CB8" s="20">
        <f t="shared" si="10"/>
        <v>50.233093041140471</v>
      </c>
      <c r="CC8" s="59">
        <f t="shared" si="11"/>
        <v>313.01087081891825</v>
      </c>
      <c r="CD8" s="59">
        <f ca="1">AVERAGE(OFFSET($CC$3,0,0,'Données projet'!$E$12+1,1))-AVERAGE(OFFSET($H$3,0,0,'Données projet'!$E$12+1,1))</f>
        <v>513.14430745499283</v>
      </c>
      <c r="CE8" s="59">
        <f t="shared" si="40"/>
        <v>324.2490378019823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1.7094017094017093</v>
      </c>
      <c r="CT8" s="12">
        <f>IF('Données projet'!$A$140&gt;35,CT7+CS8-DB7,IF(A8&lt;'Données projet'!$A$140,$CQ$205^A8,IF(A8='Données projet'!$A$140,'Données projet'!$B$140,CT7+CS8-DB7)))</f>
        <v>2.9487987310846742</v>
      </c>
      <c r="CU8" s="17">
        <f>CT8*VLOOKUP('Données projet'!$B$13,Paramètres!$A$1:$I$89,3,0)*VLOOKUP('Données projet'!$B$13,Paramètres!$A$1:$I$89,5,0)</f>
        <v>2.300063010246046</v>
      </c>
      <c r="CV8" s="13">
        <f t="shared" si="41"/>
        <v>0.96202264180522579</v>
      </c>
      <c r="CW8" s="20">
        <f t="shared" si="13"/>
        <v>5.6814658439892973</v>
      </c>
      <c r="CX8" s="59">
        <f t="shared" si="14"/>
        <v>268.45924362176709</v>
      </c>
      <c r="CY8" s="59">
        <f ca="1">AVERAGE(OFFSET($CX$3,0,0,'Données projet'!$E$13+1,1))-AVERAGE(OFFSET($H$3,0,0,'Données projet'!$E$13+1,1))</f>
        <v>197.51452239559433</v>
      </c>
      <c r="CZ8" s="59">
        <f t="shared" si="42"/>
        <v>196.65166921588821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1.1538461538461537</v>
      </c>
      <c r="DO8" s="12">
        <f>IF('Données projet'!$A$166&gt;35,DO7+DN8-DW7,IF(A8&lt;'Données projet'!$A$166,$DL$205^A8,IF(A8='Données projet'!$A$166,'Données projet'!$B$166,DO7+DN8-DW7)))</f>
        <v>3.3968311024337861</v>
      </c>
      <c r="DP8" s="17">
        <f>DO8*VLOOKUP('Données projet'!$B$14,Paramètres!$A$1:$I$89,3,0)*VLOOKUP('Données projet'!$B$14,Paramètres!$A$1:$I$89,5,0)</f>
        <v>3.5503678682637934</v>
      </c>
      <c r="DQ8" s="13">
        <f t="shared" si="43"/>
        <v>1.4118013760078378</v>
      </c>
      <c r="DR8" s="20">
        <f t="shared" si="16"/>
        <v>8.6424447671064257</v>
      </c>
      <c r="DS8" s="59">
        <f t="shared" si="17"/>
        <v>271.42022254488421</v>
      </c>
      <c r="DT8" s="59">
        <f ca="1">AVERAGE(OFFSET($DS$3,0,0,'Données projet'!$E$14+1,1))-AVERAGE(OFFSET($H$3,0,0,'Données projet'!$E$14+1,1))</f>
        <v>239.26156489359892</v>
      </c>
      <c r="DU8" s="59">
        <f t="shared" si="44"/>
        <v>213.97034450798111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3.3603333333333336</v>
      </c>
      <c r="EJ8" s="12">
        <f>IF('Données projet'!$A$192&gt;35,EJ7+EI8-ER7,IF(A8&lt;'Données projet'!$A$192,$EG$205^A8,IF(A8='Données projet'!$A$192,'Données projet'!$B$192,EJ7+EI8-ER7)))</f>
        <v>16.801666666666669</v>
      </c>
      <c r="EK8" s="17">
        <f>EJ8*VLOOKUP('Données projet'!$B$15,Paramètres!$A$1:$I$89,3,0)*VLOOKUP('Données projet'!$B$15,Paramètres!$A$1:$I$89,5,0)</f>
        <v>16.774784000000004</v>
      </c>
      <c r="EL8" s="13">
        <f t="shared" si="45"/>
        <v>5.5674834425481539</v>
      </c>
      <c r="EM8" s="20">
        <f t="shared" si="19"/>
        <v>38.912782462438038</v>
      </c>
      <c r="EN8" s="59">
        <f t="shared" si="20"/>
        <v>301.6905602402158</v>
      </c>
      <c r="EO8" s="59">
        <f ca="1">AVERAGE(OFFSET($EN$3,0,0,'Données projet'!$E$15+1,1))-AVERAGE(OFFSET($H$3,0,0,'Données projet'!$E$15+1,1))</f>
        <v>525.74725170626471</v>
      </c>
      <c r="EP8" s="59">
        <f t="shared" si="46"/>
        <v>259.19103598192197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3.3603333333333336</v>
      </c>
      <c r="N9" s="13">
        <f>IF('Données projet'!$A$36&gt;35,N8+M9-V8,IF(A9&lt;'Données projet'!$A$36,$K$205^A9,IF(A9='Données projet'!$A$36,'Données projet'!$B$36,N8+M9-V8)))</f>
        <v>20.162000000000003</v>
      </c>
      <c r="O9" s="13">
        <f>N9*VLOOKUP('Données projet'!$B$9,Paramètres!$A$1:$I$89,3,0)*VLOOKUP('Données projet'!$B$9,Paramètres!$A$1:$I$89,5,0)</f>
        <v>20.444268000000005</v>
      </c>
      <c r="P9" s="13">
        <f t="shared" si="33"/>
        <v>6.6309094915603763</v>
      </c>
      <c r="Q9" s="20">
        <f t="shared" si="2"/>
        <v>47.15593413113433</v>
      </c>
      <c r="R9" s="59">
        <f t="shared" si="0"/>
        <v>311.15593413113436</v>
      </c>
      <c r="S9" s="59">
        <f ca="1">AVERAGE(OFFSET($R$3,0,0,'Données projet'!$E$9+1,1))-AVERAGE(OFFSET($H$3,0,0,'Données projet'!$E$9+1,1))</f>
        <v>533.26035274112917</v>
      </c>
      <c r="T9" s="59">
        <f t="shared" si="34"/>
        <v>262.58149402282521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4.5856818181818184</v>
      </c>
      <c r="AI9" s="13">
        <f>IF('Données projet'!$A$62&gt;35,AI8+AH9-AQ8,IF(A9&lt;'Données projet'!$A$62,$AF$205^A9,IF(A9='Données projet'!$A$62,'Données projet'!$B$62,AI8+AH9-AQ8)))</f>
        <v>27.51409090909091</v>
      </c>
      <c r="AJ9" s="13">
        <f>AI9*VLOOKUP('Données projet'!$B$10,Paramètres!$A$1:$I$89,3,0)*VLOOKUP('Données projet'!$B$10,Paramètres!$A$1:$I$89,5,0)</f>
        <v>24.894749454545455</v>
      </c>
      <c r="AK9" s="13">
        <f t="shared" si="35"/>
        <v>7.8913786303106157</v>
      </c>
      <c r="AL9" s="20">
        <f t="shared" si="4"/>
        <v>57.102506414457658</v>
      </c>
      <c r="AM9" s="59">
        <f t="shared" si="5"/>
        <v>321.10250641445765</v>
      </c>
      <c r="AN9" s="59">
        <f ca="1">AVERAGE(OFFSET($AM$3,0,0,'Données projet'!$E$10+1,1))-AVERAGE(OFFSET($H$3,0,0,'Données projet'!$E$10+1,1))</f>
        <v>482.62991869403385</v>
      </c>
      <c r="AO9" s="59">
        <f t="shared" si="36"/>
        <v>310.43914804089906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4.333333333333333</v>
      </c>
      <c r="BD9" s="12">
        <f>IF('Données projet'!$A$88&gt;35,BD8+BC9-BL8,IF(A9&lt;'Données projet'!$A$88,$BA$205^A9,IF(A9='Données projet'!$A$88,'Données projet'!$B$88,BD8+BC9-BL8)))</f>
        <v>5.310865986667876</v>
      </c>
      <c r="BE9" s="13">
        <f>BD9*VLOOKUP('Données projet'!$B$11,Paramètres!$A$1:$I$89,3,0)*VLOOKUP('Données projet'!$B$11,Paramètres!$A$1:$I$89,5,0)</f>
        <v>4.6395725259530565</v>
      </c>
      <c r="BF9" s="13">
        <f t="shared" si="37"/>
        <v>1.7883478520094751</v>
      </c>
      <c r="BG9" s="20">
        <f t="shared" si="7"/>
        <v>11.195294658284743</v>
      </c>
      <c r="BH9" s="59">
        <f t="shared" si="8"/>
        <v>275.19529465828475</v>
      </c>
      <c r="BI9" s="59">
        <f ca="1">AVERAGE(OFFSET($BH$3,0,0,'Données projet'!$E$11+1,1))-AVERAGE(OFFSET($H$3,0,0,'Données projet'!$E$11+1,1))</f>
        <v>384.34044781465661</v>
      </c>
      <c r="BJ9" s="59">
        <f t="shared" si="38"/>
        <v>374.99493809709708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4.5856818181818184</v>
      </c>
      <c r="BY9" s="12">
        <f>IF('Données projet'!$A$114&gt;35,BY8+BX9-CG8,IF(A9&lt;'Données projet'!$A$114,$BV$205^A9,IF(A9='Données projet'!$A$114,'Données projet'!$B$114,BY8+BX9-CG8)))</f>
        <v>27.51409090909091</v>
      </c>
      <c r="BZ9" s="13">
        <f>BY9*VLOOKUP('Données projet'!$B$12,Paramètres!$A$1:$I$89,3,0)*VLOOKUP('Données projet'!$B$12,Paramètres!$A$1:$I$89,5,0)</f>
        <v>26.18240890909091</v>
      </c>
      <c r="CA9" s="13">
        <f t="shared" si="39"/>
        <v>8.250976468852965</v>
      </c>
      <c r="CB9" s="20">
        <f t="shared" si="10"/>
        <v>59.97147953325225</v>
      </c>
      <c r="CC9" s="59">
        <f t="shared" si="11"/>
        <v>323.97147953325225</v>
      </c>
      <c r="CD9" s="59">
        <f ca="1">AVERAGE(OFFSET($CC$3,0,0,'Données projet'!$E$12+1,1))-AVERAGE(OFFSET($H$3,0,0,'Données projet'!$E$12+1,1))</f>
        <v>513.14430745499283</v>
      </c>
      <c r="CE9" s="59">
        <f t="shared" si="40"/>
        <v>324.2490378019823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1.7094017094017093</v>
      </c>
      <c r="CT9" s="12">
        <f>IF('Données projet'!$A$140&gt;35,CT8+CS9-DB8,IF(A9&lt;'Données projet'!$A$140,$CQ$205^A9,IF(A9='Données projet'!$A$140,'Données projet'!$B$140,CT8+CS9-DB8)))</f>
        <v>3.6607844430157748</v>
      </c>
      <c r="CU9" s="17">
        <f>CT9*VLOOKUP('Données projet'!$B$13,Paramètres!$A$1:$I$89,3,0)*VLOOKUP('Données projet'!$B$13,Paramètres!$A$1:$I$89,5,0)</f>
        <v>2.8554118655523042</v>
      </c>
      <c r="CV9" s="13">
        <f t="shared" si="41"/>
        <v>1.1646112502048747</v>
      </c>
      <c r="CW9" s="20">
        <f t="shared" si="13"/>
        <v>7.0015402599437531</v>
      </c>
      <c r="CX9" s="59">
        <f t="shared" si="14"/>
        <v>271.00154025994374</v>
      </c>
      <c r="CY9" s="59">
        <f ca="1">AVERAGE(OFFSET($CX$3,0,0,'Données projet'!$E$13+1,1))-AVERAGE(OFFSET($H$3,0,0,'Données projet'!$E$13+1,1))</f>
        <v>197.51452239559433</v>
      </c>
      <c r="CZ9" s="59">
        <f t="shared" si="42"/>
        <v>196.65166921588821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1.1538461538461537</v>
      </c>
      <c r="DO9" s="12">
        <f>IF('Données projet'!$A$166&gt;35,DO8+DN9-DW8,IF(A9&lt;'Données projet'!$A$166,$DL$205^A9,IF(A9='Données projet'!$A$166,'Données projet'!$B$166,DO8+DN9-DW8)))</f>
        <v>4.3379919728687586</v>
      </c>
      <c r="DP9" s="17">
        <f>DO9*VLOOKUP('Données projet'!$B$14,Paramètres!$A$1:$I$89,3,0)*VLOOKUP('Données projet'!$B$14,Paramètres!$A$1:$I$89,5,0)</f>
        <v>4.5340692100424276</v>
      </c>
      <c r="DQ9" s="13">
        <f t="shared" si="43"/>
        <v>1.7523666925023973</v>
      </c>
      <c r="DR9" s="20">
        <f t="shared" si="16"/>
        <v>10.948875863598902</v>
      </c>
      <c r="DS9" s="59">
        <f t="shared" si="17"/>
        <v>274.94887586359891</v>
      </c>
      <c r="DT9" s="59">
        <f ca="1">AVERAGE(OFFSET($DS$3,0,0,'Données projet'!$E$14+1,1))-AVERAGE(OFFSET($H$3,0,0,'Données projet'!$E$14+1,1))</f>
        <v>239.26156489359892</v>
      </c>
      <c r="DU9" s="59">
        <f t="shared" si="44"/>
        <v>213.97034450798111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3.3603333333333336</v>
      </c>
      <c r="EJ9" s="12">
        <f>IF('Données projet'!$A$192&gt;35,EJ8+EI9-ER8,IF(A9&lt;'Données projet'!$A$192,$EG$205^A9,IF(A9='Données projet'!$A$192,'Données projet'!$B$192,EJ8+EI9-ER8)))</f>
        <v>20.162000000000003</v>
      </c>
      <c r="EK9" s="17">
        <f>EJ9*VLOOKUP('Données projet'!$B$15,Paramètres!$A$1:$I$89,3,0)*VLOOKUP('Données projet'!$B$15,Paramètres!$A$1:$I$89,5,0)</f>
        <v>20.129740800000004</v>
      </c>
      <c r="EL9" s="13">
        <f t="shared" si="45"/>
        <v>6.540688752623236</v>
      </c>
      <c r="EM9" s="20">
        <f t="shared" si="19"/>
        <v>46.450998137485477</v>
      </c>
      <c r="EN9" s="59">
        <f t="shared" si="20"/>
        <v>310.4509981374855</v>
      </c>
      <c r="EO9" s="59">
        <f ca="1">AVERAGE(OFFSET($EN$3,0,0,'Données projet'!$E$15+1,1))-AVERAGE(OFFSET($H$3,0,0,'Données projet'!$E$15+1,1))</f>
        <v>525.74725170626471</v>
      </c>
      <c r="EP9" s="59">
        <f t="shared" si="46"/>
        <v>259.19103598192197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3.3603333333333336</v>
      </c>
      <c r="N10" s="13">
        <f>IF('Données projet'!$A$36&gt;35,N9+M10-V9,IF(A10&lt;'Données projet'!$A$36,$K$205^A10,IF(A10='Données projet'!$A$36,'Données projet'!$B$36,N9+M10-V9)))</f>
        <v>23.522333333333336</v>
      </c>
      <c r="O10" s="13">
        <f>N10*VLOOKUP('Données projet'!$B$9,Paramètres!$A$1:$I$89,3,0)*VLOOKUP('Données projet'!$B$9,Paramètres!$A$1:$I$89,5,0)</f>
        <v>23.851646000000006</v>
      </c>
      <c r="P10" s="13">
        <f t="shared" si="33"/>
        <v>7.5984897747645288</v>
      </c>
      <c r="Q10" s="20">
        <f t="shared" si="2"/>
        <v>54.775653141048224</v>
      </c>
      <c r="R10" s="59">
        <f t="shared" si="0"/>
        <v>319.99787536327045</v>
      </c>
      <c r="S10" s="59">
        <f ca="1">AVERAGE(OFFSET($R$3,0,0,'Données projet'!$E$9+1,1))-AVERAGE(OFFSET($H$3,0,0,'Données projet'!$E$9+1,1))</f>
        <v>533.26035274112917</v>
      </c>
      <c r="T10" s="59">
        <f t="shared" si="34"/>
        <v>262.58149402282521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4.5856818181818184</v>
      </c>
      <c r="AI10" s="13">
        <f>IF('Données projet'!$A$62&gt;35,AI9+AH10-AQ9,IF(A10&lt;'Données projet'!$A$62,$AF$205^A10,IF(A10='Données projet'!$A$62,'Données projet'!$B$62,AI9+AH10-AQ9)))</f>
        <v>32.099772727272729</v>
      </c>
      <c r="AJ10" s="13">
        <f>AI10*VLOOKUP('Données projet'!$B$10,Paramètres!$A$1:$I$89,3,0)*VLOOKUP('Données projet'!$B$10,Paramètres!$A$1:$I$89,5,0)</f>
        <v>29.043874363636363</v>
      </c>
      <c r="AK10" s="13">
        <f t="shared" si="35"/>
        <v>9.0428861843958348</v>
      </c>
      <c r="AL10" s="20">
        <f t="shared" si="4"/>
        <v>66.334441287822742</v>
      </c>
      <c r="AM10" s="59">
        <f t="shared" si="5"/>
        <v>331.55666351004498</v>
      </c>
      <c r="AN10" s="59">
        <f ca="1">AVERAGE(OFFSET($AM$3,0,0,'Données projet'!$E$10+1,1))-AVERAGE(OFFSET($H$3,0,0,'Données projet'!$E$10+1,1))</f>
        <v>482.62991869403385</v>
      </c>
      <c r="AO10" s="59">
        <f t="shared" si="36"/>
        <v>310.43914804089906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4.333333333333333</v>
      </c>
      <c r="BD10" s="12">
        <f>IF('Données projet'!$A$88&gt;35,BD9+BC10-BL9,IF(A10&lt;'Données projet'!$A$88,$BA$205^A10,IF(A10='Données projet'!$A$88,'Données projet'!$B$88,BD9+BC10-BL9)))</f>
        <v>7.0149767036694106</v>
      </c>
      <c r="BE10" s="13">
        <f>BD10*VLOOKUP('Données projet'!$B$11,Paramètres!$A$1:$I$89,3,0)*VLOOKUP('Données projet'!$B$11,Paramètres!$A$1:$I$89,5,0)</f>
        <v>6.1282836483255982</v>
      </c>
      <c r="BF10" s="13">
        <f t="shared" si="37"/>
        <v>2.2868868656807066</v>
      </c>
      <c r="BG10" s="20">
        <f t="shared" si="7"/>
        <v>14.656421978560983</v>
      </c>
      <c r="BH10" s="59">
        <f t="shared" si="8"/>
        <v>279.87864420078319</v>
      </c>
      <c r="BI10" s="59">
        <f ca="1">AVERAGE(OFFSET($BH$3,0,0,'Données projet'!$E$11+1,1))-AVERAGE(OFFSET($H$3,0,0,'Données projet'!$E$11+1,1))</f>
        <v>384.34044781465661</v>
      </c>
      <c r="BJ10" s="59">
        <f t="shared" si="38"/>
        <v>374.99493809709708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4.5856818181818184</v>
      </c>
      <c r="BY10" s="12">
        <f>IF('Données projet'!$A$114&gt;35,BY9+BX10-CG9,IF(A10&lt;'Données projet'!$A$114,$BV$205^A10,IF(A10='Données projet'!$A$114,'Données projet'!$B$114,BY9+BX10-CG9)))</f>
        <v>32.099772727272729</v>
      </c>
      <c r="BZ10" s="13">
        <f>BY10*VLOOKUP('Données projet'!$B$12,Paramètres!$A$1:$I$89,3,0)*VLOOKUP('Données projet'!$B$12,Paramètres!$A$1:$I$89,5,0)</f>
        <v>30.546143727272728</v>
      </c>
      <c r="CA10" s="13">
        <f t="shared" si="39"/>
        <v>9.4549564294608857</v>
      </c>
      <c r="CB10" s="20">
        <f t="shared" si="10"/>
        <v>69.6685827729777</v>
      </c>
      <c r="CC10" s="59">
        <f t="shared" si="11"/>
        <v>334.89080499519991</v>
      </c>
      <c r="CD10" s="59">
        <f ca="1">AVERAGE(OFFSET($CC$3,0,0,'Données projet'!$E$12+1,1))-AVERAGE(OFFSET($H$3,0,0,'Données projet'!$E$12+1,1))</f>
        <v>513.14430745499283</v>
      </c>
      <c r="CE10" s="59">
        <f t="shared" si="40"/>
        <v>324.2490378019823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1.7094017094017093</v>
      </c>
      <c r="CT10" s="12">
        <f>IF('Données projet'!$A$140&gt;35,CT9+CS10-DB9,IF(A10&lt;'Données projet'!$A$140,$CQ$205^A10,IF(A10='Données projet'!$A$140,'Données projet'!$B$140,CT9+CS10-DB9)))</f>
        <v>4.544678684562788</v>
      </c>
      <c r="CU10" s="17">
        <f>CT10*VLOOKUP('Données projet'!$B$13,Paramètres!$A$1:$I$89,3,0)*VLOOKUP('Données projet'!$B$13,Paramètres!$A$1:$I$89,5,0)</f>
        <v>3.5448493739589746</v>
      </c>
      <c r="CV10" s="13">
        <f t="shared" si="41"/>
        <v>1.4098622061104944</v>
      </c>
      <c r="CW10" s="20">
        <f t="shared" si="13"/>
        <v>8.6294560019543258</v>
      </c>
      <c r="CX10" s="59">
        <f t="shared" si="14"/>
        <v>273.85167822417657</v>
      </c>
      <c r="CY10" s="59">
        <f ca="1">AVERAGE(OFFSET($CX$3,0,0,'Données projet'!$E$13+1,1))-AVERAGE(OFFSET($H$3,0,0,'Données projet'!$E$13+1,1))</f>
        <v>197.51452239559433</v>
      </c>
      <c r="CZ10" s="59">
        <f t="shared" si="42"/>
        <v>196.65166921588821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1.1538461538461537</v>
      </c>
      <c r="DO10" s="12">
        <f>IF('Données projet'!$A$166&gt;35,DO9+DN10-DW9,IF(A10&lt;'Données projet'!$A$166,$DL$205^A10,IF(A10='Données projet'!$A$166,'Données projet'!$B$166,DO9+DN10-DW9)))</f>
        <v>5.5399205286335267</v>
      </c>
      <c r="DP10" s="17">
        <f>DO10*VLOOKUP('Données projet'!$B$14,Paramètres!$A$1:$I$89,3,0)*VLOOKUP('Données projet'!$B$14,Paramètres!$A$1:$I$89,5,0)</f>
        <v>5.7903249365277629</v>
      </c>
      <c r="DQ10" s="13">
        <f t="shared" si="43"/>
        <v>2.1750857288969967</v>
      </c>
      <c r="DR10" s="20">
        <f t="shared" si="16"/>
        <v>13.873090242281457</v>
      </c>
      <c r="DS10" s="59">
        <f t="shared" si="17"/>
        <v>279.09531246450371</v>
      </c>
      <c r="DT10" s="59">
        <f ca="1">AVERAGE(OFFSET($DS$3,0,0,'Données projet'!$E$14+1,1))-AVERAGE(OFFSET($H$3,0,0,'Données projet'!$E$14+1,1))</f>
        <v>239.26156489359892</v>
      </c>
      <c r="DU10" s="59">
        <f t="shared" si="44"/>
        <v>213.97034450798111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3.3603333333333336</v>
      </c>
      <c r="EJ10" s="12">
        <f>IF('Données projet'!$A$192&gt;35,EJ9+EI10-ER9,IF(A10&lt;'Données projet'!$A$192,$EG$205^A10,IF(A10='Données projet'!$A$192,'Données projet'!$B$192,EJ9+EI10-ER9)))</f>
        <v>23.522333333333336</v>
      </c>
      <c r="EK10" s="17">
        <f>EJ10*VLOOKUP('Données projet'!$B$15,Paramètres!$A$1:$I$89,3,0)*VLOOKUP('Données projet'!$B$15,Paramètres!$A$1:$I$89,5,0)</f>
        <v>23.484697600000004</v>
      </c>
      <c r="EL10" s="13">
        <f t="shared" si="45"/>
        <v>7.4951040532193769</v>
      </c>
      <c r="EM10" s="20">
        <f t="shared" si="19"/>
        <v>53.956487879357091</v>
      </c>
      <c r="EN10" s="59">
        <f t="shared" si="20"/>
        <v>319.17871010157933</v>
      </c>
      <c r="EO10" s="59">
        <f ca="1">AVERAGE(OFFSET($EN$3,0,0,'Données projet'!$E$15+1,1))-AVERAGE(OFFSET($H$3,0,0,'Données projet'!$E$15+1,1))</f>
        <v>525.74725170626471</v>
      </c>
      <c r="EP10" s="59">
        <f t="shared" si="46"/>
        <v>259.19103598192197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3.3603333333333336</v>
      </c>
      <c r="N11" s="13">
        <f>IF('Données projet'!$A$36&gt;35,N10+M11-V10,IF(A11&lt;'Données projet'!$A$36,$K$205^A11,IF(A11='Données projet'!$A$36,'Données projet'!$B$36,N10+M11-V10)))</f>
        <v>26.882666666666669</v>
      </c>
      <c r="O11" s="13">
        <f>N11*VLOOKUP('Données projet'!$B$9,Paramètres!$A$1:$I$89,3,0)*VLOOKUP('Données projet'!$B$9,Paramètres!$A$1:$I$89,5,0)</f>
        <v>27.259024000000004</v>
      </c>
      <c r="P11" s="13">
        <f t="shared" si="33"/>
        <v>8.5500561674742812</v>
      </c>
      <c r="Q11" s="20">
        <f t="shared" si="2"/>
        <v>62.367481291684378</v>
      </c>
      <c r="R11" s="59">
        <f t="shared" si="0"/>
        <v>328.81192573612884</v>
      </c>
      <c r="S11" s="59">
        <f ca="1">AVERAGE(OFFSET($R$3,0,0,'Données projet'!$E$9+1,1))-AVERAGE(OFFSET($H$3,0,0,'Données projet'!$E$9+1,1))</f>
        <v>533.26035274112917</v>
      </c>
      <c r="T11" s="59">
        <f t="shared" si="34"/>
        <v>262.58149402282521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4.5856818181818184</v>
      </c>
      <c r="AI11" s="13">
        <f>IF('Données projet'!$A$62&gt;35,AI10+AH11-AQ10,IF(A11&lt;'Données projet'!$A$62,$AF$205^A11,IF(A11='Données projet'!$A$62,'Données projet'!$B$62,AI10+AH11-AQ10)))</f>
        <v>36.685454545454547</v>
      </c>
      <c r="AJ11" s="13">
        <f>AI11*VLOOKUP('Données projet'!$B$10,Paramètres!$A$1:$I$89,3,0)*VLOOKUP('Données projet'!$B$10,Paramètres!$A$1:$I$89,5,0)</f>
        <v>33.19299927272727</v>
      </c>
      <c r="AK11" s="13">
        <f t="shared" si="35"/>
        <v>10.175335768620887</v>
      </c>
      <c r="AL11" s="20">
        <f t="shared" si="4"/>
        <v>75.53318353034804</v>
      </c>
      <c r="AM11" s="59">
        <f t="shared" si="5"/>
        <v>341.97762797479248</v>
      </c>
      <c r="AN11" s="59">
        <f ca="1">AVERAGE(OFFSET($AM$3,0,0,'Données projet'!$E$10+1,1))-AVERAGE(OFFSET($H$3,0,0,'Données projet'!$E$10+1,1))</f>
        <v>482.62991869403385</v>
      </c>
      <c r="AO11" s="59">
        <f t="shared" si="36"/>
        <v>310.43914804089906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4.333333333333333</v>
      </c>
      <c r="BD11" s="12">
        <f>IF('Données projet'!$A$88&gt;35,BD10+BC11-BL10,IF(A11&lt;'Données projet'!$A$88,$BA$205^A11,IF(A11='Données projet'!$A$88,'Données projet'!$B$88,BD10+BC11-BL10)))</f>
        <v>9.2658896452214261</v>
      </c>
      <c r="BE11" s="13">
        <f>BD11*VLOOKUP('Données projet'!$B$11,Paramètres!$A$1:$I$89,3,0)*VLOOKUP('Données projet'!$B$11,Paramètres!$A$1:$I$89,5,0)</f>
        <v>8.0946811940654388</v>
      </c>
      <c r="BF11" s="13">
        <f t="shared" si="37"/>
        <v>2.924403957846573</v>
      </c>
      <c r="BG11" s="20">
        <f t="shared" si="7"/>
        <v>19.191573306246756</v>
      </c>
      <c r="BH11" s="59">
        <f t="shared" si="8"/>
        <v>285.63601775069122</v>
      </c>
      <c r="BI11" s="59">
        <f ca="1">AVERAGE(OFFSET($BH$3,0,0,'Données projet'!$E$11+1,1))-AVERAGE(OFFSET($H$3,0,0,'Données projet'!$E$11+1,1))</f>
        <v>384.34044781465661</v>
      </c>
      <c r="BJ11" s="59">
        <f t="shared" si="38"/>
        <v>374.99493809709708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4.5856818181818184</v>
      </c>
      <c r="BY11" s="12">
        <f>IF('Données projet'!$A$114&gt;35,BY10+BX11-CG10,IF(A11&lt;'Données projet'!$A$114,$BV$205^A11,IF(A11='Données projet'!$A$114,'Données projet'!$B$114,BY10+BX11-CG10)))</f>
        <v>36.685454545454547</v>
      </c>
      <c r="BZ11" s="13">
        <f>BY11*VLOOKUP('Données projet'!$B$12,Paramètres!$A$1:$I$89,3,0)*VLOOKUP('Données projet'!$B$12,Paramètres!$A$1:$I$89,5,0)</f>
        <v>34.909878545454546</v>
      </c>
      <c r="CA11" s="13">
        <f t="shared" si="39"/>
        <v>10.639009978192389</v>
      </c>
      <c r="CB11" s="20">
        <f t="shared" si="10"/>
        <v>79.330980845351746</v>
      </c>
      <c r="CC11" s="59">
        <f t="shared" si="11"/>
        <v>345.7754252897962</v>
      </c>
      <c r="CD11" s="59">
        <f ca="1">AVERAGE(OFFSET($CC$3,0,0,'Données projet'!$E$12+1,1))-AVERAGE(OFFSET($H$3,0,0,'Données projet'!$E$12+1,1))</f>
        <v>513.14430745499283</v>
      </c>
      <c r="CE11" s="59">
        <f t="shared" si="40"/>
        <v>324.2490378019823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1.7094017094017093</v>
      </c>
      <c r="CT11" s="12">
        <f>IF('Données projet'!$A$140&gt;35,CT10+CS11-DB10,IF(A11&lt;'Données projet'!$A$140,$CQ$205^A11,IF(A11='Données projet'!$A$140,'Données projet'!$B$140,CT10+CS11-DB10)))</f>
        <v>5.6419886686647915</v>
      </c>
      <c r="CU11" s="17">
        <f>CT11*VLOOKUP('Données projet'!$B$13,Paramètres!$A$1:$I$89,3,0)*VLOOKUP('Données projet'!$B$13,Paramètres!$A$1:$I$89,5,0)</f>
        <v>4.4007511615585377</v>
      </c>
      <c r="CV11" s="13">
        <f t="shared" si="41"/>
        <v>1.7067596074390303</v>
      </c>
      <c r="CW11" s="20">
        <f t="shared" si="13"/>
        <v>10.637247922670763</v>
      </c>
      <c r="CX11" s="59">
        <f t="shared" si="14"/>
        <v>277.08169236711524</v>
      </c>
      <c r="CY11" s="59">
        <f ca="1">AVERAGE(OFFSET($CX$3,0,0,'Données projet'!$E$13+1,1))-AVERAGE(OFFSET($H$3,0,0,'Données projet'!$E$13+1,1))</f>
        <v>197.51452239559433</v>
      </c>
      <c r="CZ11" s="59">
        <f t="shared" si="42"/>
        <v>196.65166921588821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1.1538461538461537</v>
      </c>
      <c r="DO11" s="12">
        <f>IF('Données projet'!$A$166&gt;35,DO10+DN11-DW10,IF(A11&lt;'Données projet'!$A$166,$DL$205^A11,IF(A11='Données projet'!$A$166,'Données projet'!$B$166,DO10+DN11-DW10)))</f>
        <v>7.0748677396189548</v>
      </c>
      <c r="DP11" s="17">
        <f>DO11*VLOOKUP('Données projet'!$B$14,Paramètres!$A$1:$I$89,3,0)*VLOOKUP('Données projet'!$B$14,Paramètres!$A$1:$I$89,5,0)</f>
        <v>7.3946517614497322</v>
      </c>
      <c r="DQ11" s="13">
        <f t="shared" si="43"/>
        <v>2.6997762216625256</v>
      </c>
      <c r="DR11" s="20">
        <f t="shared" si="16"/>
        <v>17.581128737253849</v>
      </c>
      <c r="DS11" s="59">
        <f t="shared" si="17"/>
        <v>284.02557318169829</v>
      </c>
      <c r="DT11" s="59">
        <f ca="1">AVERAGE(OFFSET($DS$3,0,0,'Données projet'!$E$14+1,1))-AVERAGE(OFFSET($H$3,0,0,'Données projet'!$E$14+1,1))</f>
        <v>239.26156489359892</v>
      </c>
      <c r="DU11" s="59">
        <f t="shared" si="44"/>
        <v>213.97034450798111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3.3603333333333336</v>
      </c>
      <c r="EJ11" s="12">
        <f>IF('Données projet'!$A$192&gt;35,EJ10+EI11-ER10,IF(A11&lt;'Données projet'!$A$192,$EG$205^A11,IF(A11='Données projet'!$A$192,'Données projet'!$B$192,EJ10+EI11-ER10)))</f>
        <v>26.882666666666669</v>
      </c>
      <c r="EK11" s="17">
        <f>EJ11*VLOOKUP('Données projet'!$B$15,Paramètres!$A$1:$I$89,3,0)*VLOOKUP('Données projet'!$B$15,Paramètres!$A$1:$I$89,5,0)</f>
        <v>26.839654400000004</v>
      </c>
      <c r="EL11" s="13">
        <f t="shared" si="45"/>
        <v>8.433723349726522</v>
      </c>
      <c r="EM11" s="20">
        <f t="shared" si="19"/>
        <v>61.434466247440376</v>
      </c>
      <c r="EN11" s="59">
        <f t="shared" si="20"/>
        <v>327.87891069188481</v>
      </c>
      <c r="EO11" s="59">
        <f ca="1">AVERAGE(OFFSET($EN$3,0,0,'Données projet'!$E$15+1,1))-AVERAGE(OFFSET($H$3,0,0,'Données projet'!$E$15+1,1))</f>
        <v>525.74725170626471</v>
      </c>
      <c r="EP11" s="59">
        <f t="shared" si="46"/>
        <v>259.19103598192197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3.3603333333333336</v>
      </c>
      <c r="N12" s="13">
        <f>IF('Données projet'!$A$36&gt;35,N11+M12-V11,IF(A12&lt;'Données projet'!$A$36,$K$205^A12,IF(A12='Données projet'!$A$36,'Données projet'!$B$36,N11+M12-V11)))</f>
        <v>30.243000000000002</v>
      </c>
      <c r="O12" s="13">
        <f>N12*VLOOKUP('Données projet'!$B$9,Paramètres!$A$1:$I$89,3,0)*VLOOKUP('Données projet'!$B$9,Paramètres!$A$1:$I$89,5,0)</f>
        <v>30.666402000000005</v>
      </c>
      <c r="P12" s="13">
        <f t="shared" si="33"/>
        <v>9.4878396567445336</v>
      </c>
      <c r="Q12" s="20">
        <f t="shared" si="2"/>
        <v>69.935304218830069</v>
      </c>
      <c r="R12" s="59">
        <f t="shared" si="0"/>
        <v>337.60197088549677</v>
      </c>
      <c r="S12" s="59">
        <f ca="1">AVERAGE(OFFSET($R$3,0,0,'Données projet'!$E$9+1,1))-AVERAGE(OFFSET($H$3,0,0,'Données projet'!$E$9+1,1))</f>
        <v>533.26035274112917</v>
      </c>
      <c r="T12" s="59">
        <f t="shared" si="34"/>
        <v>262.58149402282521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4.5856818181818184</v>
      </c>
      <c r="AI12" s="13">
        <f>IF('Données projet'!$A$62&gt;35,AI11+AH12-AQ11,IF(A12&lt;'Données projet'!$A$62,$AF$205^A12,IF(A12='Données projet'!$A$62,'Données projet'!$B$62,AI11+AH12-AQ11)))</f>
        <v>41.271136363636366</v>
      </c>
      <c r="AJ12" s="13">
        <f>AI12*VLOOKUP('Données projet'!$B$10,Paramètres!$A$1:$I$89,3,0)*VLOOKUP('Données projet'!$B$10,Paramètres!$A$1:$I$89,5,0)</f>
        <v>37.342124181818185</v>
      </c>
      <c r="AK12" s="13">
        <f t="shared" si="35"/>
        <v>11.291382458219708</v>
      </c>
      <c r="AL12" s="20">
        <f t="shared" si="4"/>
        <v>84.70335739806599</v>
      </c>
      <c r="AM12" s="59">
        <f t="shared" si="5"/>
        <v>352.37002406473266</v>
      </c>
      <c r="AN12" s="59">
        <f ca="1">AVERAGE(OFFSET($AM$3,0,0,'Données projet'!$E$10+1,1))-AVERAGE(OFFSET($H$3,0,0,'Données projet'!$E$10+1,1))</f>
        <v>482.62991869403385</v>
      </c>
      <c r="AO12" s="59">
        <f t="shared" si="36"/>
        <v>310.43914804089906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4.333333333333333</v>
      </c>
      <c r="BD12" s="12">
        <f>IF('Données projet'!$A$88&gt;35,BD11+BC12-BL11,IF(A12&lt;'Données projet'!$A$88,$BA$205^A12,IF(A12='Données projet'!$A$88,'Données projet'!$B$88,BD11+BC12-BL11)))</f>
        <v>12.23905859480781</v>
      </c>
      <c r="BE12" s="13">
        <f>BD12*VLOOKUP('Données projet'!$B$11,Paramètres!$A$1:$I$89,3,0)*VLOOKUP('Données projet'!$B$11,Paramètres!$A$1:$I$89,5,0)</f>
        <v>10.692041588424106</v>
      </c>
      <c r="BF12" s="13">
        <f t="shared" si="37"/>
        <v>3.739642147152348</v>
      </c>
      <c r="BG12" s="20">
        <f t="shared" si="7"/>
        <v>25.135182506128984</v>
      </c>
      <c r="BH12" s="59">
        <f t="shared" si="8"/>
        <v>292.80184917279564</v>
      </c>
      <c r="BI12" s="59">
        <f ca="1">AVERAGE(OFFSET($BH$3,0,0,'Données projet'!$E$11+1,1))-AVERAGE(OFFSET($H$3,0,0,'Données projet'!$E$11+1,1))</f>
        <v>384.34044781465661</v>
      </c>
      <c r="BJ12" s="59">
        <f t="shared" si="38"/>
        <v>374.99493809709708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4.5856818181818184</v>
      </c>
      <c r="BY12" s="12">
        <f>IF('Données projet'!$A$114&gt;35,BY11+BX12-CG11,IF(A12&lt;'Données projet'!$A$114,$BV$205^A12,IF(A12='Données projet'!$A$114,'Données projet'!$B$114,BY11+BX12-CG11)))</f>
        <v>41.271136363636366</v>
      </c>
      <c r="BZ12" s="13">
        <f>BY12*VLOOKUP('Données projet'!$B$12,Paramètres!$A$1:$I$89,3,0)*VLOOKUP('Données projet'!$B$12,Paramètres!$A$1:$I$89,5,0)</f>
        <v>39.273613363636365</v>
      </c>
      <c r="CA12" s="13">
        <f t="shared" si="39"/>
        <v>11.805913177926287</v>
      </c>
      <c r="CB12" s="20">
        <f t="shared" si="10"/>
        <v>88.963508726554949</v>
      </c>
      <c r="CC12" s="59">
        <f t="shared" si="11"/>
        <v>356.63017539322163</v>
      </c>
      <c r="CD12" s="59">
        <f ca="1">AVERAGE(OFFSET($CC$3,0,0,'Données projet'!$E$12+1,1))-AVERAGE(OFFSET($H$3,0,0,'Données projet'!$E$12+1,1))</f>
        <v>513.14430745499283</v>
      </c>
      <c r="CE12" s="59">
        <f t="shared" si="40"/>
        <v>324.2490378019823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1.7094017094017093</v>
      </c>
      <c r="CT12" s="12">
        <f>IF('Données projet'!$A$140&gt;35,CT11+CS12-DB11,IF(A12&lt;'Données projet'!$A$140,$CQ$205^A12,IF(A12='Données projet'!$A$140,'Données projet'!$B$140,CT11+CS12-DB11)))</f>
        <v>7.0042435003090322</v>
      </c>
      <c r="CU12" s="17">
        <f>CT12*VLOOKUP('Données projet'!$B$13,Paramètres!$A$1:$I$89,3,0)*VLOOKUP('Données projet'!$B$13,Paramètres!$A$1:$I$89,5,0)</f>
        <v>5.4633099302410457</v>
      </c>
      <c r="CV12" s="13">
        <f t="shared" si="41"/>
        <v>2.0661794783632437</v>
      </c>
      <c r="CW12" s="20">
        <f t="shared" si="13"/>
        <v>13.113860719985803</v>
      </c>
      <c r="CX12" s="59">
        <f t="shared" si="14"/>
        <v>280.78052738665247</v>
      </c>
      <c r="CY12" s="59">
        <f ca="1">AVERAGE(OFFSET($CX$3,0,0,'Données projet'!$E$13+1,1))-AVERAGE(OFFSET($H$3,0,0,'Données projet'!$E$13+1,1))</f>
        <v>197.51452239559433</v>
      </c>
      <c r="CZ12" s="59">
        <f t="shared" si="42"/>
        <v>196.65166921588821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1.1538461538461537</v>
      </c>
      <c r="DO12" s="12">
        <f>IF('Données projet'!$A$166&gt;35,DO11+DN12-DW11,IF(A12&lt;'Données projet'!$A$166,$DL$205^A12,IF(A12='Données projet'!$A$166,'Données projet'!$B$166,DO11+DN12-DW11)))</f>
        <v>9.0351031705949865</v>
      </c>
      <c r="DP12" s="17">
        <f>DO12*VLOOKUP('Données projet'!$B$14,Paramètres!$A$1:$I$89,3,0)*VLOOKUP('Données projet'!$B$14,Paramètres!$A$1:$I$89,5,0)</f>
        <v>9.4434898339058808</v>
      </c>
      <c r="DQ12" s="13">
        <f t="shared" si="43"/>
        <v>3.3510364902952992</v>
      </c>
      <c r="DR12" s="20">
        <f t="shared" si="16"/>
        <v>22.283800014650385</v>
      </c>
      <c r="DS12" s="59">
        <f t="shared" si="17"/>
        <v>289.9504666813171</v>
      </c>
      <c r="DT12" s="59">
        <f ca="1">AVERAGE(OFFSET($DS$3,0,0,'Données projet'!$E$14+1,1))-AVERAGE(OFFSET($H$3,0,0,'Données projet'!$E$14+1,1))</f>
        <v>239.26156489359892</v>
      </c>
      <c r="DU12" s="59">
        <f t="shared" si="44"/>
        <v>213.97034450798111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3.3603333333333336</v>
      </c>
      <c r="EJ12" s="12">
        <f>IF('Données projet'!$A$192&gt;35,EJ11+EI12-ER11,IF(A12&lt;'Données projet'!$A$192,$EG$205^A12,IF(A12='Données projet'!$A$192,'Données projet'!$B$192,EJ11+EI12-ER11)))</f>
        <v>30.243000000000002</v>
      </c>
      <c r="EK12" s="17">
        <f>EJ12*VLOOKUP('Données projet'!$B$15,Paramètres!$A$1:$I$89,3,0)*VLOOKUP('Données projet'!$B$15,Paramètres!$A$1:$I$89,5,0)</f>
        <v>30.194611200000004</v>
      </c>
      <c r="EL12" s="13">
        <f t="shared" si="45"/>
        <v>9.3587472741930728</v>
      </c>
      <c r="EM12" s="20">
        <f t="shared" si="19"/>
        <v>68.888766009219609</v>
      </c>
      <c r="EN12" s="59">
        <f t="shared" si="20"/>
        <v>336.55543267588632</v>
      </c>
      <c r="EO12" s="59">
        <f ca="1">AVERAGE(OFFSET($EN$3,0,0,'Données projet'!$E$15+1,1))-AVERAGE(OFFSET($H$3,0,0,'Données projet'!$E$15+1,1))</f>
        <v>525.74725170626471</v>
      </c>
      <c r="EP12" s="59">
        <f t="shared" si="46"/>
        <v>259.19103598192197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3.3603333333333336</v>
      </c>
      <c r="N13" s="13">
        <f>IF('Données projet'!$A$36&gt;35,N12+M13-V12,IF(A13&lt;'Données projet'!$A$36,$K$205^A13,IF(A13='Données projet'!$A$36,'Données projet'!$B$36,N12+M13-V12)))</f>
        <v>33.603333333333339</v>
      </c>
      <c r="O13" s="13">
        <f>N13*VLOOKUP('Données projet'!$B$9,Paramètres!$A$1:$I$89,3,0)*VLOOKUP('Données projet'!$B$9,Paramètres!$A$1:$I$89,5,0)</f>
        <v>34.073780000000006</v>
      </c>
      <c r="P13" s="13">
        <f t="shared" si="33"/>
        <v>10.413546370029898</v>
      </c>
      <c r="Q13" s="20">
        <f t="shared" si="2"/>
        <v>77.482093427802084</v>
      </c>
      <c r="R13" s="59">
        <f t="shared" si="0"/>
        <v>346.37098231669097</v>
      </c>
      <c r="S13" s="59">
        <f ca="1">AVERAGE(OFFSET($R$3,0,0,'Données projet'!$E$9+1,1))-AVERAGE(OFFSET($H$3,0,0,'Données projet'!$E$9+1,1))</f>
        <v>533.26035274112917</v>
      </c>
      <c r="T13" s="59">
        <f t="shared" si="34"/>
        <v>262.58149402282521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4.5856818181818184</v>
      </c>
      <c r="AI13" s="13">
        <f>IF('Données projet'!$A$62&gt;35,AI12+AH13-AQ12,IF(A13&lt;'Données projet'!$A$62,$AF$205^A13,IF(A13='Données projet'!$A$62,'Données projet'!$B$62,AI12+AH13-AQ12)))</f>
        <v>45.856818181818184</v>
      </c>
      <c r="AJ13" s="13">
        <f>AI13*VLOOKUP('Données projet'!$B$10,Paramètres!$A$1:$I$89,3,0)*VLOOKUP('Données projet'!$B$10,Paramètres!$A$1:$I$89,5,0)</f>
        <v>41.491249090909093</v>
      </c>
      <c r="AK13" s="13">
        <f t="shared" si="35"/>
        <v>12.393056698299885</v>
      </c>
      <c r="AL13" s="20">
        <f t="shared" si="4"/>
        <v>93.848499249538975</v>
      </c>
      <c r="AM13" s="59">
        <f t="shared" si="5"/>
        <v>362.73738813842783</v>
      </c>
      <c r="AN13" s="59">
        <f ca="1">AVERAGE(OFFSET($AM$3,0,0,'Données projet'!$E$10+1,1))-AVERAGE(OFFSET($H$3,0,0,'Données projet'!$E$10+1,1))</f>
        <v>482.62991869403385</v>
      </c>
      <c r="AO13" s="59">
        <f t="shared" si="36"/>
        <v>310.43914804089906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4.333333333333333</v>
      </c>
      <c r="BD13" s="12">
        <f>IF('Données projet'!$A$88&gt;35,BD12+BC13-BL12,IF(A13&lt;'Données projet'!$A$88,$BA$205^A13,IF(A13='Données projet'!$A$88,'Données projet'!$B$88,BD12+BC13-BL12)))</f>
        <v>16.166235625781542</v>
      </c>
      <c r="BE13" s="13">
        <f>BD13*VLOOKUP('Données projet'!$B$11,Paramètres!$A$1:$I$89,3,0)*VLOOKUP('Données projet'!$B$11,Paramètres!$A$1:$I$89,5,0)</f>
        <v>14.122823442682758</v>
      </c>
      <c r="BF13" s="13">
        <f t="shared" si="37"/>
        <v>4.7821448713454142</v>
      </c>
      <c r="BG13" s="20">
        <f t="shared" si="7"/>
        <v>32.9261531469324</v>
      </c>
      <c r="BH13" s="59">
        <f t="shared" si="8"/>
        <v>301.81504203582125</v>
      </c>
      <c r="BI13" s="59">
        <f ca="1">AVERAGE(OFFSET($BH$3,0,0,'Données projet'!$E$11+1,1))-AVERAGE(OFFSET($H$3,0,0,'Données projet'!$E$11+1,1))</f>
        <v>384.34044781465661</v>
      </c>
      <c r="BJ13" s="59">
        <f t="shared" si="38"/>
        <v>374.99493809709708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4.5856818181818184</v>
      </c>
      <c r="BY13" s="12">
        <f>IF('Données projet'!$A$114&gt;35,BY12+BX13-CG12,IF(A13&lt;'Données projet'!$A$114,$BV$205^A13,IF(A13='Données projet'!$A$114,'Données projet'!$B$114,BY12+BX13-CG12)))</f>
        <v>45.856818181818184</v>
      </c>
      <c r="BZ13" s="13">
        <f>BY13*VLOOKUP('Données projet'!$B$12,Paramètres!$A$1:$I$89,3,0)*VLOOKUP('Données projet'!$B$12,Paramètres!$A$1:$I$89,5,0)</f>
        <v>43.637348181818183</v>
      </c>
      <c r="CA13" s="13">
        <f t="shared" si="39"/>
        <v>12.957788997992619</v>
      </c>
      <c r="CB13" s="20">
        <f t="shared" si="10"/>
        <v>98.569863921503824</v>
      </c>
      <c r="CC13" s="59">
        <f t="shared" si="11"/>
        <v>367.4587528103927</v>
      </c>
      <c r="CD13" s="59">
        <f ca="1">AVERAGE(OFFSET($CC$3,0,0,'Données projet'!$E$12+1,1))-AVERAGE(OFFSET($H$3,0,0,'Données projet'!$E$12+1,1))</f>
        <v>513.14430745499283</v>
      </c>
      <c r="CE13" s="59">
        <f t="shared" si="40"/>
        <v>324.2490378019823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1.7094017094017093</v>
      </c>
      <c r="CT13" s="12">
        <f>IF('Données projet'!$A$140&gt;35,CT12+CS13-DB12,IF(A13&lt;'Données projet'!$A$140,$CQ$205^A13,IF(A13='Données projet'!$A$140,'Données projet'!$B$140,CT12+CS13-DB12)))</f>
        <v>8.6954139564465862</v>
      </c>
      <c r="CU13" s="17">
        <f>CT13*VLOOKUP('Données projet'!$B$13,Paramètres!$A$1:$I$89,3,0)*VLOOKUP('Données projet'!$B$13,Paramètres!$A$1:$I$89,5,0)</f>
        <v>6.7824228860283373</v>
      </c>
      <c r="CV13" s="13">
        <f t="shared" si="41"/>
        <v>2.5012881827073041</v>
      </c>
      <c r="CW13" s="20">
        <f t="shared" si="13"/>
        <v>16.169130111381239</v>
      </c>
      <c r="CX13" s="59">
        <f t="shared" si="14"/>
        <v>285.05801900027012</v>
      </c>
      <c r="CY13" s="59">
        <f ca="1">AVERAGE(OFFSET($CX$3,0,0,'Données projet'!$E$13+1,1))-AVERAGE(OFFSET($H$3,0,0,'Données projet'!$E$13+1,1))</f>
        <v>197.51452239559433</v>
      </c>
      <c r="CZ13" s="59">
        <f t="shared" si="42"/>
        <v>196.65166921588821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11.538461538461538</v>
      </c>
      <c r="DM13" s="12">
        <f>VLOOKUP(A13,'Données projet'!$A$165:$I$185,9,0)</f>
        <v>1.1538461538461537</v>
      </c>
      <c r="DN13" s="12">
        <f t="array" ref="DN13">INDEX(DM:DM,MIN(IF(ISNUMBER(DM13:DM209),ROW(DM13:DM209),"")))</f>
        <v>1.1538461538461537</v>
      </c>
      <c r="DO13" s="12">
        <f>IF('Données projet'!$A$166&gt;35,DO12+DN13-DW12,IF(A13&lt;'Données projet'!$A$166,$DL$205^A13,IF(A13='Données projet'!$A$166,'Données projet'!$B$166,DO12+DN13-DW12)))</f>
        <v>11.538461538461538</v>
      </c>
      <c r="DP13" s="17">
        <f>DO13*VLOOKUP('Données projet'!$B$14,Paramètres!$A$1:$I$89,3,0)*VLOOKUP('Données projet'!$B$14,Paramètres!$A$1:$I$89,5,0)</f>
        <v>12.06</v>
      </c>
      <c r="DQ13" s="13">
        <f t="shared" si="43"/>
        <v>4.1593986454090377</v>
      </c>
      <c r="DR13" s="20">
        <f t="shared" si="16"/>
        <v>28.248785974087401</v>
      </c>
      <c r="DS13" s="59">
        <f t="shared" si="17"/>
        <v>297.13767486297627</v>
      </c>
      <c r="DT13" s="59">
        <f ca="1">AVERAGE(OFFSET($DS$3,0,0,'Données projet'!$E$14+1,1))-AVERAGE(OFFSET($H$3,0,0,'Données projet'!$E$14+1,1))</f>
        <v>239.26156489359892</v>
      </c>
      <c r="DU13" s="59">
        <f t="shared" si="44"/>
        <v>213.97034450798111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0.215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3.3603333333333336</v>
      </c>
      <c r="EJ13" s="12">
        <f>IF('Données projet'!$A$192&gt;35,EJ12+EI13-ER12,IF(A13&lt;'Données projet'!$A$192,$EG$205^A13,IF(A13='Données projet'!$A$192,'Données projet'!$B$192,EJ12+EI13-ER12)))</f>
        <v>33.603333333333339</v>
      </c>
      <c r="EK13" s="17">
        <f>EJ13*VLOOKUP('Données projet'!$B$15,Paramètres!$A$1:$I$89,3,0)*VLOOKUP('Données projet'!$B$15,Paramètres!$A$1:$I$89,5,0)</f>
        <v>33.549568000000008</v>
      </c>
      <c r="EL13" s="13">
        <f t="shared" si="45"/>
        <v>10.271858740353146</v>
      </c>
      <c r="EM13" s="20">
        <f t="shared" si="19"/>
        <v>76.322318239448407</v>
      </c>
      <c r="EN13" s="59">
        <f t="shared" si="20"/>
        <v>345.21120712833726</v>
      </c>
      <c r="EO13" s="59">
        <f ca="1">AVERAGE(OFFSET($EN$3,0,0,'Données projet'!$E$15+1,1))-AVERAGE(OFFSET($H$3,0,0,'Données projet'!$E$15+1,1))</f>
        <v>525.74725170626471</v>
      </c>
      <c r="EP13" s="59">
        <f t="shared" si="46"/>
        <v>259.19103598192197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3.3603333333333336</v>
      </c>
      <c r="N14" s="13">
        <f>IF('Données projet'!$A$36&gt;35,N13+M14-V13,IF(A14&lt;'Données projet'!$A$36,$K$205^A14,IF(A14='Données projet'!$A$36,'Données projet'!$B$36,N13+M14-V13)))</f>
        <v>36.963666666666676</v>
      </c>
      <c r="O14" s="13">
        <f>N14*VLOOKUP('Données projet'!$B$9,Paramètres!$A$1:$I$89,3,0)*VLOOKUP('Données projet'!$B$9,Paramètres!$A$1:$I$89,5,0)</f>
        <v>37.481158000000008</v>
      </c>
      <c r="P14" s="13">
        <f t="shared" si="33"/>
        <v>11.32852146348689</v>
      </c>
      <c r="Q14" s="20">
        <f t="shared" si="2"/>
        <v>85.01019173223969</v>
      </c>
      <c r="R14" s="59">
        <f t="shared" si="0"/>
        <v>355.1213028433508</v>
      </c>
      <c r="S14" s="59">
        <f ca="1">AVERAGE(OFFSET($R$3,0,0,'Données projet'!$E$9+1,1))-AVERAGE(OFFSET($H$3,0,0,'Données projet'!$E$9+1,1))</f>
        <v>533.26035274112917</v>
      </c>
      <c r="T14" s="59">
        <f t="shared" si="34"/>
        <v>262.58149402282521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4.5856818181818184</v>
      </c>
      <c r="AI14" s="13">
        <f>IF('Données projet'!$A$62&gt;35,AI13+AH14-AQ13,IF(A14&lt;'Données projet'!$A$62,$AF$205^A14,IF(A14='Données projet'!$A$62,'Données projet'!$B$62,AI13+AH14-AQ13)))</f>
        <v>50.442500000000003</v>
      </c>
      <c r="AJ14" s="13">
        <f>AI14*VLOOKUP('Données projet'!$B$10,Paramètres!$A$1:$I$89,3,0)*VLOOKUP('Données projet'!$B$10,Paramètres!$A$1:$I$89,5,0)</f>
        <v>45.640374000000001</v>
      </c>
      <c r="AK14" s="13">
        <f t="shared" si="35"/>
        <v>13.481959345661139</v>
      </c>
      <c r="AL14" s="20">
        <f t="shared" si="4"/>
        <v>102.97139724369315</v>
      </c>
      <c r="AM14" s="59">
        <f t="shared" si="5"/>
        <v>373.0825083548043</v>
      </c>
      <c r="AN14" s="59">
        <f ca="1">AVERAGE(OFFSET($AM$3,0,0,'Données projet'!$E$10+1,1))-AVERAGE(OFFSET($H$3,0,0,'Données projet'!$E$10+1,1))</f>
        <v>482.62991869403385</v>
      </c>
      <c r="AO14" s="59">
        <f t="shared" si="36"/>
        <v>310.43914804089906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4.333333333333333</v>
      </c>
      <c r="BD14" s="12">
        <f>IF('Données projet'!$A$88&gt;35,BD13+BC14-BL13,IF(A14&lt;'Données projet'!$A$88,$BA$205^A14,IF(A14='Données projet'!$A$88,'Données projet'!$B$88,BD13+BC14-BL13)))</f>
        <v>21.353535673010011</v>
      </c>
      <c r="BE14" s="13">
        <f>BD14*VLOOKUP('Données projet'!$B$11,Paramètres!$A$1:$I$89,3,0)*VLOOKUP('Données projet'!$B$11,Paramètres!$A$1:$I$89,5,0)</f>
        <v>18.654448763941549</v>
      </c>
      <c r="BF14" s="13">
        <f t="shared" si="37"/>
        <v>6.1152668278566198</v>
      </c>
      <c r="BG14" s="20">
        <f t="shared" si="7"/>
        <v>43.140587989048477</v>
      </c>
      <c r="BH14" s="59">
        <f t="shared" si="8"/>
        <v>313.25169910015961</v>
      </c>
      <c r="BI14" s="59">
        <f ca="1">AVERAGE(OFFSET($BH$3,0,0,'Données projet'!$E$11+1,1))-AVERAGE(OFFSET($H$3,0,0,'Données projet'!$E$11+1,1))</f>
        <v>384.34044781465661</v>
      </c>
      <c r="BJ14" s="59">
        <f t="shared" si="38"/>
        <v>374.99493809709708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4.5856818181818184</v>
      </c>
      <c r="BY14" s="12">
        <f>IF('Données projet'!$A$114&gt;35,BY13+BX14-CG13,IF(A14&lt;'Données projet'!$A$114,$BV$205^A14,IF(A14='Données projet'!$A$114,'Données projet'!$B$114,BY13+BX14-CG13)))</f>
        <v>50.442500000000003</v>
      </c>
      <c r="BZ14" s="13">
        <f>BY14*VLOOKUP('Données projet'!$B$12,Paramètres!$A$1:$I$89,3,0)*VLOOKUP('Données projet'!$B$12,Paramètres!$A$1:$I$89,5,0)</f>
        <v>48.001083000000001</v>
      </c>
      <c r="CA14" s="13">
        <f t="shared" si="39"/>
        <v>14.096311243743209</v>
      </c>
      <c r="CB14" s="20">
        <f t="shared" si="10"/>
        <v>108.1529616411861</v>
      </c>
      <c r="CC14" s="59">
        <f t="shared" si="11"/>
        <v>378.26407275229724</v>
      </c>
      <c r="CD14" s="59">
        <f ca="1">AVERAGE(OFFSET($CC$3,0,0,'Données projet'!$E$12+1,1))-AVERAGE(OFFSET($H$3,0,0,'Données projet'!$E$12+1,1))</f>
        <v>513.14430745499283</v>
      </c>
      <c r="CE14" s="59">
        <f t="shared" si="40"/>
        <v>324.2490378019823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1.7094017094017093</v>
      </c>
      <c r="CT14" s="12">
        <f>IF('Données projet'!$A$140&gt;35,CT13+CS14-DB13,IF(A14&lt;'Données projet'!$A$140,$CQ$205^A14,IF(A14='Données projet'!$A$140,'Données projet'!$B$140,CT13+CS14-DB13)))</f>
        <v>10.794916520339433</v>
      </c>
      <c r="CU14" s="17">
        <f>CT14*VLOOKUP('Données projet'!$B$13,Paramètres!$A$1:$I$89,3,0)*VLOOKUP('Données projet'!$B$13,Paramètres!$A$1:$I$89,5,0)</f>
        <v>8.4200348858647569</v>
      </c>
      <c r="CV14" s="13">
        <f t="shared" si="41"/>
        <v>3.0280247376705862</v>
      </c>
      <c r="CW14" s="20">
        <f t="shared" si="13"/>
        <v>19.938703844324056</v>
      </c>
      <c r="CX14" s="59">
        <f t="shared" si="14"/>
        <v>290.04981495543518</v>
      </c>
      <c r="CY14" s="59">
        <f ca="1">AVERAGE(OFFSET($CX$3,0,0,'Données projet'!$E$13+1,1))-AVERAGE(OFFSET($H$3,0,0,'Données projet'!$E$13+1,1))</f>
        <v>197.51452239559433</v>
      </c>
      <c r="CZ14" s="59">
        <f t="shared" si="42"/>
        <v>196.65166921588821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3.7179487179487181</v>
      </c>
      <c r="DO14" s="12">
        <f>IF('Données projet'!$A$166&gt;35,DO13+DN14-DW13,IF(A14&lt;'Données projet'!$A$166,$DL$205^A14,IF(A14='Données projet'!$A$166,'Données projet'!$B$166,DO13+DN14-DW13)))</f>
        <v>15.256410256410255</v>
      </c>
      <c r="DP14" s="17">
        <f>DO14*VLOOKUP('Données projet'!$B$14,Paramètres!$A$1:$I$89,3,0)*VLOOKUP('Données projet'!$B$14,Paramètres!$A$1:$I$89,5,0)</f>
        <v>15.946000000000002</v>
      </c>
      <c r="DQ14" s="13">
        <f t="shared" si="43"/>
        <v>5.3237194363648275</v>
      </c>
      <c r="DR14" s="20">
        <f t="shared" si="16"/>
        <v>37.044761351668747</v>
      </c>
      <c r="DS14" s="59">
        <f t="shared" si="17"/>
        <v>307.15587246277988</v>
      </c>
      <c r="DT14" s="59">
        <f ca="1">AVERAGE(OFFSET($DS$3,0,0,'Données projet'!$E$14+1,1))-AVERAGE(OFFSET($H$3,0,0,'Données projet'!$E$14+1,1))</f>
        <v>239.26156489359892</v>
      </c>
      <c r="DU14" s="59">
        <f t="shared" si="44"/>
        <v>213.97034450798111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3.3603333333333336</v>
      </c>
      <c r="EJ14" s="12">
        <f>IF('Données projet'!$A$192&gt;35,EJ13+EI14-ER13,IF(A14&lt;'Données projet'!$A$192,$EG$205^A14,IF(A14='Données projet'!$A$192,'Données projet'!$B$192,EJ13+EI14-ER13)))</f>
        <v>36.963666666666676</v>
      </c>
      <c r="EK14" s="17">
        <f>EJ14*VLOOKUP('Données projet'!$B$15,Paramètres!$A$1:$I$89,3,0)*VLOOKUP('Données projet'!$B$15,Paramètres!$A$1:$I$89,5,0)</f>
        <v>36.904524800000011</v>
      </c>
      <c r="EL14" s="13">
        <f t="shared" si="45"/>
        <v>11.174384602050024</v>
      </c>
      <c r="EM14" s="20">
        <f t="shared" si="19"/>
        <v>83.73743387523713</v>
      </c>
      <c r="EN14" s="59">
        <f t="shared" si="20"/>
        <v>353.84854498634826</v>
      </c>
      <c r="EO14" s="59">
        <f ca="1">AVERAGE(OFFSET($EN$3,0,0,'Données projet'!$E$15+1,1))-AVERAGE(OFFSET($H$3,0,0,'Données projet'!$E$15+1,1))</f>
        <v>525.74725170626471</v>
      </c>
      <c r="EP14" s="59">
        <f t="shared" si="46"/>
        <v>259.19103598192197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3.3603333333333336</v>
      </c>
      <c r="N15" s="13">
        <f>IF('Données projet'!$A$36&gt;35,N14+M15-V14,IF(A15&lt;'Données projet'!$A$36,$K$205^A15,IF(A15='Données projet'!$A$36,'Données projet'!$B$36,N14+M15-V14)))</f>
        <v>40.324000000000012</v>
      </c>
      <c r="O15" s="13">
        <f>N15*VLOOKUP('Données projet'!$B$9,Paramètres!$A$1:$I$89,3,0)*VLOOKUP('Données projet'!$B$9,Paramètres!$A$1:$I$89,5,0)</f>
        <v>40.888536000000016</v>
      </c>
      <c r="P15" s="13">
        <f t="shared" si="33"/>
        <v>12.2338514914741</v>
      </c>
      <c r="Q15" s="20">
        <f t="shared" si="2"/>
        <v>92.52149154765074</v>
      </c>
      <c r="R15" s="59">
        <f t="shared" si="0"/>
        <v>363.85482488098404</v>
      </c>
      <c r="S15" s="59">
        <f ca="1">AVERAGE(OFFSET($R$3,0,0,'Données projet'!$E$9+1,1))-AVERAGE(OFFSET($H$3,0,0,'Données projet'!$E$9+1,1))</f>
        <v>533.26035274112917</v>
      </c>
      <c r="T15" s="59">
        <f t="shared" si="34"/>
        <v>262.58149402282521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4.5856818181818184</v>
      </c>
      <c r="AI15" s="13">
        <f>IF('Données projet'!$A$62&gt;35,AI14+AH15-AQ14,IF(A15&lt;'Données projet'!$A$62,$AF$205^A15,IF(A15='Données projet'!$A$62,'Données projet'!$B$62,AI14+AH15-AQ14)))</f>
        <v>55.028181818181821</v>
      </c>
      <c r="AJ15" s="13">
        <f>AI15*VLOOKUP('Données projet'!$B$10,Paramètres!$A$1:$I$89,3,0)*VLOOKUP('Données projet'!$B$10,Paramètres!$A$1:$I$89,5,0)</f>
        <v>49.789498909090909</v>
      </c>
      <c r="AK15" s="13">
        <f t="shared" si="35"/>
        <v>14.559383497706923</v>
      </c>
      <c r="AL15" s="20">
        <f t="shared" si="4"/>
        <v>112.07430352517288</v>
      </c>
      <c r="AM15" s="59">
        <f t="shared" si="5"/>
        <v>383.40763685850618</v>
      </c>
      <c r="AN15" s="59">
        <f ca="1">AVERAGE(OFFSET($AM$3,0,0,'Données projet'!$E$10+1,1))-AVERAGE(OFFSET($H$3,0,0,'Données projet'!$E$10+1,1))</f>
        <v>482.62991869403385</v>
      </c>
      <c r="AO15" s="59">
        <f t="shared" si="36"/>
        <v>310.43914804089906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4.333333333333333</v>
      </c>
      <c r="BD15" s="12">
        <f>IF('Données projet'!$A$88&gt;35,BD14+BC15-BL14,IF(A15&lt;'Données projet'!$A$88,$BA$205^A15,IF(A15='Données projet'!$A$88,'Données projet'!$B$88,BD14+BC15-BL14)))</f>
        <v>28.205297528345746</v>
      </c>
      <c r="BE15" s="13">
        <f>BD15*VLOOKUP('Données projet'!$B$11,Paramètres!$A$1:$I$89,3,0)*VLOOKUP('Données projet'!$B$11,Paramètres!$A$1:$I$89,5,0)</f>
        <v>24.640147920762846</v>
      </c>
      <c r="BF15" s="13">
        <f t="shared" si="37"/>
        <v>7.8200241485704662</v>
      </c>
      <c r="BG15" s="20">
        <f t="shared" si="7"/>
        <v>56.534799687422179</v>
      </c>
      <c r="BH15" s="59">
        <f t="shared" si="8"/>
        <v>327.86813302075552</v>
      </c>
      <c r="BI15" s="59">
        <f ca="1">AVERAGE(OFFSET($BH$3,0,0,'Données projet'!$E$11+1,1))-AVERAGE(OFFSET($H$3,0,0,'Données projet'!$E$11+1,1))</f>
        <v>384.34044781465661</v>
      </c>
      <c r="BJ15" s="59">
        <f t="shared" si="38"/>
        <v>374.99493809709708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4.5856818181818184</v>
      </c>
      <c r="BY15" s="12">
        <f>IF('Données projet'!$A$114&gt;35,BY14+BX15-CG14,IF(A15&lt;'Données projet'!$A$114,$BV$205^A15,IF(A15='Données projet'!$A$114,'Données projet'!$B$114,BY14+BX15-CG14)))</f>
        <v>55.028181818181821</v>
      </c>
      <c r="BZ15" s="13">
        <f>BY15*VLOOKUP('Données projet'!$B$12,Paramètres!$A$1:$I$89,3,0)*VLOOKUP('Données projet'!$B$12,Paramètres!$A$1:$I$89,5,0)</f>
        <v>52.36481781818182</v>
      </c>
      <c r="CA15" s="13">
        <f t="shared" si="39"/>
        <v>15.222831937017009</v>
      </c>
      <c r="CB15" s="20">
        <f t="shared" si="10"/>
        <v>117.71515665697127</v>
      </c>
      <c r="CC15" s="59">
        <f t="shared" si="11"/>
        <v>389.04848999030457</v>
      </c>
      <c r="CD15" s="59">
        <f ca="1">AVERAGE(OFFSET($CC$3,0,0,'Données projet'!$E$12+1,1))-AVERAGE(OFFSET($H$3,0,0,'Données projet'!$E$12+1,1))</f>
        <v>513.14430745499283</v>
      </c>
      <c r="CE15" s="59">
        <f t="shared" si="40"/>
        <v>324.2490378019823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1.7094017094017093</v>
      </c>
      <c r="CT15" s="12">
        <f>IF('Données projet'!$A$140&gt;35,CT14+CS15-DB14,IF(A15&lt;'Données projet'!$A$140,$CQ$205^A15,IF(A15='Données projet'!$A$140,'Données projet'!$B$140,CT14+CS15-DB14)))</f>
        <v>13.401342738226315</v>
      </c>
      <c r="CU15" s="17">
        <f>CT15*VLOOKUP('Données projet'!$B$13,Paramètres!$A$1:$I$89,3,0)*VLOOKUP('Données projet'!$B$13,Paramètres!$A$1:$I$89,5,0)</f>
        <v>10.453047335816526</v>
      </c>
      <c r="CV15" s="13">
        <f t="shared" si="41"/>
        <v>3.6656846961236176</v>
      </c>
      <c r="CW15" s="20">
        <f t="shared" si="13"/>
        <v>24.590124955629083</v>
      </c>
      <c r="CX15" s="59">
        <f t="shared" si="14"/>
        <v>295.92345828896242</v>
      </c>
      <c r="CY15" s="59">
        <f ca="1">AVERAGE(OFFSET($CX$3,0,0,'Données projet'!$E$13+1,1))-AVERAGE(OFFSET($H$3,0,0,'Données projet'!$E$13+1,1))</f>
        <v>197.51452239559433</v>
      </c>
      <c r="CZ15" s="59">
        <f t="shared" si="42"/>
        <v>196.65166921588821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3.7179487179487181</v>
      </c>
      <c r="DO15" s="12">
        <f>IF('Données projet'!$A$166&gt;35,DO14+DN15-DW14,IF(A15&lt;'Données projet'!$A$166,$DL$205^A15,IF(A15='Données projet'!$A$166,'Données projet'!$B$166,DO14+DN15-DW14)))</f>
        <v>18.974358974358974</v>
      </c>
      <c r="DP15" s="17">
        <f>DO15*VLOOKUP('Données projet'!$B$14,Paramètres!$A$1:$I$89,3,0)*VLOOKUP('Données projet'!$B$14,Paramètres!$A$1:$I$89,5,0)</f>
        <v>19.832000000000001</v>
      </c>
      <c r="DQ15" s="13">
        <f t="shared" si="43"/>
        <v>6.4551318352154752</v>
      </c>
      <c r="DR15" s="20">
        <f t="shared" si="16"/>
        <v>45.783421279666953</v>
      </c>
      <c r="DS15" s="59">
        <f t="shared" si="17"/>
        <v>317.11675461300024</v>
      </c>
      <c r="DT15" s="59">
        <f ca="1">AVERAGE(OFFSET($DS$3,0,0,'Données projet'!$E$14+1,1))-AVERAGE(OFFSET($H$3,0,0,'Données projet'!$E$14+1,1))</f>
        <v>239.26156489359892</v>
      </c>
      <c r="DU15" s="59">
        <f t="shared" si="44"/>
        <v>213.97034450798111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3.3603333333333336</v>
      </c>
      <c r="EJ15" s="12">
        <f>IF('Données projet'!$A$192&gt;35,EJ14+EI15-ER14,IF(A15&lt;'Données projet'!$A$192,$EG$205^A15,IF(A15='Données projet'!$A$192,'Données projet'!$B$192,EJ14+EI15-ER14)))</f>
        <v>40.324000000000012</v>
      </c>
      <c r="EK15" s="17">
        <f>EJ15*VLOOKUP('Données projet'!$B$15,Paramètres!$A$1:$I$89,3,0)*VLOOKUP('Données projet'!$B$15,Paramètres!$A$1:$I$89,5,0)</f>
        <v>40.259481600000015</v>
      </c>
      <c r="EL15" s="13">
        <f t="shared" si="45"/>
        <v>12.067396629887941</v>
      </c>
      <c r="EM15" s="20">
        <f t="shared" si="19"/>
        <v>91.135979583721522</v>
      </c>
      <c r="EN15" s="59">
        <f t="shared" si="20"/>
        <v>362.46931291705482</v>
      </c>
      <c r="EO15" s="59">
        <f ca="1">AVERAGE(OFFSET($EN$3,0,0,'Données projet'!$E$15+1,1))-AVERAGE(OFFSET($H$3,0,0,'Données projet'!$E$15+1,1))</f>
        <v>525.74725170626471</v>
      </c>
      <c r="EP15" s="59">
        <f t="shared" si="46"/>
        <v>259.19103598192197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3.3603333333333336</v>
      </c>
      <c r="N16" s="13">
        <f>IF('Données projet'!$A$36&gt;35,N15+M16-V15,IF(A16&lt;'Données projet'!$A$36,$K$205^A16,IF(A16='Données projet'!$A$36,'Données projet'!$B$36,N15+M16-V15)))</f>
        <v>43.684333333333349</v>
      </c>
      <c r="O16" s="13">
        <f>N16*VLOOKUP('Données projet'!$B$9,Paramètres!$A$1:$I$89,3,0)*VLOOKUP('Données projet'!$B$9,Paramètres!$A$1:$I$89,5,0)</f>
        <v>44.295914000000018</v>
      </c>
      <c r="P16" s="13">
        <f t="shared" si="33"/>
        <v>13.130431589304674</v>
      </c>
      <c r="Q16" s="20">
        <f t="shared" si="2"/>
        <v>100.01755190137233</v>
      </c>
      <c r="R16" s="59">
        <f t="shared" si="0"/>
        <v>372.57310745692786</v>
      </c>
      <c r="S16" s="59">
        <f ca="1">AVERAGE(OFFSET($R$3,0,0,'Données projet'!$E$9+1,1))-AVERAGE(OFFSET($H$3,0,0,'Données projet'!$E$9+1,1))</f>
        <v>533.26035274112917</v>
      </c>
      <c r="T16" s="59">
        <f t="shared" si="34"/>
        <v>262.58149402282521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4.5856818181818184</v>
      </c>
      <c r="AI16" s="13">
        <f>IF('Données projet'!$A$62&gt;35,AI15+AH16-AQ15,IF(A16&lt;'Données projet'!$A$62,$AF$205^A16,IF(A16='Données projet'!$A$62,'Données projet'!$B$62,AI15+AH16-AQ15)))</f>
        <v>59.613863636363639</v>
      </c>
      <c r="AJ16" s="13">
        <f>AI16*VLOOKUP('Données projet'!$B$10,Paramètres!$A$1:$I$89,3,0)*VLOOKUP('Données projet'!$B$10,Paramètres!$A$1:$I$89,5,0)</f>
        <v>53.938623818181817</v>
      </c>
      <c r="AK16" s="13">
        <f t="shared" si="35"/>
        <v>15.62639444596179</v>
      </c>
      <c r="AL16" s="20">
        <f t="shared" si="4"/>
        <v>121.15907347671678</v>
      </c>
      <c r="AM16" s="59">
        <f t="shared" si="5"/>
        <v>393.71462903227234</v>
      </c>
      <c r="AN16" s="59">
        <f ca="1">AVERAGE(OFFSET($AM$3,0,0,'Données projet'!$E$10+1,1))-AVERAGE(OFFSET($H$3,0,0,'Données projet'!$E$10+1,1))</f>
        <v>482.62991869403385</v>
      </c>
      <c r="AO16" s="59">
        <f t="shared" si="36"/>
        <v>310.43914804089906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4.333333333333333</v>
      </c>
      <c r="BD16" s="12">
        <f>IF('Données projet'!$A$88&gt;35,BD15+BC16-BL15,IF(A16&lt;'Données projet'!$A$88,$BA$205^A16,IF(A16='Données projet'!$A$88,'Données projet'!$B$88,BD15+BC16-BL15)))</f>
        <v>37.255601172785397</v>
      </c>
      <c r="BE16" s="13">
        <f>BD16*VLOOKUP('Données projet'!$B$11,Paramètres!$A$1:$I$89,3,0)*VLOOKUP('Données projet'!$B$11,Paramètres!$A$1:$I$89,5,0)</f>
        <v>32.546493184545326</v>
      </c>
      <c r="BF16" s="13">
        <f t="shared" si="37"/>
        <v>10.000017890578144</v>
      </c>
      <c r="BG16" s="20">
        <f t="shared" si="7"/>
        <v>74.101840122506715</v>
      </c>
      <c r="BH16" s="59">
        <f t="shared" si="8"/>
        <v>346.65739567806224</v>
      </c>
      <c r="BI16" s="59">
        <f ca="1">AVERAGE(OFFSET($BH$3,0,0,'Données projet'!$E$11+1,1))-AVERAGE(OFFSET($H$3,0,0,'Données projet'!$E$11+1,1))</f>
        <v>384.34044781465661</v>
      </c>
      <c r="BJ16" s="59">
        <f t="shared" si="38"/>
        <v>374.99493809709708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4.5856818181818184</v>
      </c>
      <c r="BY16" s="12">
        <f>IF('Données projet'!$A$114&gt;35,BY15+BX16-CG15,IF(A16&lt;'Données projet'!$A$114,$BV$205^A16,IF(A16='Données projet'!$A$114,'Données projet'!$B$114,BY15+BX16-CG15)))</f>
        <v>59.613863636363639</v>
      </c>
      <c r="BZ16" s="13">
        <f>BY16*VLOOKUP('Données projet'!$B$12,Paramètres!$A$1:$I$89,3,0)*VLOOKUP('Données projet'!$B$12,Paramètres!$A$1:$I$89,5,0)</f>
        <v>56.728552636363645</v>
      </c>
      <c r="CA16" s="13">
        <f t="shared" si="39"/>
        <v>16.338464913014882</v>
      </c>
      <c r="CB16" s="20">
        <f t="shared" si="10"/>
        <v>127.25838889850094</v>
      </c>
      <c r="CC16" s="59">
        <f t="shared" si="11"/>
        <v>399.81394445405647</v>
      </c>
      <c r="CD16" s="59">
        <f ca="1">AVERAGE(OFFSET($CC$3,0,0,'Données projet'!$E$12+1,1))-AVERAGE(OFFSET($H$3,0,0,'Données projet'!$E$12+1,1))</f>
        <v>513.14430745499283</v>
      </c>
      <c r="CE16" s="59">
        <f t="shared" si="40"/>
        <v>324.2490378019823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1.7094017094017093</v>
      </c>
      <c r="CT16" s="12">
        <f>IF('Données projet'!$A$140&gt;35,CT15+CS16-DB15,IF(A16&lt;'Données projet'!$A$140,$CQ$205^A16,IF(A16='Données projet'!$A$140,'Données projet'!$B$140,CT15+CS16-DB15)))</f>
        <v>16.637089026952847</v>
      </c>
      <c r="CU16" s="17">
        <f>CT16*VLOOKUP('Données projet'!$B$13,Paramètres!$A$1:$I$89,3,0)*VLOOKUP('Données projet'!$B$13,Paramètres!$A$1:$I$89,5,0)</f>
        <v>12.976929441023222</v>
      </c>
      <c r="CV16" s="13">
        <f t="shared" si="41"/>
        <v>4.4376269864069782</v>
      </c>
      <c r="CW16" s="20">
        <f t="shared" si="13"/>
        <v>30.33035244444093</v>
      </c>
      <c r="CX16" s="59">
        <f t="shared" si="14"/>
        <v>302.88590799999645</v>
      </c>
      <c r="CY16" s="59">
        <f ca="1">AVERAGE(OFFSET($CX$3,0,0,'Données projet'!$E$13+1,1))-AVERAGE(OFFSET($H$3,0,0,'Données projet'!$E$13+1,1))</f>
        <v>197.51452239559433</v>
      </c>
      <c r="CZ16" s="59">
        <f t="shared" si="42"/>
        <v>196.65166921588821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3.7179487179487181</v>
      </c>
      <c r="DO16" s="12">
        <f>IF('Données projet'!$A$166&gt;35,DO15+DN16-DW15,IF(A16&lt;'Données projet'!$A$166,$DL$205^A16,IF(A16='Données projet'!$A$166,'Données projet'!$B$166,DO15+DN16-DW15)))</f>
        <v>22.692307692307693</v>
      </c>
      <c r="DP16" s="17">
        <f>DO16*VLOOKUP('Données projet'!$B$14,Paramètres!$A$1:$I$89,3,0)*VLOOKUP('Données projet'!$B$14,Paramètres!$A$1:$I$89,5,0)</f>
        <v>23.718000000000004</v>
      </c>
      <c r="DQ16" s="13">
        <f t="shared" si="43"/>
        <v>7.5608573241730994</v>
      </c>
      <c r="DR16" s="20">
        <f t="shared" si="16"/>
        <v>54.477343172934816</v>
      </c>
      <c r="DS16" s="59">
        <f t="shared" si="17"/>
        <v>327.03289872849035</v>
      </c>
      <c r="DT16" s="59">
        <f ca="1">AVERAGE(OFFSET($DS$3,0,0,'Données projet'!$E$14+1,1))-AVERAGE(OFFSET($H$3,0,0,'Données projet'!$E$14+1,1))</f>
        <v>239.26156489359892</v>
      </c>
      <c r="DU16" s="59">
        <f t="shared" si="44"/>
        <v>213.97034450798111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3.3603333333333336</v>
      </c>
      <c r="EJ16" s="12">
        <f>IF('Données projet'!$A$192&gt;35,EJ15+EI16-ER15,IF(A16&lt;'Données projet'!$A$192,$EG$205^A16,IF(A16='Données projet'!$A$192,'Données projet'!$B$192,EJ15+EI16-ER15)))</f>
        <v>43.684333333333349</v>
      </c>
      <c r="EK16" s="17">
        <f>EJ16*VLOOKUP('Données projet'!$B$15,Paramètres!$A$1:$I$89,3,0)*VLOOKUP('Données projet'!$B$15,Paramètres!$A$1:$I$89,5,0)</f>
        <v>43.614438400000019</v>
      </c>
      <c r="EL16" s="13">
        <f t="shared" si="45"/>
        <v>12.951777779890081</v>
      </c>
      <c r="EM16" s="20">
        <f t="shared" si="19"/>
        <v>98.519493179975257</v>
      </c>
      <c r="EN16" s="59">
        <f t="shared" si="20"/>
        <v>371.0750487355308</v>
      </c>
      <c r="EO16" s="59">
        <f ca="1">AVERAGE(OFFSET($EN$3,0,0,'Données projet'!$E$15+1,1))-AVERAGE(OFFSET($H$3,0,0,'Données projet'!$E$15+1,1))</f>
        <v>525.74725170626471</v>
      </c>
      <c r="EP16" s="59">
        <f t="shared" si="46"/>
        <v>259.19103598192197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3.3603333333333336</v>
      </c>
      <c r="N17" s="13">
        <f>IF('Données projet'!$A$36&gt;35,N16+M17-V16,IF(A17&lt;'Données projet'!$A$36,$K$205^A17,IF(A17='Données projet'!$A$36,'Données projet'!$B$36,N16+M17-V16)))</f>
        <v>47.044666666666686</v>
      </c>
      <c r="O17" s="13">
        <f>N17*VLOOKUP('Données projet'!$B$9,Paramètres!$A$1:$I$89,3,0)*VLOOKUP('Données projet'!$B$9,Paramètres!$A$1:$I$89,5,0)</f>
        <v>47.703292000000019</v>
      </c>
      <c r="P17" s="13">
        <f t="shared" si="33"/>
        <v>14.019011356175028</v>
      </c>
      <c r="Q17" s="20">
        <f t="shared" si="2"/>
        <v>107.49967834533821</v>
      </c>
      <c r="R17" s="59">
        <f t="shared" si="0"/>
        <v>381.277456123116</v>
      </c>
      <c r="S17" s="59">
        <f ca="1">AVERAGE(OFFSET($R$3,0,0,'Données projet'!$E$9+1,1))-AVERAGE(OFFSET($H$3,0,0,'Données projet'!$E$9+1,1))</f>
        <v>533.26035274112917</v>
      </c>
      <c r="T17" s="59">
        <f t="shared" si="34"/>
        <v>262.58149402282521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4.5856818181818184</v>
      </c>
      <c r="AI17" s="13">
        <f>IF('Données projet'!$A$62&gt;35,AI16+AH17-AQ16,IF(A17&lt;'Données projet'!$A$62,$AF$205^A17,IF(A17='Données projet'!$A$62,'Données projet'!$B$62,AI16+AH17-AQ16)))</f>
        <v>64.199545454545458</v>
      </c>
      <c r="AJ17" s="13">
        <f>AI17*VLOOKUP('Données projet'!$B$10,Paramètres!$A$1:$I$89,3,0)*VLOOKUP('Données projet'!$B$10,Paramètres!$A$1:$I$89,5,0)</f>
        <v>58.087748727272725</v>
      </c>
      <c r="AK17" s="13">
        <f t="shared" si="35"/>
        <v>16.683884280882914</v>
      </c>
      <c r="AL17" s="20">
        <f t="shared" si="4"/>
        <v>130.22726082253777</v>
      </c>
      <c r="AM17" s="59">
        <f t="shared" si="5"/>
        <v>404.00503860031552</v>
      </c>
      <c r="AN17" s="59">
        <f ca="1">AVERAGE(OFFSET($AM$3,0,0,'Données projet'!$E$10+1,1))-AVERAGE(OFFSET($H$3,0,0,'Données projet'!$E$10+1,1))</f>
        <v>482.62991869403385</v>
      </c>
      <c r="AO17" s="59">
        <f t="shared" si="36"/>
        <v>310.43914804089906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4.333333333333333</v>
      </c>
      <c r="BD17" s="12">
        <f>IF('Données projet'!$A$88&gt;35,BD16+BC17-BL16,IF(A17&lt;'Données projet'!$A$88,$BA$205^A17,IF(A17='Données projet'!$A$88,'Données projet'!$B$88,BD16+BC17-BL16)))</f>
        <v>49.209898153024547</v>
      </c>
      <c r="BE17" s="13">
        <f>BD17*VLOOKUP('Données projet'!$B$11,Paramètres!$A$1:$I$89,3,0)*VLOOKUP('Données projet'!$B$11,Paramètres!$A$1:$I$89,5,0)</f>
        <v>42.989767026482248</v>
      </c>
      <c r="BF17" s="13">
        <f t="shared" si="37"/>
        <v>12.78773005197989</v>
      </c>
      <c r="BG17" s="20">
        <f t="shared" si="7"/>
        <v>97.145807411654872</v>
      </c>
      <c r="BH17" s="59">
        <f t="shared" si="8"/>
        <v>370.92358518943263</v>
      </c>
      <c r="BI17" s="59">
        <f ca="1">AVERAGE(OFFSET($BH$3,0,0,'Données projet'!$E$11+1,1))-AVERAGE(OFFSET($H$3,0,0,'Données projet'!$E$11+1,1))</f>
        <v>384.34044781465661</v>
      </c>
      <c r="BJ17" s="59">
        <f t="shared" si="38"/>
        <v>374.99493809709708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4.5856818181818184</v>
      </c>
      <c r="BY17" s="12">
        <f>IF('Données projet'!$A$114&gt;35,BY16+BX17-CG16,IF(A17&lt;'Données projet'!$A$114,$BV$205^A17,IF(A17='Données projet'!$A$114,'Données projet'!$B$114,BY16+BX17-CG16)))</f>
        <v>64.199545454545458</v>
      </c>
      <c r="BZ17" s="13">
        <f>BY17*VLOOKUP('Données projet'!$B$12,Paramètres!$A$1:$I$89,3,0)*VLOOKUP('Données projet'!$B$12,Paramètres!$A$1:$I$89,5,0)</f>
        <v>61.092287454545456</v>
      </c>
      <c r="CA17" s="13">
        <f t="shared" si="39"/>
        <v>17.444142913367273</v>
      </c>
      <c r="CB17" s="20">
        <f t="shared" si="10"/>
        <v>136.78428289078133</v>
      </c>
      <c r="CC17" s="59">
        <f t="shared" si="11"/>
        <v>410.56206066855907</v>
      </c>
      <c r="CD17" s="59">
        <f ca="1">AVERAGE(OFFSET($CC$3,0,0,'Données projet'!$E$12+1,1))-AVERAGE(OFFSET($H$3,0,0,'Données projet'!$E$12+1,1))</f>
        <v>513.14430745499283</v>
      </c>
      <c r="CE17" s="59">
        <f t="shared" si="40"/>
        <v>324.2490378019823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1.7094017094017093</v>
      </c>
      <c r="CT17" s="12">
        <f>IF('Données projet'!$A$140&gt;35,CT16+CS17-DB16,IF(A17&lt;'Données projet'!$A$140,$CQ$205^A17,IF(A17='Données projet'!$A$140,'Données projet'!$B$140,CT16+CS17-DB16)))</f>
        <v>20.65410434591935</v>
      </c>
      <c r="CU17" s="17">
        <f>CT17*VLOOKUP('Données projet'!$B$13,Paramètres!$A$1:$I$89,3,0)*VLOOKUP('Données projet'!$B$13,Paramètres!$A$1:$I$89,5,0)</f>
        <v>16.110201389817092</v>
      </c>
      <c r="CV17" s="13">
        <f t="shared" si="41"/>
        <v>5.3721296027756829</v>
      </c>
      <c r="CW17" s="20">
        <f t="shared" si="13"/>
        <v>37.415059812099081</v>
      </c>
      <c r="CX17" s="59">
        <f t="shared" si="14"/>
        <v>311.19283758987683</v>
      </c>
      <c r="CY17" s="59">
        <f ca="1">AVERAGE(OFFSET($CX$3,0,0,'Données projet'!$E$13+1,1))-AVERAGE(OFFSET($H$3,0,0,'Données projet'!$E$13+1,1))</f>
        <v>197.51452239559433</v>
      </c>
      <c r="CZ17" s="59">
        <f t="shared" si="42"/>
        <v>196.65166921588821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3.7179487179487181</v>
      </c>
      <c r="DO17" s="12">
        <f>IF('Données projet'!$A$166&gt;35,DO16+DN17-DW16,IF(A17&lt;'Données projet'!$A$166,$DL$205^A17,IF(A17='Données projet'!$A$166,'Données projet'!$B$166,DO16+DN17-DW16)))</f>
        <v>26.410256410256412</v>
      </c>
      <c r="DP17" s="17">
        <f>DO17*VLOOKUP('Données projet'!$B$14,Paramètres!$A$1:$I$89,3,0)*VLOOKUP('Données projet'!$B$14,Paramètres!$A$1:$I$89,5,0)</f>
        <v>27.604000000000006</v>
      </c>
      <c r="DQ17" s="13">
        <f t="shared" si="43"/>
        <v>8.6455960616159544</v>
      </c>
      <c r="DR17" s="20">
        <f t="shared" si="16"/>
        <v>63.134713140647797</v>
      </c>
      <c r="DS17" s="59">
        <f t="shared" si="17"/>
        <v>336.91249091842559</v>
      </c>
      <c r="DT17" s="59">
        <f ca="1">AVERAGE(OFFSET($DS$3,0,0,'Données projet'!$E$14+1,1))-AVERAGE(OFFSET($H$3,0,0,'Données projet'!$E$14+1,1))</f>
        <v>239.26156489359892</v>
      </c>
      <c r="DU17" s="59">
        <f t="shared" si="44"/>
        <v>213.97034450798111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3.3603333333333336</v>
      </c>
      <c r="EJ17" s="12">
        <f>IF('Données projet'!$A$192&gt;35,EJ16+EI17-ER16,IF(A17&lt;'Données projet'!$A$192,$EG$205^A17,IF(A17='Données projet'!$A$192,'Données projet'!$B$192,EJ16+EI17-ER16)))</f>
        <v>47.044666666666686</v>
      </c>
      <c r="EK17" s="17">
        <f>EJ17*VLOOKUP('Données projet'!$B$15,Paramètres!$A$1:$I$89,3,0)*VLOOKUP('Données projet'!$B$15,Paramètres!$A$1:$I$89,5,0)</f>
        <v>46.969395200000022</v>
      </c>
      <c r="EL17" s="13">
        <f t="shared" si="45"/>
        <v>13.828267452140132</v>
      </c>
      <c r="EM17" s="20">
        <f t="shared" si="19"/>
        <v>105.88926245247744</v>
      </c>
      <c r="EN17" s="59">
        <f t="shared" si="20"/>
        <v>379.66704023025522</v>
      </c>
      <c r="EO17" s="59">
        <f ca="1">AVERAGE(OFFSET($EN$3,0,0,'Données projet'!$E$15+1,1))-AVERAGE(OFFSET($H$3,0,0,'Données projet'!$E$15+1,1))</f>
        <v>525.74725170626471</v>
      </c>
      <c r="EP17" s="59">
        <f t="shared" si="46"/>
        <v>259.19103598192197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3.3603333333333336</v>
      </c>
      <c r="N18" s="13">
        <f>IF('Données projet'!$A$36&gt;35,N17+M18-V17,IF(A18&lt;'Données projet'!$A$36,$K$205^A18,IF(A18='Données projet'!$A$36,'Données projet'!$B$36,N17+M18-V17)))</f>
        <v>50.405000000000022</v>
      </c>
      <c r="O18" s="13">
        <f>N18*VLOOKUP('Données projet'!$B$9,Paramètres!$A$1:$I$89,3,0)*VLOOKUP('Données projet'!$B$9,Paramètres!$A$1:$I$89,5,0)</f>
        <v>51.11067000000002</v>
      </c>
      <c r="P18" s="13">
        <f t="shared" si="33"/>
        <v>14.900227237706996</v>
      </c>
      <c r="Q18" s="20">
        <f t="shared" si="2"/>
        <v>114.96897935567303</v>
      </c>
      <c r="R18" s="59">
        <f t="shared" si="0"/>
        <v>389.96897935567301</v>
      </c>
      <c r="S18" s="59">
        <f ca="1">AVERAGE(OFFSET($R$3,0,0,'Données projet'!$E$9+1,1))-AVERAGE(OFFSET($H$3,0,0,'Données projet'!$E$9+1,1))</f>
        <v>533.26035274112917</v>
      </c>
      <c r="T18" s="59">
        <f t="shared" si="34"/>
        <v>262.58149402282521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4.5856818181818184</v>
      </c>
      <c r="AI18" s="13">
        <f>IF('Données projet'!$A$62&gt;35,AI17+AH18-AQ17,IF(A18&lt;'Données projet'!$A$62,$AF$205^A18,IF(A18='Données projet'!$A$62,'Données projet'!$B$62,AI17+AH18-AQ17)))</f>
        <v>68.785227272727269</v>
      </c>
      <c r="AJ18" s="13">
        <f>AI18*VLOOKUP('Données projet'!$B$10,Paramètres!$A$1:$I$89,3,0)*VLOOKUP('Données projet'!$B$10,Paramètres!$A$1:$I$89,5,0)</f>
        <v>62.236873636363626</v>
      </c>
      <c r="AK18" s="13">
        <f t="shared" si="35"/>
        <v>17.732610429997528</v>
      </c>
      <c r="AL18" s="20">
        <f t="shared" si="4"/>
        <v>139.28018474891235</v>
      </c>
      <c r="AM18" s="59">
        <f t="shared" si="5"/>
        <v>414.28018474891235</v>
      </c>
      <c r="AN18" s="59">
        <f ca="1">AVERAGE(OFFSET($AM$3,0,0,'Données projet'!$E$10+1,1))-AVERAGE(OFFSET($H$3,0,0,'Données projet'!$E$10+1,1))</f>
        <v>482.62991869403385</v>
      </c>
      <c r="AO18" s="59">
        <f t="shared" si="36"/>
        <v>310.43914804089906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65</v>
      </c>
      <c r="BB18" s="12">
        <f>VLOOKUP(A18,'Données projet'!$A$87:$I$107,9,0)</f>
        <v>4.333333333333333</v>
      </c>
      <c r="BC18" s="12">
        <f t="array" ref="BC18">INDEX(BB:BB,MIN(IF(ISNUMBER(BB18:BB214),ROW(BB18:BB214),"")))</f>
        <v>4.333333333333333</v>
      </c>
      <c r="BD18" s="12">
        <f>IF('Données projet'!$A$88&gt;35,BD17+BC18-BL17,IF(A18&lt;'Données projet'!$A$88,$BA$205^A18,IF(A18='Données projet'!$A$88,'Données projet'!$B$88,BD17+BC18-BL17)))</f>
        <v>65</v>
      </c>
      <c r="BE18" s="13">
        <f>BD18*VLOOKUP('Données projet'!$B$11,Paramètres!$A$1:$I$89,3,0)*VLOOKUP('Données projet'!$B$11,Paramètres!$A$1:$I$89,5,0)</f>
        <v>56.784000000000013</v>
      </c>
      <c r="BF18" s="13">
        <f t="shared" si="37"/>
        <v>16.352574732529362</v>
      </c>
      <c r="BG18" s="20">
        <f t="shared" si="7"/>
        <v>127.37953432582198</v>
      </c>
      <c r="BH18" s="59">
        <f t="shared" si="8"/>
        <v>402.37953432582196</v>
      </c>
      <c r="BI18" s="59">
        <f ca="1">AVERAGE(OFFSET($BH$3,0,0,'Données projet'!$E$11+1,1))-AVERAGE(OFFSET($H$3,0,0,'Données projet'!$E$11+1,1))</f>
        <v>384.34044781465661</v>
      </c>
      <c r="BJ18" s="59">
        <f t="shared" si="38"/>
        <v>374.99493809709708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32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0.13250000000000001</v>
      </c>
      <c r="BO18" s="16">
        <f>IF(ISNA(VLOOKUP(A18,'Données projet'!$A$87:$I$107,7,0)),0%,VLOOKUP(A18,'Données projet'!$A$87:$I$107,7,0))</f>
        <v>0.25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4.0786105117164171</v>
      </c>
      <c r="BR18" s="21">
        <f>EXP(-LN(2)/2)*BR17+(1-EXP(-LN(2)/2))/(LN(2)/2)*BL18*BO18*VLOOKUP('Données projet'!$B$11,Paramètres!$A$1:$I$89,3,0)*0.475*44/12</f>
        <v>6.5941209007941382</v>
      </c>
      <c r="BS18" s="22">
        <f t="shared" si="9"/>
        <v>10.672731412510554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4.5856818181818184</v>
      </c>
      <c r="BY18" s="12">
        <f>IF('Données projet'!$A$114&gt;35,BY17+BX18-CG17,IF(A18&lt;'Données projet'!$A$114,$BV$205^A18,IF(A18='Données projet'!$A$114,'Données projet'!$B$114,BY17+BX18-CG17)))</f>
        <v>68.785227272727269</v>
      </c>
      <c r="BZ18" s="13">
        <f>BY18*VLOOKUP('Données projet'!$B$12,Paramètres!$A$1:$I$89,3,0)*VLOOKUP('Données projet'!$B$12,Paramètres!$A$1:$I$89,5,0)</f>
        <v>65.456022272727267</v>
      </c>
      <c r="CA18" s="13">
        <f t="shared" si="39"/>
        <v>18.540657880394615</v>
      </c>
      <c r="CB18" s="20">
        <f t="shared" si="10"/>
        <v>146.29421793335396</v>
      </c>
      <c r="CC18" s="59">
        <f t="shared" si="11"/>
        <v>421.29421793335393</v>
      </c>
      <c r="CD18" s="59">
        <f ca="1">AVERAGE(OFFSET($CC$3,0,0,'Données projet'!$E$12+1,1))-AVERAGE(OFFSET($H$3,0,0,'Données projet'!$E$12+1,1))</f>
        <v>513.14430745499283</v>
      </c>
      <c r="CE18" s="59">
        <f t="shared" si="40"/>
        <v>324.2490378019823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25.641025641025639</v>
      </c>
      <c r="CR18" s="12">
        <f>VLOOKUP(A18,'Données projet'!$A$139:$I$159,9,0)</f>
        <v>1.7094017094017093</v>
      </c>
      <c r="CS18" s="12">
        <f t="array" ref="CS18">INDEX(CR:CR,MIN(IF(ISNUMBER(CR18:CR214),ROW(CR18:CR214),"")))</f>
        <v>1.7094017094017093</v>
      </c>
      <c r="CT18" s="12">
        <f>IF('Données projet'!$A$140&gt;35,CT17+CS18-DB17,IF(A18&lt;'Données projet'!$A$140,$CQ$205^A18,IF(A18='Données projet'!$A$140,'Données projet'!$B$140,CT17+CS18-DB17)))</f>
        <v>25.641025641025639</v>
      </c>
      <c r="CU18" s="17">
        <f>CT18*VLOOKUP('Données projet'!$B$13,Paramètres!$A$1:$I$89,3,0)*VLOOKUP('Données projet'!$B$13,Paramètres!$A$1:$I$89,5,0)</f>
        <v>20</v>
      </c>
      <c r="CV18" s="13">
        <f t="shared" si="41"/>
        <v>6.5034254923678825</v>
      </c>
      <c r="CW18" s="20">
        <f t="shared" si="13"/>
        <v>46.160132732540724</v>
      </c>
      <c r="CX18" s="59">
        <f t="shared" si="14"/>
        <v>321.16013273254072</v>
      </c>
      <c r="CY18" s="59">
        <f ca="1">AVERAGE(OFFSET($CX$3,0,0,'Données projet'!$E$13+1,1))-AVERAGE(OFFSET($H$3,0,0,'Données projet'!$E$13+1,1))</f>
        <v>197.51452239559433</v>
      </c>
      <c r="CZ18" s="59">
        <f t="shared" si="42"/>
        <v>196.65166921588821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1.9230769230769229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0.1075</v>
      </c>
      <c r="DE18" s="16">
        <f>IF(ISNA(VLOOKUP(A18,'Données projet'!$A$139:$I$159,7,0)),0%,VLOOKUP(A18,'Données projet'!$A$139:$I$159,7,0))</f>
        <v>0.25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0.17755523258082798</v>
      </c>
      <c r="DH18" s="21">
        <f>EXP(-LN(2)/2)*DH17+(1-EXP(-LN(2)/2))/(LN(2)/2)*DB18*DE18*VLOOKUP('Données projet'!$B$13,Paramètres!$A$1:$I$89,3,0)*0.475*44/12</f>
        <v>0.35382259297702051</v>
      </c>
      <c r="DI18" s="22">
        <f t="shared" si="15"/>
        <v>0.53137782555784852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30.128205128205128</v>
      </c>
      <c r="DM18" s="12">
        <f>VLOOKUP(A18,'Données projet'!$A$165:$I$185,9,0)</f>
        <v>3.7179487179487181</v>
      </c>
      <c r="DN18" s="12">
        <f t="array" ref="DN18">INDEX(DM:DM,MIN(IF(ISNUMBER(DM18:DM214),ROW(DM18:DM214),"")))</f>
        <v>3.7179487179487181</v>
      </c>
      <c r="DO18" s="12">
        <f>IF('Données projet'!$A$166&gt;35,DO17+DN18-DW17,IF(A18&lt;'Données projet'!$A$166,$DL$205^A18,IF(A18='Données projet'!$A$166,'Données projet'!$B$166,DO17+DN18-DW17)))</f>
        <v>30.128205128205131</v>
      </c>
      <c r="DP18" s="17">
        <f>DO18*VLOOKUP('Données projet'!$B$14,Paramètres!$A$1:$I$89,3,0)*VLOOKUP('Données projet'!$B$14,Paramètres!$A$1:$I$89,5,0)</f>
        <v>31.490000000000006</v>
      </c>
      <c r="DQ18" s="13">
        <f t="shared" si="43"/>
        <v>9.7126430402655597</v>
      </c>
      <c r="DR18" s="20">
        <f t="shared" si="16"/>
        <v>71.761269961795847</v>
      </c>
      <c r="DS18" s="59">
        <f t="shared" si="17"/>
        <v>346.76126996179585</v>
      </c>
      <c r="DT18" s="59">
        <f ca="1">AVERAGE(OFFSET($DS$3,0,0,'Données projet'!$E$14+1,1))-AVERAGE(OFFSET($H$3,0,0,'Données projet'!$E$14+1,1))</f>
        <v>239.26156489359892</v>
      </c>
      <c r="DU18" s="59">
        <f t="shared" si="44"/>
        <v>213.97034450798111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0.215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3.3603333333333336</v>
      </c>
      <c r="EJ18" s="12">
        <f>IF('Données projet'!$A$192&gt;35,EJ17+EI18-ER17,IF(A18&lt;'Données projet'!$A$192,$EG$205^A18,IF(A18='Données projet'!$A$192,'Données projet'!$B$192,EJ17+EI18-ER17)))</f>
        <v>50.405000000000022</v>
      </c>
      <c r="EK18" s="17">
        <f>EJ18*VLOOKUP('Données projet'!$B$15,Paramètres!$A$1:$I$89,3,0)*VLOOKUP('Données projet'!$B$15,Paramètres!$A$1:$I$89,5,0)</f>
        <v>50.324352000000026</v>
      </c>
      <c r="EL18" s="13">
        <f t="shared" si="45"/>
        <v>14.697493432724697</v>
      </c>
      <c r="EM18" s="20">
        <f t="shared" si="19"/>
        <v>113.24638079532888</v>
      </c>
      <c r="EN18" s="59">
        <f t="shared" si="20"/>
        <v>388.24638079532889</v>
      </c>
      <c r="EO18" s="59">
        <f ca="1">AVERAGE(OFFSET($EN$3,0,0,'Données projet'!$E$15+1,1))-AVERAGE(OFFSET($H$3,0,0,'Données projet'!$E$15+1,1))</f>
        <v>525.74725170626471</v>
      </c>
      <c r="EP18" s="59">
        <f t="shared" si="46"/>
        <v>259.19103598192197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3.3603333333333336</v>
      </c>
      <c r="N19" s="13">
        <f>IF('Données projet'!$A$36&gt;35,N18+M19-V18,IF(A19&lt;'Données projet'!$A$36,$K$205^A19,IF(A19='Données projet'!$A$36,'Données projet'!$B$36,N18+M19-V18)))</f>
        <v>53.765333333333359</v>
      </c>
      <c r="O19" s="13">
        <f>N19*VLOOKUP('Données projet'!$B$9,Paramètres!$A$1:$I$89,3,0)*VLOOKUP('Données projet'!$B$9,Paramètres!$A$1:$I$89,5,0)</f>
        <v>54.518048000000029</v>
      </c>
      <c r="P19" s="13">
        <f t="shared" si="33"/>
        <v>15.774626019217196</v>
      </c>
      <c r="Q19" s="20">
        <f t="shared" si="2"/>
        <v>122.42640725013666</v>
      </c>
      <c r="R19" s="59">
        <f t="shared" si="0"/>
        <v>398.64862947235889</v>
      </c>
      <c r="S19" s="59">
        <f ca="1">AVERAGE(OFFSET($R$3,0,0,'Données projet'!$E$9+1,1))-AVERAGE(OFFSET($H$3,0,0,'Données projet'!$E$9+1,1))</f>
        <v>533.26035274112917</v>
      </c>
      <c r="T19" s="59">
        <f t="shared" si="34"/>
        <v>262.58149402282521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4.5856818181818184</v>
      </c>
      <c r="AI19" s="13">
        <f>IF('Données projet'!$A$62&gt;35,AI18+AH19-AQ18,IF(A19&lt;'Données projet'!$A$62,$AF$205^A19,IF(A19='Données projet'!$A$62,'Données projet'!$B$62,AI18+AH19-AQ18)))</f>
        <v>73.370909090909095</v>
      </c>
      <c r="AJ19" s="13">
        <f>AI19*VLOOKUP('Données projet'!$B$10,Paramètres!$A$1:$I$89,3,0)*VLOOKUP('Données projet'!$B$10,Paramètres!$A$1:$I$89,5,0)</f>
        <v>66.385998545454541</v>
      </c>
      <c r="AK19" s="13">
        <f t="shared" si="35"/>
        <v>18.773223617006281</v>
      </c>
      <c r="AL19" s="20">
        <f t="shared" si="4"/>
        <v>148.31897859961927</v>
      </c>
      <c r="AM19" s="59">
        <f t="shared" si="5"/>
        <v>424.54120082184147</v>
      </c>
      <c r="AN19" s="59">
        <f ca="1">AVERAGE(OFFSET($AM$3,0,0,'Données projet'!$E$10+1,1))-AVERAGE(OFFSET($H$3,0,0,'Données projet'!$E$10+1,1))</f>
        <v>482.62991869403385</v>
      </c>
      <c r="AO19" s="59">
        <f t="shared" si="36"/>
        <v>310.43914804089906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13.8</v>
      </c>
      <c r="BD19" s="12">
        <f>IF('Données projet'!$A$88&gt;35,BD18+BC19-BL18,IF(A19&lt;'Données projet'!$A$88,$BA$205^A19,IF(A19='Données projet'!$A$88,'Données projet'!$B$88,BD18+BC19-BL18)))</f>
        <v>46.8</v>
      </c>
      <c r="BE19" s="13">
        <f>BD19*VLOOKUP('Données projet'!$B$11,Paramètres!$A$1:$I$89,3,0)*VLOOKUP('Données projet'!$B$11,Paramètres!$A$1:$I$89,5,0)</f>
        <v>40.884480000000003</v>
      </c>
      <c r="BF19" s="13">
        <f t="shared" si="37"/>
        <v>12.23277918777527</v>
      </c>
      <c r="BG19" s="20">
        <f t="shared" si="7"/>
        <v>92.512559752041952</v>
      </c>
      <c r="BH19" s="59">
        <f t="shared" si="8"/>
        <v>368.73478197426419</v>
      </c>
      <c r="BI19" s="59">
        <f ca="1">AVERAGE(OFFSET($BH$3,0,0,'Données projet'!$E$11+1,1))-AVERAGE(OFFSET($H$3,0,0,'Données projet'!$E$11+1,1))</f>
        <v>384.34044781465661</v>
      </c>
      <c r="BJ19" s="59">
        <f t="shared" si="38"/>
        <v>374.99493809709708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3.9670806927887265</v>
      </c>
      <c r="BR19" s="21">
        <f>EXP(-LN(2)/2)*BR18+(1-EXP(-LN(2)/2))/(LN(2)/2)*BL19*BO19*VLOOKUP('Données projet'!$B$11,Paramètres!$A$1:$I$89,3,0)*0.475*44/12</f>
        <v>4.6627476049154808</v>
      </c>
      <c r="BS19" s="22">
        <f t="shared" si="9"/>
        <v>8.6298282977042078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4.5856818181818184</v>
      </c>
      <c r="BY19" s="12">
        <f>IF('Données projet'!$A$114&gt;35,BY18+BX19-CG18,IF(A19&lt;'Données projet'!$A$114,$BV$205^A19,IF(A19='Données projet'!$A$114,'Données projet'!$B$114,BY18+BX19-CG18)))</f>
        <v>73.370909090909095</v>
      </c>
      <c r="BZ19" s="13">
        <f>BY19*VLOOKUP('Données projet'!$B$12,Paramètres!$A$1:$I$89,3,0)*VLOOKUP('Données projet'!$B$12,Paramètres!$A$1:$I$89,5,0)</f>
        <v>69.819757090909093</v>
      </c>
      <c r="CA19" s="13">
        <f t="shared" si="39"/>
        <v>19.62869019026358</v>
      </c>
      <c r="CB19" s="20">
        <f t="shared" si="10"/>
        <v>155.78937901470906</v>
      </c>
      <c r="CC19" s="59">
        <f t="shared" si="11"/>
        <v>432.01160123693126</v>
      </c>
      <c r="CD19" s="59">
        <f ca="1">AVERAGE(OFFSET($CC$3,0,0,'Données projet'!$E$12+1,1))-AVERAGE(OFFSET($H$3,0,0,'Données projet'!$E$12+1,1))</f>
        <v>513.14430745499283</v>
      </c>
      <c r="CE19" s="59">
        <f t="shared" si="40"/>
        <v>324.2490378019823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6.1538461538461533</v>
      </c>
      <c r="CT19" s="12">
        <f>IF('Données projet'!$A$140&gt;35,CT18+CS19-DB18,IF(A19&lt;'Données projet'!$A$140,$CQ$205^A19,IF(A19='Données projet'!$A$140,'Données projet'!$B$140,CT18+CS19-DB18)))</f>
        <v>29.871794871794869</v>
      </c>
      <c r="CU19" s="17">
        <f>CT19*VLOOKUP('Données projet'!$B$13,Paramètres!$A$1:$I$89,3,0)*VLOOKUP('Données projet'!$B$13,Paramètres!$A$1:$I$89,5,0)</f>
        <v>23.299999999999997</v>
      </c>
      <c r="CV19" s="13">
        <f t="shared" si="41"/>
        <v>7.4429955046030809</v>
      </c>
      <c r="CW19" s="20">
        <f t="shared" si="13"/>
        <v>53.544050503850364</v>
      </c>
      <c r="CX19" s="59">
        <f t="shared" si="14"/>
        <v>329.7662727260726</v>
      </c>
      <c r="CY19" s="59">
        <f ca="1">AVERAGE(OFFSET($CX$3,0,0,'Données projet'!$E$13+1,1))-AVERAGE(OFFSET($H$3,0,0,'Données projet'!$E$13+1,1))</f>
        <v>197.51452239559433</v>
      </c>
      <c r="CZ19" s="59">
        <f t="shared" si="42"/>
        <v>196.65166921588821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0.17269997540868137</v>
      </c>
      <c r="DH19" s="21">
        <f>EXP(-LN(2)/2)*DH18+(1-EXP(-LN(2)/2))/(LN(2)/2)*DB19*DE19*VLOOKUP('Données projet'!$B$13,Paramètres!$A$1:$I$89,3,0)*0.475*44/12</f>
        <v>0.25019035483105895</v>
      </c>
      <c r="DI19" s="22">
        <f t="shared" si="15"/>
        <v>0.42289033023974032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5.128205128205126</v>
      </c>
      <c r="DO19" s="12">
        <f>IF('Données projet'!$A$166&gt;35,DO18+DN19-DW18,IF(A19&lt;'Données projet'!$A$166,$DL$205^A19,IF(A19='Données projet'!$A$166,'Données projet'!$B$166,DO18+DN19-DW18)))</f>
        <v>35.256410256410255</v>
      </c>
      <c r="DP19" s="17">
        <f>DO19*VLOOKUP('Données projet'!$B$14,Paramètres!$A$1:$I$89,3,0)*VLOOKUP('Données projet'!$B$14,Paramètres!$A$1:$I$89,5,0)</f>
        <v>36.85</v>
      </c>
      <c r="DQ19" s="13">
        <f t="shared" si="43"/>
        <v>11.159795413106259</v>
      </c>
      <c r="DR19" s="20">
        <f t="shared" si="16"/>
        <v>83.617060344493396</v>
      </c>
      <c r="DS19" s="59">
        <f t="shared" si="17"/>
        <v>359.83928256671561</v>
      </c>
      <c r="DT19" s="59">
        <f ca="1">AVERAGE(OFFSET($DS$3,0,0,'Données projet'!$E$14+1,1))-AVERAGE(OFFSET($H$3,0,0,'Données projet'!$E$14+1,1))</f>
        <v>239.26156489359892</v>
      </c>
      <c r="DU19" s="59">
        <f t="shared" si="44"/>
        <v>213.97034450798111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3.3603333333333336</v>
      </c>
      <c r="EJ19" s="12">
        <f>IF('Données projet'!$A$192&gt;35,EJ18+EI19-ER18,IF(A19&lt;'Données projet'!$A$192,$EG$205^A19,IF(A19='Données projet'!$A$192,'Données projet'!$B$192,EJ18+EI19-ER18)))</f>
        <v>53.765333333333359</v>
      </c>
      <c r="EK19" s="17">
        <f>EJ19*VLOOKUP('Données projet'!$B$15,Paramètres!$A$1:$I$89,3,0)*VLOOKUP('Données projet'!$B$15,Paramètres!$A$1:$I$89,5,0)</f>
        <v>53.679308800000037</v>
      </c>
      <c r="EL19" s="13">
        <f t="shared" si="45"/>
        <v>15.559995067351208</v>
      </c>
      <c r="EM19" s="20">
        <f t="shared" si="19"/>
        <v>120.59178756897008</v>
      </c>
      <c r="EN19" s="59">
        <f t="shared" si="20"/>
        <v>396.81400979119229</v>
      </c>
      <c r="EO19" s="59">
        <f ca="1">AVERAGE(OFFSET($EN$3,0,0,'Données projet'!$E$15+1,1))-AVERAGE(OFFSET($H$3,0,0,'Données projet'!$E$15+1,1))</f>
        <v>525.74725170626471</v>
      </c>
      <c r="EP19" s="59">
        <f t="shared" si="46"/>
        <v>259.19103598192197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3.3603333333333336</v>
      </c>
      <c r="N20" s="13">
        <f>IF('Données projet'!$A$36&gt;35,N19+M20-V19,IF(A20&lt;'Données projet'!$A$36,$K$205^A20,IF(A20='Données projet'!$A$36,'Données projet'!$B$36,N19+M20-V19)))</f>
        <v>57.125666666666696</v>
      </c>
      <c r="O20" s="13">
        <f>N20*VLOOKUP('Données projet'!$B$9,Paramètres!$A$1:$I$89,3,0)*VLOOKUP('Données projet'!$B$9,Paramètres!$A$1:$I$89,5,0)</f>
        <v>57.925426000000037</v>
      </c>
      <c r="P20" s="13">
        <f t="shared" si="33"/>
        <v>16.64268227480698</v>
      </c>
      <c r="Q20" s="20">
        <f t="shared" si="2"/>
        <v>129.87278857862222</v>
      </c>
      <c r="R20" s="59">
        <f t="shared" si="0"/>
        <v>407.31723302306671</v>
      </c>
      <c r="S20" s="59">
        <f ca="1">AVERAGE(OFFSET($R$3,0,0,'Données projet'!$E$9+1,1))-AVERAGE(OFFSET($H$3,0,0,'Données projet'!$E$9+1,1))</f>
        <v>533.26035274112917</v>
      </c>
      <c r="T20" s="59">
        <f t="shared" si="34"/>
        <v>262.58149402282521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4.5856818181818184</v>
      </c>
      <c r="AI20" s="13">
        <f>IF('Données projet'!$A$62&gt;35,AI19+AH20-AQ19,IF(A20&lt;'Données projet'!$A$62,$AF$205^A20,IF(A20='Données projet'!$A$62,'Données projet'!$B$62,AI19+AH20-AQ19)))</f>
        <v>77.95659090909092</v>
      </c>
      <c r="AJ20" s="13">
        <f>AI20*VLOOKUP('Données projet'!$B$10,Paramètres!$A$1:$I$89,3,0)*VLOOKUP('Données projet'!$B$10,Paramètres!$A$1:$I$89,5,0)</f>
        <v>70.53512345454547</v>
      </c>
      <c r="AK20" s="13">
        <f t="shared" si="35"/>
        <v>19.806288627769469</v>
      </c>
      <c r="AL20" s="20">
        <f t="shared" si="4"/>
        <v>157.3446260433652</v>
      </c>
      <c r="AM20" s="59">
        <f t="shared" si="5"/>
        <v>434.78907048780968</v>
      </c>
      <c r="AN20" s="59">
        <f ca="1">AVERAGE(OFFSET($AM$3,0,0,'Données projet'!$E$10+1,1))-AVERAGE(OFFSET($H$3,0,0,'Données projet'!$E$10+1,1))</f>
        <v>482.62991869403385</v>
      </c>
      <c r="AO20" s="59">
        <f t="shared" si="36"/>
        <v>310.43914804089906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13.8</v>
      </c>
      <c r="BD20" s="12">
        <f>IF('Données projet'!$A$88&gt;35,BD19+BC20-BL19,IF(A20&lt;'Données projet'!$A$88,$BA$205^A20,IF(A20='Données projet'!$A$88,'Données projet'!$B$88,BD19+BC20-BL19)))</f>
        <v>60.599999999999994</v>
      </c>
      <c r="BE20" s="13">
        <f>BD20*VLOOKUP('Données projet'!$B$11,Paramètres!$A$1:$I$89,3,0)*VLOOKUP('Données projet'!$B$11,Paramètres!$A$1:$I$89,5,0)</f>
        <v>52.940159999999999</v>
      </c>
      <c r="BF20" s="13">
        <f t="shared" si="37"/>
        <v>15.37052534377243</v>
      </c>
      <c r="BG20" s="20">
        <f t="shared" si="7"/>
        <v>118.97444364040366</v>
      </c>
      <c r="BH20" s="59">
        <f t="shared" si="8"/>
        <v>396.41888808484811</v>
      </c>
      <c r="BI20" s="59">
        <f ca="1">AVERAGE(OFFSET($BH$3,0,0,'Données projet'!$E$11+1,1))-AVERAGE(OFFSET($H$3,0,0,'Données projet'!$E$11+1,1))</f>
        <v>384.34044781465661</v>
      </c>
      <c r="BJ20" s="59">
        <f t="shared" si="38"/>
        <v>374.99493809709708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3.858600662624712</v>
      </c>
      <c r="BR20" s="21">
        <f>EXP(-LN(2)/2)*BR19+(1-EXP(-LN(2)/2))/(LN(2)/2)*BL20*BO20*VLOOKUP('Données projet'!$B$11,Paramètres!$A$1:$I$89,3,0)*0.475*44/12</f>
        <v>3.2970604503970695</v>
      </c>
      <c r="BS20" s="22">
        <f t="shared" si="9"/>
        <v>7.1556611130217815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4.5856818181818184</v>
      </c>
      <c r="BY20" s="12">
        <f>IF('Données projet'!$A$114&gt;35,BY19+BX20-CG19,IF(A20&lt;'Données projet'!$A$114,$BV$205^A20,IF(A20='Données projet'!$A$114,'Données projet'!$B$114,BY19+BX20-CG19)))</f>
        <v>77.95659090909092</v>
      </c>
      <c r="BZ20" s="13">
        <f>BY20*VLOOKUP('Données projet'!$B$12,Paramètres!$A$1:$I$89,3,0)*VLOOKUP('Données projet'!$B$12,Paramètres!$A$1:$I$89,5,0)</f>
        <v>74.183491909090918</v>
      </c>
      <c r="CA20" s="13">
        <f t="shared" si="39"/>
        <v>20.708830365246783</v>
      </c>
      <c r="CB20" s="20">
        <f t="shared" si="10"/>
        <v>165.27079462780483</v>
      </c>
      <c r="CC20" s="59">
        <f t="shared" si="11"/>
        <v>442.71523907224929</v>
      </c>
      <c r="CD20" s="59">
        <f ca="1">AVERAGE(OFFSET($CC$3,0,0,'Données projet'!$E$12+1,1))-AVERAGE(OFFSET($H$3,0,0,'Données projet'!$E$12+1,1))</f>
        <v>513.14430745499283</v>
      </c>
      <c r="CE20" s="59">
        <f t="shared" si="40"/>
        <v>324.2490378019823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6.1538461538461533</v>
      </c>
      <c r="CT20" s="12">
        <f>IF('Données projet'!$A$140&gt;35,CT19+CS20-DB19,IF(A20&lt;'Données projet'!$A$140,$CQ$205^A20,IF(A20='Données projet'!$A$140,'Données projet'!$B$140,CT19+CS20-DB19)))</f>
        <v>36.025641025641022</v>
      </c>
      <c r="CU20" s="17">
        <f>CT20*VLOOKUP('Données projet'!$B$13,Paramètres!$A$1:$I$89,3,0)*VLOOKUP('Données projet'!$B$13,Paramètres!$A$1:$I$89,5,0)</f>
        <v>28.099999999999998</v>
      </c>
      <c r="CV20" s="13">
        <f t="shared" si="41"/>
        <v>8.7827186210663637</v>
      </c>
      <c r="CW20" s="20">
        <f t="shared" si="13"/>
        <v>64.237401598357238</v>
      </c>
      <c r="CX20" s="59">
        <f t="shared" si="14"/>
        <v>341.68184604280168</v>
      </c>
      <c r="CY20" s="59">
        <f ca="1">AVERAGE(OFFSET($CX$3,0,0,'Données projet'!$E$13+1,1))-AVERAGE(OFFSET($H$3,0,0,'Données projet'!$E$13+1,1))</f>
        <v>197.51452239559433</v>
      </c>
      <c r="CZ20" s="59">
        <f t="shared" si="42"/>
        <v>196.65166921588821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0.167977485499234</v>
      </c>
      <c r="DH20" s="21">
        <f>EXP(-LN(2)/2)*DH19+(1-EXP(-LN(2)/2))/(LN(2)/2)*DB20*DE20*VLOOKUP('Données projet'!$B$13,Paramètres!$A$1:$I$89,3,0)*0.475*44/12</f>
        <v>0.17691129648851028</v>
      </c>
      <c r="DI20" s="22">
        <f t="shared" si="15"/>
        <v>0.34488878198774431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5.128205128205126</v>
      </c>
      <c r="DO20" s="12">
        <f>IF('Données projet'!$A$166&gt;35,DO19+DN20-DW19,IF(A20&lt;'Données projet'!$A$166,$DL$205^A20,IF(A20='Données projet'!$A$166,'Données projet'!$B$166,DO19+DN20-DW19)))</f>
        <v>40.38461538461538</v>
      </c>
      <c r="DP20" s="17">
        <f>DO20*VLOOKUP('Données projet'!$B$14,Paramètres!$A$1:$I$89,3,0)*VLOOKUP('Données projet'!$B$14,Paramètres!$A$1:$I$89,5,0)</f>
        <v>42.21</v>
      </c>
      <c r="DQ20" s="13">
        <f t="shared" si="43"/>
        <v>12.582561739030865</v>
      </c>
      <c r="DR20" s="20">
        <f t="shared" si="16"/>
        <v>95.430378362145419</v>
      </c>
      <c r="DS20" s="59">
        <f t="shared" si="17"/>
        <v>372.87482280658986</v>
      </c>
      <c r="DT20" s="59">
        <f ca="1">AVERAGE(OFFSET($DS$3,0,0,'Données projet'!$E$14+1,1))-AVERAGE(OFFSET($H$3,0,0,'Données projet'!$E$14+1,1))</f>
        <v>239.26156489359892</v>
      </c>
      <c r="DU20" s="59">
        <f t="shared" si="44"/>
        <v>213.97034450798111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3.3603333333333336</v>
      </c>
      <c r="EJ20" s="12">
        <f>IF('Données projet'!$A$192&gt;35,EJ19+EI20-ER19,IF(A20&lt;'Données projet'!$A$192,$EG$205^A20,IF(A20='Données projet'!$A$192,'Données projet'!$B$192,EJ19+EI20-ER19)))</f>
        <v>57.125666666666696</v>
      </c>
      <c r="EK20" s="17">
        <f>EJ20*VLOOKUP('Données projet'!$B$15,Paramètres!$A$1:$I$89,3,0)*VLOOKUP('Données projet'!$B$15,Paramètres!$A$1:$I$89,5,0)</f>
        <v>57.034265600000033</v>
      </c>
      <c r="EL20" s="13">
        <f t="shared" si="45"/>
        <v>16.41624047302394</v>
      </c>
      <c r="EM20" s="20">
        <f t="shared" si="19"/>
        <v>127.92629807718343</v>
      </c>
      <c r="EN20" s="59">
        <f t="shared" si="20"/>
        <v>405.3707425216279</v>
      </c>
      <c r="EO20" s="59">
        <f ca="1">AVERAGE(OFFSET($EN$3,0,0,'Données projet'!$E$15+1,1))-AVERAGE(OFFSET($H$3,0,0,'Données projet'!$E$15+1,1))</f>
        <v>525.74725170626471</v>
      </c>
      <c r="EP20" s="59">
        <f t="shared" si="46"/>
        <v>259.19103598192197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3.3603333333333336</v>
      </c>
      <c r="N21" s="13">
        <f>IF('Données projet'!$A$36&gt;35,N20+M21-V20,IF(A21&lt;'Données projet'!$A$36,$K$205^A21,IF(A21='Données projet'!$A$36,'Données projet'!$B$36,N20+M21-V20)))</f>
        <v>60.486000000000033</v>
      </c>
      <c r="O21" s="13">
        <f>N21*VLOOKUP('Données projet'!$B$9,Paramètres!$A$1:$I$89,3,0)*VLOOKUP('Données projet'!$B$9,Paramètres!$A$1:$I$89,5,0)</f>
        <v>61.332804000000031</v>
      </c>
      <c r="P21" s="13">
        <f t="shared" si="33"/>
        <v>17.504811592326099</v>
      </c>
      <c r="Q21" s="20">
        <f t="shared" si="2"/>
        <v>137.30884715663467</v>
      </c>
      <c r="R21" s="59">
        <f t="shared" si="0"/>
        <v>415.97551382330136</v>
      </c>
      <c r="S21" s="59">
        <f ca="1">AVERAGE(OFFSET($R$3,0,0,'Données projet'!$E$9+1,1))-AVERAGE(OFFSET($H$3,0,0,'Données projet'!$E$9+1,1))</f>
        <v>533.26035274112917</v>
      </c>
      <c r="T21" s="59">
        <f t="shared" si="34"/>
        <v>262.58149402282521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4.5856818181818184</v>
      </c>
      <c r="AI21" s="13">
        <f>IF('Données projet'!$A$62&gt;35,AI20+AH21-AQ20,IF(A21&lt;'Données projet'!$A$62,$AF$205^A21,IF(A21='Données projet'!$A$62,'Données projet'!$B$62,AI20+AH21-AQ20)))</f>
        <v>82.542272727272746</v>
      </c>
      <c r="AJ21" s="13">
        <f>AI21*VLOOKUP('Données projet'!$B$10,Paramètres!$A$1:$I$89,3,0)*VLOOKUP('Données projet'!$B$10,Paramètres!$A$1:$I$89,5,0)</f>
        <v>74.684248363636371</v>
      </c>
      <c r="AK21" s="13">
        <f t="shared" si="35"/>
        <v>20.832300049203276</v>
      </c>
      <c r="AL21" s="20">
        <f t="shared" si="4"/>
        <v>166.35798848569573</v>
      </c>
      <c r="AM21" s="59">
        <f t="shared" si="5"/>
        <v>445.02465515236241</v>
      </c>
      <c r="AN21" s="59">
        <f ca="1">AVERAGE(OFFSET($AM$3,0,0,'Données projet'!$E$10+1,1))-AVERAGE(OFFSET($H$3,0,0,'Données projet'!$E$10+1,1))</f>
        <v>482.62991869403385</v>
      </c>
      <c r="AO21" s="59">
        <f t="shared" si="36"/>
        <v>310.43914804089906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13.8</v>
      </c>
      <c r="BD21" s="12">
        <f>IF('Données projet'!$A$88&gt;35,BD20+BC21-BL20,IF(A21&lt;'Données projet'!$A$88,$BA$205^A21,IF(A21='Données projet'!$A$88,'Données projet'!$B$88,BD20+BC21-BL20)))</f>
        <v>74.399999999999991</v>
      </c>
      <c r="BE21" s="13">
        <f>BD21*VLOOKUP('Données projet'!$B$11,Paramètres!$A$1:$I$89,3,0)*VLOOKUP('Données projet'!$B$11,Paramètres!$A$1:$I$89,5,0)</f>
        <v>64.995840000000001</v>
      </c>
      <c r="BF21" s="13">
        <f t="shared" si="37"/>
        <v>18.425434860828894</v>
      </c>
      <c r="BG21" s="20">
        <f t="shared" si="7"/>
        <v>145.29205371594367</v>
      </c>
      <c r="BH21" s="59">
        <f t="shared" si="8"/>
        <v>423.95872038261035</v>
      </c>
      <c r="BI21" s="59">
        <f ca="1">AVERAGE(OFFSET($BH$3,0,0,'Données projet'!$E$11+1,1))-AVERAGE(OFFSET($H$3,0,0,'Données projet'!$E$11+1,1))</f>
        <v>384.34044781465661</v>
      </c>
      <c r="BJ21" s="59">
        <f t="shared" si="38"/>
        <v>374.99493809709708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3.7530870245902492</v>
      </c>
      <c r="BR21" s="21">
        <f>EXP(-LN(2)/2)*BR20+(1-EXP(-LN(2)/2))/(LN(2)/2)*BL21*BO21*VLOOKUP('Données projet'!$B$11,Paramètres!$A$1:$I$89,3,0)*0.475*44/12</f>
        <v>2.3313738024577408</v>
      </c>
      <c r="BS21" s="22">
        <f t="shared" si="9"/>
        <v>6.0844608270479901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4.5856818181818184</v>
      </c>
      <c r="BY21" s="12">
        <f>IF('Données projet'!$A$114&gt;35,BY20+BX21-CG20,IF(A21&lt;'Données projet'!$A$114,$BV$205^A21,IF(A21='Données projet'!$A$114,'Données projet'!$B$114,BY20+BX21-CG20)))</f>
        <v>82.542272727272746</v>
      </c>
      <c r="BZ21" s="13">
        <f>BY21*VLOOKUP('Données projet'!$B$12,Paramètres!$A$1:$I$89,3,0)*VLOOKUP('Données projet'!$B$12,Paramètres!$A$1:$I$89,5,0)</f>
        <v>78.547226727272744</v>
      </c>
      <c r="CA21" s="13">
        <f t="shared" si="39"/>
        <v>21.781595529816176</v>
      </c>
      <c r="CB21" s="20">
        <f t="shared" si="10"/>
        <v>174.73936543109653</v>
      </c>
      <c r="CC21" s="59">
        <f t="shared" si="11"/>
        <v>453.40603209776322</v>
      </c>
      <c r="CD21" s="59">
        <f ca="1">AVERAGE(OFFSET($CC$3,0,0,'Données projet'!$E$12+1,1))-AVERAGE(OFFSET($H$3,0,0,'Données projet'!$E$12+1,1))</f>
        <v>513.14430745499283</v>
      </c>
      <c r="CE21" s="59">
        <f t="shared" si="40"/>
        <v>324.2490378019823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6.1538461538461533</v>
      </c>
      <c r="CT21" s="12">
        <f>IF('Données projet'!$A$140&gt;35,CT20+CS21-DB20,IF(A21&lt;'Données projet'!$A$140,$CQ$205^A21,IF(A21='Données projet'!$A$140,'Données projet'!$B$140,CT20+CS21-DB20)))</f>
        <v>42.179487179487175</v>
      </c>
      <c r="CU21" s="17">
        <f>CT21*VLOOKUP('Données projet'!$B$13,Paramètres!$A$1:$I$89,3,0)*VLOOKUP('Données projet'!$B$13,Paramètres!$A$1:$I$89,5,0)</f>
        <v>32.9</v>
      </c>
      <c r="CV21" s="13">
        <f t="shared" si="41"/>
        <v>10.09593068723915</v>
      </c>
      <c r="CW21" s="20">
        <f t="shared" si="13"/>
        <v>74.884579280274849</v>
      </c>
      <c r="CX21" s="59">
        <f t="shared" si="14"/>
        <v>353.55124594694155</v>
      </c>
      <c r="CY21" s="59">
        <f ca="1">AVERAGE(OFFSET($CX$3,0,0,'Données projet'!$E$13+1,1))-AVERAGE(OFFSET($H$3,0,0,'Données projet'!$E$13+1,1))</f>
        <v>197.51452239559433</v>
      </c>
      <c r="CZ21" s="59">
        <f t="shared" si="42"/>
        <v>196.65166921588821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0.16338413232470539</v>
      </c>
      <c r="DH21" s="21">
        <f>EXP(-LN(2)/2)*DH20+(1-EXP(-LN(2)/2))/(LN(2)/2)*DB21*DE21*VLOOKUP('Données projet'!$B$13,Paramètres!$A$1:$I$89,3,0)*0.475*44/12</f>
        <v>0.12509517741552947</v>
      </c>
      <c r="DI21" s="22">
        <f t="shared" si="15"/>
        <v>0.28847930974023483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5.128205128205126</v>
      </c>
      <c r="DO21" s="12">
        <f>IF('Données projet'!$A$166&gt;35,DO20+DN21-DW20,IF(A21&lt;'Données projet'!$A$166,$DL$205^A21,IF(A21='Données projet'!$A$166,'Données projet'!$B$166,DO20+DN21-DW20)))</f>
        <v>45.512820512820504</v>
      </c>
      <c r="DP21" s="17">
        <f>DO21*VLOOKUP('Données projet'!$B$14,Paramètres!$A$1:$I$89,3,0)*VLOOKUP('Données projet'!$B$14,Paramètres!$A$1:$I$89,5,0)</f>
        <v>47.57</v>
      </c>
      <c r="DQ21" s="13">
        <f t="shared" si="43"/>
        <v>13.984393551590529</v>
      </c>
      <c r="DR21" s="20">
        <f t="shared" si="16"/>
        <v>107.20723543568683</v>
      </c>
      <c r="DS21" s="59">
        <f t="shared" si="17"/>
        <v>385.8739021023535</v>
      </c>
      <c r="DT21" s="59">
        <f ca="1">AVERAGE(OFFSET($DS$3,0,0,'Données projet'!$E$14+1,1))-AVERAGE(OFFSET($H$3,0,0,'Données projet'!$E$14+1,1))</f>
        <v>239.26156489359892</v>
      </c>
      <c r="DU21" s="59">
        <f t="shared" si="44"/>
        <v>213.97034450798111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3.3603333333333336</v>
      </c>
      <c r="EJ21" s="12">
        <f>IF('Données projet'!$A$192&gt;35,EJ20+EI21-ER20,IF(A21&lt;'Données projet'!$A$192,$EG$205^A21,IF(A21='Données projet'!$A$192,'Données projet'!$B$192,EJ20+EI21-ER20)))</f>
        <v>60.486000000000033</v>
      </c>
      <c r="EK21" s="17">
        <f>EJ21*VLOOKUP('Données projet'!$B$15,Paramètres!$A$1:$I$89,3,0)*VLOOKUP('Données projet'!$B$15,Paramètres!$A$1:$I$89,5,0)</f>
        <v>60.38922240000003</v>
      </c>
      <c r="EL21" s="13">
        <f t="shared" si="45"/>
        <v>17.266639583067761</v>
      </c>
      <c r="EM21" s="20">
        <f t="shared" si="19"/>
        <v>135.2506262871764</v>
      </c>
      <c r="EN21" s="59">
        <f t="shared" si="20"/>
        <v>413.91729295384312</v>
      </c>
      <c r="EO21" s="59">
        <f ca="1">AVERAGE(OFFSET($EN$3,0,0,'Données projet'!$E$15+1,1))-AVERAGE(OFFSET($H$3,0,0,'Données projet'!$E$15+1,1))</f>
        <v>525.74725170626471</v>
      </c>
      <c r="EP21" s="59">
        <f t="shared" si="46"/>
        <v>259.19103598192197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3.3603333333333336</v>
      </c>
      <c r="N22" s="13">
        <f>IF('Données projet'!$A$36&gt;35,N21+M22-V21,IF(A22&lt;'Données projet'!$A$36,$K$205^A22,IF(A22='Données projet'!$A$36,'Données projet'!$B$36,N21+M22-V21)))</f>
        <v>63.846333333333369</v>
      </c>
      <c r="O22" s="13">
        <f>N22*VLOOKUP('Données projet'!$B$9,Paramètres!$A$1:$I$89,3,0)*VLOOKUP('Données projet'!$B$9,Paramètres!$A$1:$I$89,5,0)</f>
        <v>64.740182000000047</v>
      </c>
      <c r="P22" s="13">
        <f t="shared" si="33"/>
        <v>18.361380775200633</v>
      </c>
      <c r="Q22" s="20">
        <f t="shared" si="2"/>
        <v>144.73522183347453</v>
      </c>
      <c r="R22" s="59">
        <f t="shared" si="0"/>
        <v>424.62411072236341</v>
      </c>
      <c r="S22" s="59">
        <f ca="1">AVERAGE(OFFSET($R$3,0,0,'Données projet'!$E$9+1,1))-AVERAGE(OFFSET($H$3,0,0,'Données projet'!$E$9+1,1))</f>
        <v>533.26035274112917</v>
      </c>
      <c r="T22" s="59">
        <f t="shared" si="34"/>
        <v>262.58149402282521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4.5856818181818184</v>
      </c>
      <c r="AI22" s="13">
        <f>IF('Données projet'!$A$62&gt;35,AI21+AH22-AQ21,IF(A22&lt;'Données projet'!$A$62,$AF$205^A22,IF(A22='Données projet'!$A$62,'Données projet'!$B$62,AI21+AH22-AQ21)))</f>
        <v>87.127954545454571</v>
      </c>
      <c r="AJ22" s="13">
        <f>AI22*VLOOKUP('Données projet'!$B$10,Paramètres!$A$1:$I$89,3,0)*VLOOKUP('Données projet'!$B$10,Paramètres!$A$1:$I$89,5,0)</f>
        <v>78.833373272727286</v>
      </c>
      <c r="AK22" s="13">
        <f t="shared" si="35"/>
        <v>21.851694410372286</v>
      </c>
      <c r="AL22" s="20">
        <f t="shared" si="4"/>
        <v>175.35982621473178</v>
      </c>
      <c r="AM22" s="59">
        <f t="shared" si="5"/>
        <v>455.24871510362061</v>
      </c>
      <c r="AN22" s="59">
        <f ca="1">AVERAGE(OFFSET($AM$3,0,0,'Données projet'!$E$10+1,1))-AVERAGE(OFFSET($H$3,0,0,'Données projet'!$E$10+1,1))</f>
        <v>482.62991869403385</v>
      </c>
      <c r="AO22" s="59">
        <f t="shared" si="36"/>
        <v>310.43914804089906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13.8</v>
      </c>
      <c r="BD22" s="12">
        <f>IF('Données projet'!$A$88&gt;35,BD21+BC22-BL21,IF(A22&lt;'Données projet'!$A$88,$BA$205^A22,IF(A22='Données projet'!$A$88,'Données projet'!$B$88,BD21+BC22-BL21)))</f>
        <v>88.199999999999989</v>
      </c>
      <c r="BE22" s="13">
        <f>BD22*VLOOKUP('Données projet'!$B$11,Paramètres!$A$1:$I$89,3,0)*VLOOKUP('Données projet'!$B$11,Paramètres!$A$1:$I$89,5,0)</f>
        <v>77.051519999999996</v>
      </c>
      <c r="BF22" s="13">
        <f t="shared" si="37"/>
        <v>21.414697423431697</v>
      </c>
      <c r="BG22" s="20">
        <f t="shared" si="7"/>
        <v>171.49532867914351</v>
      </c>
      <c r="BH22" s="59">
        <f t="shared" si="8"/>
        <v>451.38421756803234</v>
      </c>
      <c r="BI22" s="59">
        <f ca="1">AVERAGE(OFFSET($BH$3,0,0,'Données projet'!$E$11+1,1))-AVERAGE(OFFSET($H$3,0,0,'Données projet'!$E$11+1,1))</f>
        <v>384.34044781465661</v>
      </c>
      <c r="BJ22" s="59">
        <f t="shared" si="38"/>
        <v>374.99493809709708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3.6504586625365603</v>
      </c>
      <c r="BR22" s="21">
        <f>EXP(-LN(2)/2)*BR21+(1-EXP(-LN(2)/2))/(LN(2)/2)*BL22*BO22*VLOOKUP('Données projet'!$B$11,Paramètres!$A$1:$I$89,3,0)*0.475*44/12</f>
        <v>1.6485302251985352</v>
      </c>
      <c r="BS22" s="22">
        <f t="shared" si="9"/>
        <v>5.2989888877350957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4.5856818181818184</v>
      </c>
      <c r="BY22" s="12">
        <f>IF('Données projet'!$A$114&gt;35,BY21+BX22-CG21,IF(A22&lt;'Données projet'!$A$114,$BV$205^A22,IF(A22='Données projet'!$A$114,'Données projet'!$B$114,BY21+BX22-CG21)))</f>
        <v>87.127954545454571</v>
      </c>
      <c r="BZ22" s="13">
        <f>BY22*VLOOKUP('Données projet'!$B$12,Paramètres!$A$1:$I$89,3,0)*VLOOKUP('Données projet'!$B$12,Paramètres!$A$1:$I$89,5,0)</f>
        <v>82.910961545454569</v>
      </c>
      <c r="CA22" s="13">
        <f t="shared" si="39"/>
        <v>22.847442104986253</v>
      </c>
      <c r="CB22" s="20">
        <f t="shared" si="10"/>
        <v>184.19588635785109</v>
      </c>
      <c r="CC22" s="59">
        <f t="shared" si="11"/>
        <v>464.08477524673992</v>
      </c>
      <c r="CD22" s="59">
        <f ca="1">AVERAGE(OFFSET($CC$3,0,0,'Données projet'!$E$12+1,1))-AVERAGE(OFFSET($H$3,0,0,'Données projet'!$E$12+1,1))</f>
        <v>513.14430745499283</v>
      </c>
      <c r="CE22" s="59">
        <f t="shared" si="40"/>
        <v>324.2490378019823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6.1538461538461533</v>
      </c>
      <c r="CT22" s="12">
        <f>IF('Données projet'!$A$140&gt;35,CT21+CS22-DB21,IF(A22&lt;'Données projet'!$A$140,$CQ$205^A22,IF(A22='Données projet'!$A$140,'Données projet'!$B$140,CT21+CS22-DB21)))</f>
        <v>48.333333333333329</v>
      </c>
      <c r="CU22" s="17">
        <f>CT22*VLOOKUP('Données projet'!$B$13,Paramètres!$A$1:$I$89,3,0)*VLOOKUP('Données projet'!$B$13,Paramètres!$A$1:$I$89,5,0)</f>
        <v>37.699999999999996</v>
      </c>
      <c r="CV22" s="13">
        <f t="shared" si="41"/>
        <v>11.386946545346296</v>
      </c>
      <c r="CW22" s="20">
        <f t="shared" si="13"/>
        <v>85.493098566478125</v>
      </c>
      <c r="CX22" s="59">
        <f t="shared" si="14"/>
        <v>365.38198745536698</v>
      </c>
      <c r="CY22" s="59">
        <f ca="1">AVERAGE(OFFSET($CX$3,0,0,'Données projet'!$E$13+1,1))-AVERAGE(OFFSET($H$3,0,0,'Données projet'!$E$13+1,1))</f>
        <v>197.51452239559433</v>
      </c>
      <c r="CZ22" s="59">
        <f t="shared" si="42"/>
        <v>196.65166921588821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0.15891638463428823</v>
      </c>
      <c r="DH22" s="21">
        <f>EXP(-LN(2)/2)*DH21+(1-EXP(-LN(2)/2))/(LN(2)/2)*DB22*DE22*VLOOKUP('Données projet'!$B$13,Paramètres!$A$1:$I$89,3,0)*0.475*44/12</f>
        <v>8.8455648244255142E-2</v>
      </c>
      <c r="DI22" s="22">
        <f t="shared" si="15"/>
        <v>0.24737203287854337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5.128205128205126</v>
      </c>
      <c r="DO22" s="12">
        <f>IF('Données projet'!$A$166&gt;35,DO21+DN22-DW21,IF(A22&lt;'Données projet'!$A$166,$DL$205^A22,IF(A22='Données projet'!$A$166,'Données projet'!$B$166,DO21+DN22-DW21)))</f>
        <v>50.641025641025628</v>
      </c>
      <c r="DP22" s="17">
        <f>DO22*VLOOKUP('Données projet'!$B$14,Paramètres!$A$1:$I$89,3,0)*VLOOKUP('Données projet'!$B$14,Paramètres!$A$1:$I$89,5,0)</f>
        <v>52.929999999999993</v>
      </c>
      <c r="DQ22" s="13">
        <f t="shared" si="43"/>
        <v>15.3679188437793</v>
      </c>
      <c r="DR22" s="20">
        <f t="shared" si="16"/>
        <v>118.9522086529156</v>
      </c>
      <c r="DS22" s="59">
        <f t="shared" si="17"/>
        <v>398.84109754180446</v>
      </c>
      <c r="DT22" s="59">
        <f ca="1">AVERAGE(OFFSET($DS$3,0,0,'Données projet'!$E$14+1,1))-AVERAGE(OFFSET($H$3,0,0,'Données projet'!$E$14+1,1))</f>
        <v>239.26156489359892</v>
      </c>
      <c r="DU22" s="59">
        <f t="shared" si="44"/>
        <v>213.97034450798111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3.3603333333333336</v>
      </c>
      <c r="EJ22" s="12">
        <f>IF('Données projet'!$A$192&gt;35,EJ21+EI22-ER21,IF(A22&lt;'Données projet'!$A$192,$EG$205^A22,IF(A22='Données projet'!$A$192,'Données projet'!$B$192,EJ21+EI22-ER21)))</f>
        <v>63.846333333333369</v>
      </c>
      <c r="EK22" s="17">
        <f>EJ22*VLOOKUP('Données projet'!$B$15,Paramètres!$A$1:$I$89,3,0)*VLOOKUP('Données projet'!$B$15,Paramètres!$A$1:$I$89,5,0)</f>
        <v>63.74417920000004</v>
      </c>
      <c r="EL22" s="13">
        <f t="shared" si="45"/>
        <v>18.111554210148999</v>
      </c>
      <c r="EM22" s="20">
        <f t="shared" si="19"/>
        <v>142.56540235600957</v>
      </c>
      <c r="EN22" s="59">
        <f t="shared" si="20"/>
        <v>422.4542912448984</v>
      </c>
      <c r="EO22" s="59">
        <f ca="1">AVERAGE(OFFSET($EN$3,0,0,'Données projet'!$E$15+1,1))-AVERAGE(OFFSET($H$3,0,0,'Données projet'!$E$15+1,1))</f>
        <v>525.74725170626471</v>
      </c>
      <c r="EP22" s="59">
        <f t="shared" si="46"/>
        <v>259.19103598192197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3.3603333333333336</v>
      </c>
      <c r="N23" s="13">
        <f>IF('Données projet'!$A$36&gt;35,N22+M23-V22,IF(A23&lt;'Données projet'!$A$36,$K$205^A23,IF(A23='Données projet'!$A$36,'Données projet'!$B$36,N22+M23-V22)))</f>
        <v>67.206666666666706</v>
      </c>
      <c r="O23" s="13">
        <f>N23*VLOOKUP('Données projet'!$B$9,Paramètres!$A$1:$I$89,3,0)*VLOOKUP('Données projet'!$B$9,Paramètres!$A$1:$I$89,5,0)</f>
        <v>68.147560000000055</v>
      </c>
      <c r="P23" s="13">
        <f t="shared" si="33"/>
        <v>19.212715835236935</v>
      </c>
      <c r="Q23" s="20">
        <f t="shared" si="2"/>
        <v>152.15248041303775</v>
      </c>
      <c r="R23" s="59">
        <f t="shared" si="0"/>
        <v>433.26359152414886</v>
      </c>
      <c r="S23" s="59">
        <f ca="1">AVERAGE(OFFSET($R$3,0,0,'Données projet'!$E$9+1,1))-AVERAGE(OFFSET($H$3,0,0,'Données projet'!$E$9+1,1))</f>
        <v>533.26035274112917</v>
      </c>
      <c r="T23" s="59">
        <f t="shared" si="34"/>
        <v>262.58149402282521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4.5856818181818184</v>
      </c>
      <c r="AI23" s="13">
        <f>IF('Données projet'!$A$62&gt;35,AI22+AH23-AQ22,IF(A23&lt;'Données projet'!$A$62,$AF$205^A23,IF(A23='Données projet'!$A$62,'Données projet'!$B$62,AI22+AH23-AQ22)))</f>
        <v>91.713636363636397</v>
      </c>
      <c r="AJ23" s="13">
        <f>AI23*VLOOKUP('Données projet'!$B$10,Paramètres!$A$1:$I$89,3,0)*VLOOKUP('Données projet'!$B$10,Paramètres!$A$1:$I$89,5,0)</f>
        <v>82.982498181818215</v>
      </c>
      <c r="AK23" s="13">
        <f t="shared" si="35"/>
        <v>22.86485969464519</v>
      </c>
      <c r="AL23" s="20">
        <f t="shared" si="4"/>
        <v>184.35081496817375</v>
      </c>
      <c r="AM23" s="59">
        <f t="shared" si="5"/>
        <v>465.46192607928492</v>
      </c>
      <c r="AN23" s="59">
        <f ca="1">AVERAGE(OFFSET($AM$3,0,0,'Données projet'!$E$10+1,1))-AVERAGE(OFFSET($H$3,0,0,'Données projet'!$E$10+1,1))</f>
        <v>482.62991869403385</v>
      </c>
      <c r="AO23" s="59">
        <f t="shared" si="36"/>
        <v>310.43914804089906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102</v>
      </c>
      <c r="BB23" s="12">
        <f>VLOOKUP(A23,'Données projet'!$A$87:$I$107,9,0)</f>
        <v>13.8</v>
      </c>
      <c r="BC23" s="12">
        <f t="array" ref="BC23">INDEX(BB:BB,MIN(IF(ISNUMBER(BB23:BB219),ROW(BB23:BB219),"")))</f>
        <v>13.8</v>
      </c>
      <c r="BD23" s="12">
        <f>IF('Données projet'!$A$88&gt;35,BD22+BC23-BL22,IF(A23&lt;'Données projet'!$A$88,$BA$205^A23,IF(A23='Données projet'!$A$88,'Données projet'!$B$88,BD22+BC23-BL22)))</f>
        <v>101.99999999999999</v>
      </c>
      <c r="BE23" s="13">
        <f>BD23*VLOOKUP('Données projet'!$B$11,Paramètres!$A$1:$I$89,3,0)*VLOOKUP('Données projet'!$B$11,Paramètres!$A$1:$I$89,5,0)</f>
        <v>89.107200000000006</v>
      </c>
      <c r="BF23" s="13">
        <f t="shared" si="37"/>
        <v>24.349778356363352</v>
      </c>
      <c r="BG23" s="20">
        <f t="shared" si="7"/>
        <v>197.6042373039995</v>
      </c>
      <c r="BH23" s="59">
        <f t="shared" si="8"/>
        <v>478.71534841511061</v>
      </c>
      <c r="BI23" s="59">
        <f ca="1">AVERAGE(OFFSET($BH$3,0,0,'Données projet'!$E$11+1,1))-AVERAGE(OFFSET($H$3,0,0,'Données projet'!$E$11+1,1))</f>
        <v>384.34044781465661</v>
      </c>
      <c r="BJ23" s="59">
        <f t="shared" si="38"/>
        <v>374.99493809709708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35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0.13250000000000001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8.0116169256300509</v>
      </c>
      <c r="BR23" s="21">
        <f>EXP(-LN(2)/2)*BR22+(1-EXP(-LN(2)/2))/(LN(2)/2)*BL23*BO23*VLOOKUP('Données projet'!$B$11,Paramètres!$A$1:$I$89,3,0)*0.475*44/12</f>
        <v>8.3780066364724597</v>
      </c>
      <c r="BS23" s="22">
        <f t="shared" si="9"/>
        <v>16.389623562102511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4.5856818181818184</v>
      </c>
      <c r="BY23" s="12">
        <f>IF('Données projet'!$A$114&gt;35,BY22+BX23-CG22,IF(A23&lt;'Données projet'!$A$114,$BV$205^A23,IF(A23='Données projet'!$A$114,'Données projet'!$B$114,BY22+BX23-CG22)))</f>
        <v>91.713636363636397</v>
      </c>
      <c r="BZ23" s="13">
        <f>BY23*VLOOKUP('Données projet'!$B$12,Paramètres!$A$1:$I$89,3,0)*VLOOKUP('Données projet'!$B$12,Paramètres!$A$1:$I$89,5,0)</f>
        <v>87.274696363636394</v>
      </c>
      <c r="CA23" s="13">
        <f t="shared" si="39"/>
        <v>23.906775753923789</v>
      </c>
      <c r="CB23" s="20">
        <f t="shared" si="10"/>
        <v>193.64106393808399</v>
      </c>
      <c r="CC23" s="59">
        <f t="shared" si="11"/>
        <v>474.7521750491951</v>
      </c>
      <c r="CD23" s="59">
        <f ca="1">AVERAGE(OFFSET($CC$3,0,0,'Données projet'!$E$12+1,1))-AVERAGE(OFFSET($H$3,0,0,'Données projet'!$E$12+1,1))</f>
        <v>513.14430745499283</v>
      </c>
      <c r="CE23" s="59">
        <f t="shared" si="40"/>
        <v>324.2490378019823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54.487179487179482</v>
      </c>
      <c r="CR23" s="12">
        <f>VLOOKUP(A23,'Données projet'!$A$139:$I$159,9,0)</f>
        <v>6.1538461538461533</v>
      </c>
      <c r="CS23" s="12">
        <f t="array" ref="CS23">INDEX(CR:CR,MIN(IF(ISNUMBER(CR23:CR219),ROW(CR23:CR219),"")))</f>
        <v>6.1538461538461533</v>
      </c>
      <c r="CT23" s="12">
        <f>IF('Données projet'!$A$140&gt;35,CT22+CS23-DB22,IF(A23&lt;'Données projet'!$A$140,$CQ$205^A23,IF(A23='Données projet'!$A$140,'Données projet'!$B$140,CT22+CS23-DB22)))</f>
        <v>54.487179487179482</v>
      </c>
      <c r="CU23" s="17">
        <f>CT23*VLOOKUP('Données projet'!$B$13,Paramètres!$A$1:$I$89,3,0)*VLOOKUP('Données projet'!$B$13,Paramètres!$A$1:$I$89,5,0)</f>
        <v>42.5</v>
      </c>
      <c r="CV23" s="13">
        <f t="shared" si="41"/>
        <v>12.658916157662103</v>
      </c>
      <c r="CW23" s="20">
        <f t="shared" si="13"/>
        <v>96.068445641261476</v>
      </c>
      <c r="CX23" s="59">
        <f t="shared" si="14"/>
        <v>377.1795567523726</v>
      </c>
      <c r="CY23" s="59">
        <f ca="1">AVERAGE(OFFSET($CX$3,0,0,'Données projet'!$E$13+1,1))-AVERAGE(OFFSET($H$3,0,0,'Données projet'!$E$13+1,1))</f>
        <v>197.51452239559433</v>
      </c>
      <c r="CZ23" s="59">
        <f t="shared" si="42"/>
        <v>196.65166921588821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16.025641025641026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0.1075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1.6341977459129808</v>
      </c>
      <c r="DH23" s="21">
        <f>EXP(-LN(2)/2)*DH22+(1-EXP(-LN(2)/2))/(LN(2)/2)*DB23*DE23*VLOOKUP('Données projet'!$B$13,Paramètres!$A$1:$I$89,3,0)*0.475*44/12</f>
        <v>3.0110691968496028</v>
      </c>
      <c r="DI23" s="22">
        <f t="shared" si="15"/>
        <v>4.6452669427625839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55.769230769230759</v>
      </c>
      <c r="DM23" s="12">
        <f>VLOOKUP(A23,'Données projet'!$A$165:$I$185,9,0)</f>
        <v>5.128205128205126</v>
      </c>
      <c r="DN23" s="12">
        <f t="array" ref="DN23">INDEX(DM:DM,MIN(IF(ISNUMBER(DM23:DM219),ROW(DM23:DM219),"")))</f>
        <v>5.128205128205126</v>
      </c>
      <c r="DO23" s="12">
        <f>IF('Données projet'!$A$166&gt;35,DO22+DN23-DW22,IF(A23&lt;'Données projet'!$A$166,$DL$205^A23,IF(A23='Données projet'!$A$166,'Données projet'!$B$166,DO22+DN23-DW22)))</f>
        <v>55.769230769230752</v>
      </c>
      <c r="DP23" s="17">
        <f>DO23*VLOOKUP('Données projet'!$B$14,Paramètres!$A$1:$I$89,3,0)*VLOOKUP('Données projet'!$B$14,Paramètres!$A$1:$I$89,5,0)</f>
        <v>58.289999999999985</v>
      </c>
      <c r="DQ23" s="13">
        <f t="shared" si="43"/>
        <v>16.735202513714196</v>
      </c>
      <c r="DR23" s="20">
        <f t="shared" si="16"/>
        <v>130.66889437805216</v>
      </c>
      <c r="DS23" s="59">
        <f t="shared" si="17"/>
        <v>411.78000548916327</v>
      </c>
      <c r="DT23" s="59">
        <f ca="1">AVERAGE(OFFSET($DS$3,0,0,'Données projet'!$E$14+1,1))-AVERAGE(OFFSET($H$3,0,0,'Données projet'!$E$14+1,1))</f>
        <v>239.26156489359892</v>
      </c>
      <c r="DU23" s="59">
        <f t="shared" si="44"/>
        <v>213.97034450798111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18.589743589743588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0.215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4.5998642253939837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4.5998642253939837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3.3603333333333336</v>
      </c>
      <c r="EJ23" s="12">
        <f>IF('Données projet'!$A$192&gt;35,EJ22+EI23-ER22,IF(A23&lt;'Données projet'!$A$192,$EG$205^A23,IF(A23='Données projet'!$A$192,'Données projet'!$B$192,EJ22+EI23-ER22)))</f>
        <v>67.206666666666706</v>
      </c>
      <c r="EK23" s="17">
        <f>EJ23*VLOOKUP('Données projet'!$B$15,Paramètres!$A$1:$I$89,3,0)*VLOOKUP('Données projet'!$B$15,Paramètres!$A$1:$I$89,5,0)</f>
        <v>67.099136000000044</v>
      </c>
      <c r="EL23" s="13">
        <f t="shared" si="45"/>
        <v>18.95130593032863</v>
      </c>
      <c r="EM23" s="20">
        <f t="shared" si="19"/>
        <v>149.87118636198909</v>
      </c>
      <c r="EN23" s="59">
        <f t="shared" si="20"/>
        <v>430.98229747310023</v>
      </c>
      <c r="EO23" s="59">
        <f ca="1">AVERAGE(OFFSET($EN$3,0,0,'Données projet'!$E$15+1,1))-AVERAGE(OFFSET($H$3,0,0,'Données projet'!$E$15+1,1))</f>
        <v>525.74725170626471</v>
      </c>
      <c r="EP23" s="59">
        <f t="shared" si="46"/>
        <v>259.19103598192197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3.3603333333333336</v>
      </c>
      <c r="N24" s="13">
        <f>IF('Données projet'!$A$36&gt;35,N23+M24-V23,IF(A24&lt;'Données projet'!$A$36,$K$205^A24,IF(A24='Données projet'!$A$36,'Données projet'!$B$36,N23+M24-V23)))</f>
        <v>70.567000000000036</v>
      </c>
      <c r="O24" s="13">
        <f>N24*VLOOKUP('Données projet'!$B$9,Paramètres!$A$1:$I$89,3,0)*VLOOKUP('Données projet'!$B$9,Paramètres!$A$1:$I$89,5,0)</f>
        <v>71.55493800000005</v>
      </c>
      <c r="P24" s="13">
        <f t="shared" si="33"/>
        <v>20.059108341436531</v>
      </c>
      <c r="Q24" s="20">
        <f t="shared" si="2"/>
        <v>159.56113071133535</v>
      </c>
      <c r="R24" s="59">
        <f t="shared" si="0"/>
        <v>441.89446404466867</v>
      </c>
      <c r="S24" s="59">
        <f ca="1">AVERAGE(OFFSET($R$3,0,0,'Données projet'!$E$9+1,1))-AVERAGE(OFFSET($H$3,0,0,'Données projet'!$E$9+1,1))</f>
        <v>533.26035274112917</v>
      </c>
      <c r="T24" s="59">
        <f t="shared" si="34"/>
        <v>262.58149402282521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4.5856818181818184</v>
      </c>
      <c r="AI24" s="13">
        <f>IF('Données projet'!$A$62&gt;35,AI23+AH24-AQ23,IF(A24&lt;'Données projet'!$A$62,$AF$205^A24,IF(A24='Données projet'!$A$62,'Données projet'!$B$62,AI23+AH24-AQ23)))</f>
        <v>96.299318181818222</v>
      </c>
      <c r="AJ24" s="13">
        <f>AI24*VLOOKUP('Données projet'!$B$10,Paramètres!$A$1:$I$89,3,0)*VLOOKUP('Données projet'!$B$10,Paramètres!$A$1:$I$89,5,0)</f>
        <v>87.13162309090913</v>
      </c>
      <c r="AK24" s="13">
        <f t="shared" si="35"/>
        <v>23.872142895355385</v>
      </c>
      <c r="AL24" s="20">
        <f t="shared" si="4"/>
        <v>193.33155909274402</v>
      </c>
      <c r="AM24" s="59">
        <f t="shared" si="5"/>
        <v>475.66489242607736</v>
      </c>
      <c r="AN24" s="59">
        <f ca="1">AVERAGE(OFFSET($AM$3,0,0,'Données projet'!$E$10+1,1))-AVERAGE(OFFSET($H$3,0,0,'Données projet'!$E$10+1,1))</f>
        <v>482.62991869403385</v>
      </c>
      <c r="AO24" s="59">
        <f t="shared" si="36"/>
        <v>310.43914804089906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14.8</v>
      </c>
      <c r="BD24" s="12">
        <f>IF('Données projet'!$A$88&gt;35,BD23+BC24-BL23,IF(A24&lt;'Données projet'!$A$88,$BA$205^A24,IF(A24='Données projet'!$A$88,'Données projet'!$B$88,BD23+BC24-BL23)))</f>
        <v>81.799999999999983</v>
      </c>
      <c r="BE24" s="13">
        <f>BD24*VLOOKUP('Données projet'!$B$11,Paramètres!$A$1:$I$89,3,0)*VLOOKUP('Données projet'!$B$11,Paramètres!$A$1:$I$89,5,0)</f>
        <v>71.46047999999999</v>
      </c>
      <c r="BF24" s="13">
        <f t="shared" si="37"/>
        <v>20.035709203981977</v>
      </c>
      <c r="BG24" s="20">
        <f t="shared" si="7"/>
        <v>159.35586286360191</v>
      </c>
      <c r="BH24" s="59">
        <f t="shared" si="8"/>
        <v>441.6891961969352</v>
      </c>
      <c r="BI24" s="59">
        <f ca="1">AVERAGE(OFFSET($BH$3,0,0,'Données projet'!$E$11+1,1))-AVERAGE(OFFSET($H$3,0,0,'Données projet'!$E$11+1,1))</f>
        <v>384.34044781465661</v>
      </c>
      <c r="BJ24" s="59">
        <f t="shared" si="38"/>
        <v>374.99493809709708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7.792538839486074</v>
      </c>
      <c r="BR24" s="21">
        <f>EXP(-LN(2)/2)*BR23+(1-EXP(-LN(2)/2))/(LN(2)/2)*BL24*BO24*VLOOKUP('Données projet'!$B$11,Paramètres!$A$1:$I$89,3,0)*0.475*44/12</f>
        <v>5.9241453054755748</v>
      </c>
      <c r="BS24" s="22">
        <f t="shared" si="9"/>
        <v>13.716684144961649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4.5856818181818184</v>
      </c>
      <c r="BY24" s="12">
        <f>IF('Données projet'!$A$114&gt;35,BY23+BX24-CG23,IF(A24&lt;'Données projet'!$A$114,$BV$205^A24,IF(A24='Données projet'!$A$114,'Données projet'!$B$114,BY23+BX24-CG23)))</f>
        <v>96.299318181818222</v>
      </c>
      <c r="BZ24" s="13">
        <f>BY24*VLOOKUP('Données projet'!$B$12,Paramètres!$A$1:$I$89,3,0)*VLOOKUP('Données projet'!$B$12,Paramètres!$A$1:$I$89,5,0)</f>
        <v>91.63843118181822</v>
      </c>
      <c r="CA24" s="13">
        <f t="shared" si="39"/>
        <v>24.95995928190812</v>
      </c>
      <c r="CB24" s="20">
        <f t="shared" si="10"/>
        <v>203.07553005765669</v>
      </c>
      <c r="CC24" s="59">
        <f t="shared" si="11"/>
        <v>485.40886339099001</v>
      </c>
      <c r="CD24" s="59">
        <f ca="1">AVERAGE(OFFSET($CC$3,0,0,'Données projet'!$E$12+1,1))-AVERAGE(OFFSET($H$3,0,0,'Données projet'!$E$12+1,1))</f>
        <v>513.14430745499283</v>
      </c>
      <c r="CE24" s="59">
        <f t="shared" si="40"/>
        <v>324.2490378019823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6.7948717948717956</v>
      </c>
      <c r="CT24" s="12">
        <f>IF('Données projet'!$A$140&gt;35,CT23+CS24-DB23,IF(A24&lt;'Données projet'!$A$140,$CQ$205^A24,IF(A24='Données projet'!$A$140,'Données projet'!$B$140,CT23+CS24-DB23)))</f>
        <v>45.256410256410248</v>
      </c>
      <c r="CU24" s="17">
        <f>CT24*VLOOKUP('Données projet'!$B$13,Paramètres!$A$1:$I$89,3,0)*VLOOKUP('Données projet'!$B$13,Paramètres!$A$1:$I$89,5,0)</f>
        <v>35.299999999999997</v>
      </c>
      <c r="CV24" s="13">
        <f t="shared" si="41"/>
        <v>10.743994925779599</v>
      </c>
      <c r="CW24" s="20">
        <f t="shared" si="13"/>
        <v>80.193291162399461</v>
      </c>
      <c r="CX24" s="59">
        <f t="shared" si="14"/>
        <v>362.52662449573279</v>
      </c>
      <c r="CY24" s="59">
        <f ca="1">AVERAGE(OFFSET($CX$3,0,0,'Données projet'!$E$13+1,1))-AVERAGE(OFFSET($H$3,0,0,'Données projet'!$E$13+1,1))</f>
        <v>197.51452239559433</v>
      </c>
      <c r="CZ24" s="59">
        <f t="shared" si="42"/>
        <v>196.65166921588821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1.5895105226122659</v>
      </c>
      <c r="DH24" s="21">
        <f>EXP(-LN(2)/2)*DH23+(1-EXP(-LN(2)/2))/(LN(2)/2)*DB24*DE24*VLOOKUP('Données projet'!$B$13,Paramètres!$A$1:$I$89,3,0)*0.475*44/12</f>
        <v>2.1291474477142858</v>
      </c>
      <c r="DI24" s="22">
        <f t="shared" si="15"/>
        <v>3.7186579703265519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5.1282051282051295</v>
      </c>
      <c r="DO24" s="12">
        <f>IF('Données projet'!$A$166&gt;35,DO23+DN24-DW23,IF(A24&lt;'Données projet'!$A$166,$DL$205^A24,IF(A24='Données projet'!$A$166,'Données projet'!$B$166,DO23+DN24-DW23)))</f>
        <v>42.307692307692292</v>
      </c>
      <c r="DP24" s="17">
        <f>DO24*VLOOKUP('Données projet'!$B$14,Paramètres!$A$1:$I$89,3,0)*VLOOKUP('Données projet'!$B$14,Paramètres!$A$1:$I$89,5,0)</f>
        <v>44.219999999999985</v>
      </c>
      <c r="DQ24" s="13">
        <f t="shared" si="43"/>
        <v>13.110546100999768</v>
      </c>
      <c r="DR24" s="20">
        <f t="shared" si="16"/>
        <v>99.850701125907904</v>
      </c>
      <c r="DS24" s="59">
        <f t="shared" si="17"/>
        <v>382.18403445924122</v>
      </c>
      <c r="DT24" s="59">
        <f ca="1">AVERAGE(OFFSET($DS$3,0,0,'Données projet'!$E$14+1,1))-AVERAGE(OFFSET($H$3,0,0,'Données projet'!$E$14+1,1))</f>
        <v>239.26156489359892</v>
      </c>
      <c r="DU24" s="59">
        <f t="shared" si="44"/>
        <v>213.97034450798111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4.474080696254239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4.474080696254239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3.3603333333333336</v>
      </c>
      <c r="EJ24" s="12">
        <f>IF('Données projet'!$A$192&gt;35,EJ23+EI24-ER23,IF(A24&lt;'Données projet'!$A$192,$EG$205^A24,IF(A24='Données projet'!$A$192,'Données projet'!$B$192,EJ23+EI24-ER23)))</f>
        <v>70.567000000000036</v>
      </c>
      <c r="EK24" s="17">
        <f>EJ24*VLOOKUP('Données projet'!$B$15,Paramètres!$A$1:$I$89,3,0)*VLOOKUP('Données projet'!$B$15,Paramètres!$A$1:$I$89,5,0)</f>
        <v>70.454092800000041</v>
      </c>
      <c r="EL24" s="13">
        <f t="shared" si="45"/>
        <v>19.786182345494655</v>
      </c>
      <c r="EM24" s="20">
        <f t="shared" si="19"/>
        <v>157.16847921173658</v>
      </c>
      <c r="EN24" s="59">
        <f t="shared" si="20"/>
        <v>439.50181254506992</v>
      </c>
      <c r="EO24" s="59">
        <f ca="1">AVERAGE(OFFSET($EN$3,0,0,'Données projet'!$E$15+1,1))-AVERAGE(OFFSET($H$3,0,0,'Données projet'!$E$15+1,1))</f>
        <v>525.74725170626471</v>
      </c>
      <c r="EP24" s="59">
        <f t="shared" si="46"/>
        <v>259.19103598192197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3.3603333333333336</v>
      </c>
      <c r="N25" s="13">
        <f>IF('Données projet'!$A$36&gt;35,N24+M25-V24,IF(A25&lt;'Données projet'!$A$36,$K$205^A25,IF(A25='Données projet'!$A$36,'Données projet'!$B$36,N24+M25-V24)))</f>
        <v>73.927333333333365</v>
      </c>
      <c r="O25" s="13">
        <f>N25*VLOOKUP('Données projet'!$B$9,Paramètres!$A$1:$I$89,3,0)*VLOOKUP('Données projet'!$B$9,Paramètres!$A$1:$I$89,5,0)</f>
        <v>74.962316000000044</v>
      </c>
      <c r="P25" s="13">
        <f t="shared" si="33"/>
        <v>20.900820525249284</v>
      </c>
      <c r="Q25" s="20">
        <f t="shared" si="2"/>
        <v>166.96162944814259</v>
      </c>
      <c r="R25" s="59">
        <f t="shared" si="0"/>
        <v>450.51718500369816</v>
      </c>
      <c r="S25" s="59">
        <f ca="1">AVERAGE(OFFSET($R$3,0,0,'Données projet'!$E$9+1,1))-AVERAGE(OFFSET($H$3,0,0,'Données projet'!$E$9+1,1))</f>
        <v>533.26035274112917</v>
      </c>
      <c r="T25" s="59">
        <f t="shared" si="34"/>
        <v>262.58149402282521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4.5856818181818184</v>
      </c>
      <c r="AI25" s="13">
        <f>IF('Données projet'!$A$62&gt;35,AI24+AH25-AQ24,IF(A25&lt;'Données projet'!$A$62,$AF$205^A25,IF(A25='Données projet'!$A$62,'Données projet'!$B$62,AI24+AH25-AQ24)))</f>
        <v>100.88500000000005</v>
      </c>
      <c r="AJ25" s="13">
        <f>AI25*VLOOKUP('Données projet'!$B$10,Paramètres!$A$1:$I$89,3,0)*VLOOKUP('Données projet'!$B$10,Paramètres!$A$1:$I$89,5,0)</f>
        <v>91.280748000000031</v>
      </c>
      <c r="AK25" s="13">
        <f t="shared" si="35"/>
        <v>24.873856091511385</v>
      </c>
      <c r="AL25" s="20">
        <f t="shared" si="4"/>
        <v>202.30260212604904</v>
      </c>
      <c r="AM25" s="59">
        <f t="shared" si="5"/>
        <v>485.85815768160455</v>
      </c>
      <c r="AN25" s="59">
        <f ca="1">AVERAGE(OFFSET($AM$3,0,0,'Données projet'!$E$10+1,1))-AVERAGE(OFFSET($H$3,0,0,'Données projet'!$E$10+1,1))</f>
        <v>482.62991869403385</v>
      </c>
      <c r="AO25" s="59">
        <f t="shared" si="36"/>
        <v>310.43914804089906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14.8</v>
      </c>
      <c r="BD25" s="12">
        <f>IF('Données projet'!$A$88&gt;35,BD24+BC25-BL24,IF(A25&lt;'Données projet'!$A$88,$BA$205^A25,IF(A25='Données projet'!$A$88,'Données projet'!$B$88,BD24+BC25-BL24)))</f>
        <v>96.59999999999998</v>
      </c>
      <c r="BE25" s="13">
        <f>BD25*VLOOKUP('Données projet'!$B$11,Paramètres!$A$1:$I$89,3,0)*VLOOKUP('Données projet'!$B$11,Paramètres!$A$1:$I$89,5,0)</f>
        <v>84.389759999999995</v>
      </c>
      <c r="BF25" s="13">
        <f t="shared" si="37"/>
        <v>23.207143598424498</v>
      </c>
      <c r="BG25" s="20">
        <f t="shared" si="7"/>
        <v>187.39794043392263</v>
      </c>
      <c r="BH25" s="59">
        <f t="shared" si="8"/>
        <v>470.95349598947814</v>
      </c>
      <c r="BI25" s="59">
        <f ca="1">AVERAGE(OFFSET($BH$3,0,0,'Données projet'!$E$11+1,1))-AVERAGE(OFFSET($H$3,0,0,'Données projet'!$E$11+1,1))</f>
        <v>384.34044781465661</v>
      </c>
      <c r="BJ25" s="59">
        <f t="shared" si="38"/>
        <v>374.99493809709708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7.5794514551285195</v>
      </c>
      <c r="BR25" s="21">
        <f>EXP(-LN(2)/2)*BR24+(1-EXP(-LN(2)/2))/(LN(2)/2)*BL25*BO25*VLOOKUP('Données projet'!$B$11,Paramètres!$A$1:$I$89,3,0)*0.475*44/12</f>
        <v>4.1890033182362307</v>
      </c>
      <c r="BS25" s="22">
        <f t="shared" si="9"/>
        <v>11.76845477336475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4.5856818181818184</v>
      </c>
      <c r="BY25" s="12">
        <f>IF('Données projet'!$A$114&gt;35,BY24+BX25-CG24,IF(A25&lt;'Données projet'!$A$114,$BV$205^A25,IF(A25='Données projet'!$A$114,'Données projet'!$B$114,BY24+BX25-CG24)))</f>
        <v>100.88500000000005</v>
      </c>
      <c r="BZ25" s="13">
        <f>BY25*VLOOKUP('Données projet'!$B$12,Paramètres!$A$1:$I$89,3,0)*VLOOKUP('Données projet'!$B$12,Paramètres!$A$1:$I$89,5,0)</f>
        <v>96.002166000000045</v>
      </c>
      <c r="CA25" s="13">
        <f t="shared" si="39"/>
        <v>26.007318988902352</v>
      </c>
      <c r="CB25" s="20">
        <f t="shared" si="10"/>
        <v>212.49985302233833</v>
      </c>
      <c r="CC25" s="59">
        <f t="shared" si="11"/>
        <v>496.0554085778939</v>
      </c>
      <c r="CD25" s="59">
        <f ca="1">AVERAGE(OFFSET($CC$3,0,0,'Données projet'!$E$12+1,1))-AVERAGE(OFFSET($H$3,0,0,'Données projet'!$E$12+1,1))</f>
        <v>513.14430745499283</v>
      </c>
      <c r="CE25" s="59">
        <f t="shared" si="40"/>
        <v>324.2490378019823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6.7948717948717956</v>
      </c>
      <c r="CT25" s="12">
        <f>IF('Données projet'!$A$140&gt;35,CT24+CS25-DB24,IF(A25&lt;'Données projet'!$A$140,$CQ$205^A25,IF(A25='Données projet'!$A$140,'Données projet'!$B$140,CT24+CS25-DB24)))</f>
        <v>52.051282051282044</v>
      </c>
      <c r="CU25" s="17">
        <f>CT25*VLOOKUP('Données projet'!$B$13,Paramètres!$A$1:$I$89,3,0)*VLOOKUP('Données projet'!$B$13,Paramètres!$A$1:$I$89,5,0)</f>
        <v>40.599999999999994</v>
      </c>
      <c r="CV25" s="13">
        <f t="shared" si="41"/>
        <v>12.15753890842374</v>
      </c>
      <c r="CW25" s="20">
        <f t="shared" si="13"/>
        <v>91.886046932171325</v>
      </c>
      <c r="CX25" s="59">
        <f t="shared" si="14"/>
        <v>375.44160248772687</v>
      </c>
      <c r="CY25" s="59">
        <f ca="1">AVERAGE(OFFSET($CX$3,0,0,'Données projet'!$E$13+1,1))-AVERAGE(OFFSET($H$3,0,0,'Données projet'!$E$13+1,1))</f>
        <v>197.51452239559433</v>
      </c>
      <c r="CZ25" s="59">
        <f t="shared" si="42"/>
        <v>196.65166921588821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1.546045273782708</v>
      </c>
      <c r="DH25" s="21">
        <f>EXP(-LN(2)/2)*DH24+(1-EXP(-LN(2)/2))/(LN(2)/2)*DB25*DE25*VLOOKUP('Données projet'!$B$13,Paramètres!$A$1:$I$89,3,0)*0.475*44/12</f>
        <v>1.5055345984248016</v>
      </c>
      <c r="DI25" s="22">
        <f t="shared" si="15"/>
        <v>3.0515798722075096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5.1282051282051295</v>
      </c>
      <c r="DO25" s="12">
        <f>IF('Données projet'!$A$166&gt;35,DO24+DN25-DW24,IF(A25&lt;'Données projet'!$A$166,$DL$205^A25,IF(A25='Données projet'!$A$166,'Données projet'!$B$166,DO24+DN25-DW24)))</f>
        <v>47.435897435897424</v>
      </c>
      <c r="DP25" s="17">
        <f>DO25*VLOOKUP('Données projet'!$B$14,Paramètres!$A$1:$I$89,3,0)*VLOOKUP('Données projet'!$B$14,Paramètres!$A$1:$I$89,5,0)</f>
        <v>49.579999999999991</v>
      </c>
      <c r="DQ25" s="13">
        <f t="shared" si="43"/>
        <v>14.505239638165149</v>
      </c>
      <c r="DR25" s="20">
        <f t="shared" si="16"/>
        <v>111.61512570313761</v>
      </c>
      <c r="DS25" s="59">
        <f t="shared" si="17"/>
        <v>395.17068125869315</v>
      </c>
      <c r="DT25" s="59">
        <f ca="1">AVERAGE(OFFSET($DS$3,0,0,'Données projet'!$E$14+1,1))-AVERAGE(OFFSET($H$3,0,0,'Données projet'!$E$14+1,1))</f>
        <v>239.26156489359892</v>
      </c>
      <c r="DU25" s="59">
        <f t="shared" si="44"/>
        <v>213.97034450798111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4.351736724333489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4.351736724333489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3.3603333333333336</v>
      </c>
      <c r="EJ25" s="12">
        <f>IF('Données projet'!$A$192&gt;35,EJ24+EI25-ER24,IF(A25&lt;'Données projet'!$A$192,$EG$205^A25,IF(A25='Données projet'!$A$192,'Données projet'!$B$192,EJ24+EI25-ER24)))</f>
        <v>73.927333333333365</v>
      </c>
      <c r="EK25" s="17">
        <f>EJ25*VLOOKUP('Données projet'!$B$15,Paramètres!$A$1:$I$89,3,0)*VLOOKUP('Données projet'!$B$15,Paramètres!$A$1:$I$89,5,0)</f>
        <v>73.809049600000037</v>
      </c>
      <c r="EL25" s="13">
        <f t="shared" si="45"/>
        <v>20.616442119152715</v>
      </c>
      <c r="EM25" s="20">
        <f t="shared" si="19"/>
        <v>164.45773141085769</v>
      </c>
      <c r="EN25" s="59">
        <f t="shared" si="20"/>
        <v>448.01328696641326</v>
      </c>
      <c r="EO25" s="59">
        <f ca="1">AVERAGE(OFFSET($EN$3,0,0,'Données projet'!$E$15+1,1))-AVERAGE(OFFSET($H$3,0,0,'Données projet'!$E$15+1,1))</f>
        <v>525.74725170626471</v>
      </c>
      <c r="EP25" s="59">
        <f t="shared" si="46"/>
        <v>259.19103598192197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3.3603333333333336</v>
      </c>
      <c r="N26" s="13">
        <f>IF('Données projet'!$A$36&gt;35,N25+M26-V25,IF(A26&lt;'Données projet'!$A$36,$K$205^A26,IF(A26='Données projet'!$A$36,'Données projet'!$B$36,N25+M26-V25)))</f>
        <v>77.287666666666695</v>
      </c>
      <c r="O26" s="13">
        <f>N26*VLOOKUP('Données projet'!$B$9,Paramètres!$A$1:$I$89,3,0)*VLOOKUP('Données projet'!$B$9,Paramètres!$A$1:$I$89,5,0)</f>
        <v>78.369694000000038</v>
      </c>
      <c r="P26" s="13">
        <f t="shared" si="33"/>
        <v>21.738089431359974</v>
      </c>
      <c r="Q26" s="20">
        <f t="shared" si="2"/>
        <v>174.35438947628532</v>
      </c>
      <c r="R26" s="59">
        <f t="shared" si="0"/>
        <v>459.13216725406312</v>
      </c>
      <c r="S26" s="59">
        <f ca="1">AVERAGE(OFFSET($R$3,0,0,'Données projet'!$E$9+1,1))-AVERAGE(OFFSET($H$3,0,0,'Données projet'!$E$9+1,1))</f>
        <v>533.26035274112917</v>
      </c>
      <c r="T26" s="59">
        <f t="shared" si="34"/>
        <v>262.58149402282521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4.5856818181818184</v>
      </c>
      <c r="AI26" s="13">
        <f>IF('Données projet'!$A$62&gt;35,AI25+AH26-AQ25,IF(A26&lt;'Données projet'!$A$62,$AF$205^A26,IF(A26='Données projet'!$A$62,'Données projet'!$B$62,AI25+AH26-AQ25)))</f>
        <v>105.47068181818187</v>
      </c>
      <c r="AJ26" s="13">
        <f>AI26*VLOOKUP('Données projet'!$B$10,Paramètres!$A$1:$I$89,3,0)*VLOOKUP('Données projet'!$B$10,Paramètres!$A$1:$I$89,5,0)</f>
        <v>95.429872909090946</v>
      </c>
      <c r="AK26" s="13">
        <f t="shared" si="35"/>
        <v>25.870281387606134</v>
      </c>
      <c r="AL26" s="20">
        <f t="shared" si="4"/>
        <v>211.26443540008074</v>
      </c>
      <c r="AM26" s="59">
        <f t="shared" si="5"/>
        <v>496.04221317785851</v>
      </c>
      <c r="AN26" s="59">
        <f ca="1">AVERAGE(OFFSET($AM$3,0,0,'Données projet'!$E$10+1,1))-AVERAGE(OFFSET($H$3,0,0,'Données projet'!$E$10+1,1))</f>
        <v>482.62991869403385</v>
      </c>
      <c r="AO26" s="59">
        <f t="shared" si="36"/>
        <v>310.43914804089906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14.8</v>
      </c>
      <c r="BD26" s="12">
        <f>IF('Données projet'!$A$88&gt;35,BD25+BC26-BL25,IF(A26&lt;'Données projet'!$A$88,$BA$205^A26,IF(A26='Données projet'!$A$88,'Données projet'!$B$88,BD25+BC26-BL25)))</f>
        <v>111.39999999999998</v>
      </c>
      <c r="BE26" s="13">
        <f>BD26*VLOOKUP('Données projet'!$B$11,Paramètres!$A$1:$I$89,3,0)*VLOOKUP('Données projet'!$B$11,Paramètres!$A$1:$I$89,5,0)</f>
        <v>97.319039999999987</v>
      </c>
      <c r="BF26" s="13">
        <f t="shared" si="37"/>
        <v>26.322289133542785</v>
      </c>
      <c r="BG26" s="20">
        <f t="shared" si="7"/>
        <v>215.34198157425362</v>
      </c>
      <c r="BH26" s="59">
        <f t="shared" si="8"/>
        <v>500.11975935203139</v>
      </c>
      <c r="BI26" s="59">
        <f ca="1">AVERAGE(OFFSET($BH$3,0,0,'Données projet'!$E$11+1,1))-AVERAGE(OFFSET($H$3,0,0,'Données projet'!$E$11+1,1))</f>
        <v>384.34044781465661</v>
      </c>
      <c r="BJ26" s="59">
        <f t="shared" si="38"/>
        <v>374.99493809709708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7.372190956502001</v>
      </c>
      <c r="BR26" s="21">
        <f>EXP(-LN(2)/2)*BR25+(1-EXP(-LN(2)/2))/(LN(2)/2)*BL26*BO26*VLOOKUP('Données projet'!$B$11,Paramètres!$A$1:$I$89,3,0)*0.475*44/12</f>
        <v>2.9620726527377883</v>
      </c>
      <c r="BS26" s="22">
        <f t="shared" si="9"/>
        <v>10.334263609239789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4.5856818181818184</v>
      </c>
      <c r="BY26" s="12">
        <f>IF('Données projet'!$A$114&gt;35,BY25+BX26-CG25,IF(A26&lt;'Données projet'!$A$114,$BV$205^A26,IF(A26='Données projet'!$A$114,'Données projet'!$B$114,BY25+BX26-CG25)))</f>
        <v>105.47068181818187</v>
      </c>
      <c r="BZ26" s="13">
        <f>BY26*VLOOKUP('Données projet'!$B$12,Paramètres!$A$1:$I$89,3,0)*VLOOKUP('Données projet'!$B$12,Paramètres!$A$1:$I$89,5,0)</f>
        <v>100.36590081818187</v>
      </c>
      <c r="CA26" s="13">
        <f t="shared" si="39"/>
        <v>27.049149834461982</v>
      </c>
      <c r="CB26" s="20">
        <f t="shared" si="10"/>
        <v>221.91454655335471</v>
      </c>
      <c r="CC26" s="59">
        <f t="shared" si="11"/>
        <v>506.69232433113245</v>
      </c>
      <c r="CD26" s="59">
        <f ca="1">AVERAGE(OFFSET($CC$3,0,0,'Données projet'!$E$12+1,1))-AVERAGE(OFFSET($H$3,0,0,'Données projet'!$E$12+1,1))</f>
        <v>513.14430745499283</v>
      </c>
      <c r="CE26" s="59">
        <f t="shared" si="40"/>
        <v>324.2490378019823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6.7948717948717956</v>
      </c>
      <c r="CT26" s="12">
        <f>IF('Données projet'!$A$140&gt;35,CT25+CS26-DB25,IF(A26&lt;'Données projet'!$A$140,$CQ$205^A26,IF(A26='Données projet'!$A$140,'Données projet'!$B$140,CT25+CS26-DB25)))</f>
        <v>58.84615384615384</v>
      </c>
      <c r="CU26" s="17">
        <f>CT26*VLOOKUP('Données projet'!$B$13,Paramètres!$A$1:$I$89,3,0)*VLOOKUP('Données projet'!$B$13,Paramètres!$A$1:$I$89,5,0)</f>
        <v>45.9</v>
      </c>
      <c r="CV26" s="13">
        <f t="shared" si="41"/>
        <v>13.549702311318182</v>
      </c>
      <c r="CW26" s="20">
        <f t="shared" si="13"/>
        <v>103.54156485887916</v>
      </c>
      <c r="CX26" s="59">
        <f t="shared" si="14"/>
        <v>388.31934263665693</v>
      </c>
      <c r="CY26" s="59">
        <f ca="1">AVERAGE(OFFSET($CX$3,0,0,'Données projet'!$E$13+1,1))-AVERAGE(OFFSET($H$3,0,0,'Données projet'!$E$13+1,1))</f>
        <v>197.51452239559433</v>
      </c>
      <c r="CZ26" s="59">
        <f t="shared" si="42"/>
        <v>196.65166921588821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1.5037685844681323</v>
      </c>
      <c r="DH26" s="21">
        <f>EXP(-LN(2)/2)*DH25+(1-EXP(-LN(2)/2))/(LN(2)/2)*DB26*DE26*VLOOKUP('Données projet'!$B$13,Paramètres!$A$1:$I$89,3,0)*0.475*44/12</f>
        <v>1.0645737238571429</v>
      </c>
      <c r="DI26" s="22">
        <f t="shared" si="15"/>
        <v>2.568342308325275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5.1282051282051295</v>
      </c>
      <c r="DO26" s="12">
        <f>IF('Données projet'!$A$166&gt;35,DO25+DN26-DW25,IF(A26&lt;'Données projet'!$A$166,$DL$205^A26,IF(A26='Données projet'!$A$166,'Données projet'!$B$166,DO25+DN26-DW25)))</f>
        <v>52.564102564102555</v>
      </c>
      <c r="DP26" s="17">
        <f>DO26*VLOOKUP('Données projet'!$B$14,Paramètres!$A$1:$I$89,3,0)*VLOOKUP('Données projet'!$B$14,Paramètres!$A$1:$I$89,5,0)</f>
        <v>54.94</v>
      </c>
      <c r="DQ26" s="13">
        <f t="shared" si="43"/>
        <v>15.88245671832347</v>
      </c>
      <c r="DR26" s="20">
        <f t="shared" si="16"/>
        <v>123.3491121177467</v>
      </c>
      <c r="DS26" s="59">
        <f t="shared" si="17"/>
        <v>408.12688989552447</v>
      </c>
      <c r="DT26" s="59">
        <f ca="1">AVERAGE(OFFSET($DS$3,0,0,'Données projet'!$E$14+1,1))-AVERAGE(OFFSET($H$3,0,0,'Données projet'!$E$14+1,1))</f>
        <v>239.26156489359892</v>
      </c>
      <c r="DU26" s="59">
        <f t="shared" si="44"/>
        <v>213.97034450798111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4.2327382547587016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4.2327382547587016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3.3603333333333336</v>
      </c>
      <c r="EJ26" s="12">
        <f>IF('Données projet'!$A$192&gt;35,EJ25+EI26-ER25,IF(A26&lt;'Données projet'!$A$192,$EG$205^A26,IF(A26='Données projet'!$A$192,'Données projet'!$B$192,EJ25+EI26-ER25)))</f>
        <v>77.287666666666695</v>
      </c>
      <c r="EK26" s="17">
        <f>EJ26*VLOOKUP('Données projet'!$B$15,Paramètres!$A$1:$I$89,3,0)*VLOOKUP('Données projet'!$B$15,Paramètres!$A$1:$I$89,5,0)</f>
        <v>77.164006400000034</v>
      </c>
      <c r="EL26" s="13">
        <f t="shared" si="45"/>
        <v>21.442319070736726</v>
      </c>
      <c r="EM26" s="20">
        <f t="shared" si="19"/>
        <v>171.73935019486649</v>
      </c>
      <c r="EN26" s="59">
        <f t="shared" si="20"/>
        <v>456.51712797264429</v>
      </c>
      <c r="EO26" s="59">
        <f ca="1">AVERAGE(OFFSET($EN$3,0,0,'Données projet'!$E$15+1,1))-AVERAGE(OFFSET($H$3,0,0,'Données projet'!$E$15+1,1))</f>
        <v>525.74725170626471</v>
      </c>
      <c r="EP26" s="59">
        <f t="shared" si="46"/>
        <v>259.19103598192197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3.3603333333333336</v>
      </c>
      <c r="N27" s="13">
        <f>IF('Données projet'!$A$36&gt;35,N26+M27-V26,IF(A27&lt;'Données projet'!$A$36,$K$205^A27,IF(A27='Données projet'!$A$36,'Données projet'!$B$36,N26+M27-V26)))</f>
        <v>80.648000000000025</v>
      </c>
      <c r="O27" s="13">
        <f>N27*VLOOKUP('Données projet'!$B$9,Paramètres!$A$1:$I$89,3,0)*VLOOKUP('Données projet'!$B$9,Paramètres!$A$1:$I$89,5,0)</f>
        <v>81.777072000000032</v>
      </c>
      <c r="P27" s="13">
        <f t="shared" si="33"/>
        <v>22.571130326229738</v>
      </c>
      <c r="Q27" s="20">
        <f t="shared" si="2"/>
        <v>181.7397857181835</v>
      </c>
      <c r="R27" s="59">
        <f t="shared" si="0"/>
        <v>467.7397857181835</v>
      </c>
      <c r="S27" s="59">
        <f ca="1">AVERAGE(OFFSET($R$3,0,0,'Données projet'!$E$9+1,1))-AVERAGE(OFFSET($H$3,0,0,'Données projet'!$E$9+1,1))</f>
        <v>533.26035274112917</v>
      </c>
      <c r="T27" s="59">
        <f t="shared" si="34"/>
        <v>262.58149402282521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4.5856818181818184</v>
      </c>
      <c r="AI27" s="13">
        <f>IF('Données projet'!$A$62&gt;35,AI26+AH27-AQ26,IF(A27&lt;'Données projet'!$A$62,$AF$205^A27,IF(A27='Données projet'!$A$62,'Données projet'!$B$62,AI26+AH27-AQ26)))</f>
        <v>110.0563636363637</v>
      </c>
      <c r="AJ27" s="13">
        <f>AI27*VLOOKUP('Données projet'!$B$10,Paramètres!$A$1:$I$89,3,0)*VLOOKUP('Données projet'!$B$10,Paramètres!$A$1:$I$89,5,0)</f>
        <v>99.578997818181875</v>
      </c>
      <c r="AK27" s="13">
        <f t="shared" si="35"/>
        <v>26.861674970087829</v>
      </c>
      <c r="AL27" s="20">
        <f t="shared" si="4"/>
        <v>220.21750510623642</v>
      </c>
      <c r="AM27" s="59">
        <f t="shared" si="5"/>
        <v>506.21750510623644</v>
      </c>
      <c r="AN27" s="59">
        <f ca="1">AVERAGE(OFFSET($AM$3,0,0,'Données projet'!$E$10+1,1))-AVERAGE(OFFSET($H$3,0,0,'Données projet'!$E$10+1,1))</f>
        <v>482.62991869403385</v>
      </c>
      <c r="AO27" s="59">
        <f t="shared" si="36"/>
        <v>310.43914804089906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14.8</v>
      </c>
      <c r="BD27" s="12">
        <f>IF('Données projet'!$A$88&gt;35,BD26+BC27-BL26,IF(A27&lt;'Données projet'!$A$88,$BA$205^A27,IF(A27='Données projet'!$A$88,'Données projet'!$B$88,BD26+BC27-BL26)))</f>
        <v>126.19999999999997</v>
      </c>
      <c r="BE27" s="13">
        <f>BD27*VLOOKUP('Données projet'!$B$11,Paramètres!$A$1:$I$89,3,0)*VLOOKUP('Données projet'!$B$11,Paramètres!$A$1:$I$89,5,0)</f>
        <v>110.24831999999999</v>
      </c>
      <c r="BF27" s="13">
        <f t="shared" si="37"/>
        <v>29.389483021072536</v>
      </c>
      <c r="BG27" s="20">
        <f t="shared" si="7"/>
        <v>243.20250692836802</v>
      </c>
      <c r="BH27" s="59">
        <f t="shared" si="8"/>
        <v>529.20250692836805</v>
      </c>
      <c r="BI27" s="59">
        <f ca="1">AVERAGE(OFFSET($BH$3,0,0,'Données projet'!$E$11+1,1))-AVERAGE(OFFSET($H$3,0,0,'Données projet'!$E$11+1,1))</f>
        <v>384.34044781465661</v>
      </c>
      <c r="BJ27" s="59">
        <f t="shared" si="38"/>
        <v>374.99493809709708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7.1705980071097803</v>
      </c>
      <c r="BR27" s="21">
        <f>EXP(-LN(2)/2)*BR26+(1-EXP(-LN(2)/2))/(LN(2)/2)*BL27*BO27*VLOOKUP('Données projet'!$B$11,Paramètres!$A$1:$I$89,3,0)*0.475*44/12</f>
        <v>2.0945016591181158</v>
      </c>
      <c r="BS27" s="22">
        <f t="shared" si="9"/>
        <v>9.265099666227897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4.5856818181818184</v>
      </c>
      <c r="BY27" s="12">
        <f>IF('Données projet'!$A$114&gt;35,BY26+BX27-CG26,IF(A27&lt;'Données projet'!$A$114,$BV$205^A27,IF(A27='Données projet'!$A$114,'Données projet'!$B$114,BY26+BX27-CG26)))</f>
        <v>110.0563636363637</v>
      </c>
      <c r="BZ27" s="13">
        <f>BY27*VLOOKUP('Données projet'!$B$12,Paramètres!$A$1:$I$89,3,0)*VLOOKUP('Données projet'!$B$12,Paramètres!$A$1:$I$89,5,0)</f>
        <v>104.7296356363637</v>
      </c>
      <c r="CA27" s="13">
        <f t="shared" si="39"/>
        <v>28.085719679052794</v>
      </c>
      <c r="CB27" s="20">
        <f t="shared" si="10"/>
        <v>231.32007717435036</v>
      </c>
      <c r="CC27" s="59">
        <f t="shared" si="11"/>
        <v>517.32007717435033</v>
      </c>
      <c r="CD27" s="59">
        <f ca="1">AVERAGE(OFFSET($CC$3,0,0,'Données projet'!$E$12+1,1))-AVERAGE(OFFSET($H$3,0,0,'Données projet'!$E$12+1,1))</f>
        <v>513.14430745499283</v>
      </c>
      <c r="CE27" s="59">
        <f t="shared" si="40"/>
        <v>324.2490378019823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6.7948717948717956</v>
      </c>
      <c r="CT27" s="12">
        <f>IF('Données projet'!$A$140&gt;35,CT26+CS27-DB26,IF(A27&lt;'Données projet'!$A$140,$CQ$205^A27,IF(A27='Données projet'!$A$140,'Données projet'!$B$140,CT26+CS27-DB26)))</f>
        <v>65.641025641025635</v>
      </c>
      <c r="CU27" s="17">
        <f>CT27*VLOOKUP('Données projet'!$B$13,Paramètres!$A$1:$I$89,3,0)*VLOOKUP('Données projet'!$B$13,Paramètres!$A$1:$I$89,5,0)</f>
        <v>51.199999999999996</v>
      </c>
      <c r="CV27" s="13">
        <f t="shared" si="41"/>
        <v>14.923235838479547</v>
      </c>
      <c r="CW27" s="20">
        <f t="shared" si="13"/>
        <v>115.16463575201853</v>
      </c>
      <c r="CX27" s="59">
        <f t="shared" si="14"/>
        <v>401.16463575201851</v>
      </c>
      <c r="CY27" s="59">
        <f ca="1">AVERAGE(OFFSET($CX$3,0,0,'Données projet'!$E$13+1,1))-AVERAGE(OFFSET($H$3,0,0,'Données projet'!$E$13+1,1))</f>
        <v>197.51452239559433</v>
      </c>
      <c r="CZ27" s="59">
        <f t="shared" si="42"/>
        <v>196.65166921588821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1.4626479534460983</v>
      </c>
      <c r="DH27" s="21">
        <f>EXP(-LN(2)/2)*DH26+(1-EXP(-LN(2)/2))/(LN(2)/2)*DB27*DE27*VLOOKUP('Données projet'!$B$13,Paramètres!$A$1:$I$89,3,0)*0.475*44/12</f>
        <v>0.75276729921240082</v>
      </c>
      <c r="DI27" s="22">
        <f t="shared" si="15"/>
        <v>2.2154152526584991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5.1282051282051295</v>
      </c>
      <c r="DO27" s="12">
        <f>IF('Données projet'!$A$166&gt;35,DO26+DN27-DW26,IF(A27&lt;'Données projet'!$A$166,$DL$205^A27,IF(A27='Données projet'!$A$166,'Données projet'!$B$166,DO26+DN27-DW26)))</f>
        <v>57.692307692307686</v>
      </c>
      <c r="DP27" s="17">
        <f>DO27*VLOOKUP('Données projet'!$B$14,Paramètres!$A$1:$I$89,3,0)*VLOOKUP('Données projet'!$B$14,Paramètres!$A$1:$I$89,5,0)</f>
        <v>60.300000000000004</v>
      </c>
      <c r="DQ27" s="13">
        <f t="shared" si="43"/>
        <v>17.24409639377615</v>
      </c>
      <c r="DR27" s="20">
        <f t="shared" si="16"/>
        <v>135.05596788582679</v>
      </c>
      <c r="DS27" s="59">
        <f t="shared" si="17"/>
        <v>421.05596788582682</v>
      </c>
      <c r="DT27" s="59">
        <f ca="1">AVERAGE(OFFSET($DS$3,0,0,'Données projet'!$E$14+1,1))-AVERAGE(OFFSET($H$3,0,0,'Données projet'!$E$14+1,1))</f>
        <v>239.26156489359892</v>
      </c>
      <c r="DU27" s="59">
        <f t="shared" si="44"/>
        <v>213.97034450798111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4.116993804592294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4.116993804592294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3.3603333333333336</v>
      </c>
      <c r="EJ27" s="12">
        <f>IF('Données projet'!$A$192&gt;35,EJ26+EI27-ER26,IF(A27&lt;'Données projet'!$A$192,$EG$205^A27,IF(A27='Données projet'!$A$192,'Données projet'!$B$192,EJ26+EI27-ER26)))</f>
        <v>80.648000000000025</v>
      </c>
      <c r="EK27" s="17">
        <f>EJ27*VLOOKUP('Données projet'!$B$15,Paramètres!$A$1:$I$89,3,0)*VLOOKUP('Données projet'!$B$15,Paramètres!$A$1:$I$89,5,0)</f>
        <v>80.51896320000003</v>
      </c>
      <c r="EL27" s="13">
        <f t="shared" si="45"/>
        <v>22.264025537773374</v>
      </c>
      <c r="EM27" s="20">
        <f t="shared" si="19"/>
        <v>179.01370538495533</v>
      </c>
      <c r="EN27" s="59">
        <f t="shared" si="20"/>
        <v>465.0137053849553</v>
      </c>
      <c r="EO27" s="59">
        <f ca="1">AVERAGE(OFFSET($EN$3,0,0,'Données projet'!$E$15+1,1))-AVERAGE(OFFSET($H$3,0,0,'Données projet'!$E$15+1,1))</f>
        <v>525.74725170626471</v>
      </c>
      <c r="EP27" s="59">
        <f t="shared" si="46"/>
        <v>259.19103598192197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3.3603333333333336</v>
      </c>
      <c r="N28" s="13">
        <f>IF('Données projet'!$A$36&gt;35,N27+M28-V27,IF(A28&lt;'Données projet'!$A$36,$K$205^A28,IF(A28='Données projet'!$A$36,'Données projet'!$B$36,N27+M28-V27)))</f>
        <v>84.008333333333354</v>
      </c>
      <c r="O28" s="13">
        <f>N28*VLOOKUP('Données projet'!$B$9,Paramètres!$A$1:$I$89,3,0)*VLOOKUP('Données projet'!$B$9,Paramètres!$A$1:$I$89,5,0)</f>
        <v>85.184450000000027</v>
      </c>
      <c r="P28" s="13">
        <f t="shared" si="33"/>
        <v>23.400139522539501</v>
      </c>
      <c r="Q28" s="20">
        <f t="shared" si="2"/>
        <v>189.1181600850897</v>
      </c>
      <c r="R28" s="59">
        <f t="shared" si="0"/>
        <v>476.34038230731193</v>
      </c>
      <c r="S28" s="59">
        <f ca="1">AVERAGE(OFFSET($R$3,0,0,'Données projet'!$E$9+1,1))-AVERAGE(OFFSET($H$3,0,0,'Données projet'!$E$9+1,1))</f>
        <v>533.26035274112917</v>
      </c>
      <c r="T28" s="59">
        <f t="shared" si="34"/>
        <v>262.58149402282521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4.5856818181818184</v>
      </c>
      <c r="AI28" s="13">
        <f>IF('Données projet'!$A$62&gt;35,AI27+AH28-AQ27,IF(A28&lt;'Données projet'!$A$62,$AF$205^A28,IF(A28='Données projet'!$A$62,'Données projet'!$B$62,AI27+AH28-AQ27)))</f>
        <v>114.64204545454552</v>
      </c>
      <c r="AJ28" s="13">
        <f>AI28*VLOOKUP('Données projet'!$B$10,Paramètres!$A$1:$I$89,3,0)*VLOOKUP('Données projet'!$B$10,Paramètres!$A$1:$I$89,5,0)</f>
        <v>103.72812272727279</v>
      </c>
      <c r="AK28" s="13">
        <f t="shared" si="35"/>
        <v>27.848270468701784</v>
      </c>
      <c r="AL28" s="20">
        <f t="shared" si="4"/>
        <v>229.16221814965567</v>
      </c>
      <c r="AM28" s="59">
        <f t="shared" si="5"/>
        <v>516.38444037187787</v>
      </c>
      <c r="AN28" s="59">
        <f ca="1">AVERAGE(OFFSET($AM$3,0,0,'Données projet'!$E$10+1,1))-AVERAGE(OFFSET($H$3,0,0,'Données projet'!$E$10+1,1))</f>
        <v>482.62991869403385</v>
      </c>
      <c r="AO28" s="59">
        <f t="shared" si="36"/>
        <v>310.43914804089906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141</v>
      </c>
      <c r="BB28" s="12">
        <f>VLOOKUP(A28,'Données projet'!$A$87:$I$107,9,0)</f>
        <v>14.8</v>
      </c>
      <c r="BC28" s="12">
        <f t="array" ref="BC28">INDEX(BB:BB,MIN(IF(ISNUMBER(BB28:BB224),ROW(BB28:BB224),"")))</f>
        <v>14.8</v>
      </c>
      <c r="BD28" s="12">
        <f>IF('Données projet'!$A$88&gt;35,BD27+BC28-BL27,IF(A28&lt;'Données projet'!$A$88,$BA$205^A28,IF(A28='Données projet'!$A$88,'Données projet'!$B$88,BD27+BC28-BL27)))</f>
        <v>140.99999999999997</v>
      </c>
      <c r="BE28" s="13">
        <f>BD28*VLOOKUP('Données projet'!$B$11,Paramètres!$A$1:$I$89,3,0)*VLOOKUP('Données projet'!$B$11,Paramètres!$A$1:$I$89,5,0)</f>
        <v>123.1776</v>
      </c>
      <c r="BF28" s="13">
        <f t="shared" si="37"/>
        <v>32.414991240570416</v>
      </c>
      <c r="BG28" s="20">
        <f t="shared" si="7"/>
        <v>270.99042974399345</v>
      </c>
      <c r="BH28" s="59">
        <f t="shared" si="8"/>
        <v>558.21265196621562</v>
      </c>
      <c r="BI28" s="59">
        <f ca="1">AVERAGE(OFFSET($BH$3,0,0,'Données projet'!$E$11+1,1))-AVERAGE(OFFSET($H$3,0,0,'Données projet'!$E$11+1,1))</f>
        <v>384.34044781465661</v>
      </c>
      <c r="BJ28" s="59">
        <f t="shared" si="38"/>
        <v>374.99493809709708</v>
      </c>
      <c r="BK28" s="15">
        <f>IF(ISNA(VLOOKUP(A28,'Données projet'!$A$87:$I$107,3,0)),0,VLOOKUP(A28,'Données projet'!$A$87:$I$107,3,0))</f>
        <v>3</v>
      </c>
      <c r="BL28" s="15">
        <f>IF(ISNA(VLOOKUP(A28,'Données projet'!$A$87:$I$107,4,0)),0,VLOOKUP(A28,'Données projet'!$A$87:$I$107,4,0))</f>
        <v>35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0.13250000000000001</v>
      </c>
      <c r="BO28" s="16">
        <f>IF(ISNA(VLOOKUP(A28,'Données projet'!$A$87:$I$107,7,0)),0%,VLOOKUP(A28,'Données projet'!$A$87:$I$107,7,0))</f>
        <v>0.25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11.435497874709831</v>
      </c>
      <c r="BR28" s="21">
        <f>EXP(-LN(2)/2)*BR27+(1-EXP(-LN(2)/2))/(LN(2)/2)*BL28*BO28*VLOOKUP('Données projet'!$B$11,Paramètres!$A$1:$I$89,3,0)*0.475*44/12</f>
        <v>8.6933560616124836</v>
      </c>
      <c r="BS28" s="22">
        <f t="shared" si="9"/>
        <v>20.128853936322315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4.5856818181818184</v>
      </c>
      <c r="BY28" s="12">
        <f>IF('Données projet'!$A$114&gt;35,BY27+BX28-CG27,IF(A28&lt;'Données projet'!$A$114,$BV$205^A28,IF(A28='Données projet'!$A$114,'Données projet'!$B$114,BY27+BX28-CG27)))</f>
        <v>114.64204545454552</v>
      </c>
      <c r="BZ28" s="13">
        <f>BY28*VLOOKUP('Données projet'!$B$12,Paramètres!$A$1:$I$89,3,0)*VLOOKUP('Données projet'!$B$12,Paramètres!$A$1:$I$89,5,0)</f>
        <v>109.09337045454554</v>
      </c>
      <c r="CA28" s="13">
        <f t="shared" si="39"/>
        <v>29.117272798563825</v>
      </c>
      <c r="CB28" s="20">
        <f t="shared" si="10"/>
        <v>240.71687033249881</v>
      </c>
      <c r="CC28" s="59">
        <f t="shared" si="11"/>
        <v>527.93909255472101</v>
      </c>
      <c r="CD28" s="59">
        <f ca="1">AVERAGE(OFFSET($CC$3,0,0,'Données projet'!$E$12+1,1))-AVERAGE(OFFSET($H$3,0,0,'Données projet'!$E$12+1,1))</f>
        <v>513.14430745499283</v>
      </c>
      <c r="CE28" s="59">
        <f t="shared" si="40"/>
        <v>324.2490378019823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72.435897435897431</v>
      </c>
      <c r="CR28" s="12">
        <f>VLOOKUP(A28,'Données projet'!$A$139:$I$159,9,0)</f>
        <v>6.7948717948717956</v>
      </c>
      <c r="CS28" s="12">
        <f t="array" ref="CS28">INDEX(CR:CR,MIN(IF(ISNUMBER(CR28:CR224),ROW(CR28:CR224),"")))</f>
        <v>6.7948717948717956</v>
      </c>
      <c r="CT28" s="12">
        <f>IF('Données projet'!$A$140&gt;35,CT27+CS28-DB27,IF(A28&lt;'Données projet'!$A$140,$CQ$205^A28,IF(A28='Données projet'!$A$140,'Données projet'!$B$140,CT27+CS28-DB27)))</f>
        <v>72.435897435897431</v>
      </c>
      <c r="CU28" s="17">
        <f>CT28*VLOOKUP('Données projet'!$B$13,Paramètres!$A$1:$I$89,3,0)*VLOOKUP('Données projet'!$B$13,Paramètres!$A$1:$I$89,5,0)</f>
        <v>56.5</v>
      </c>
      <c r="CV28" s="13">
        <f t="shared" si="41"/>
        <v>16.280287626136957</v>
      </c>
      <c r="CW28" s="20">
        <f t="shared" si="13"/>
        <v>126.75900094885519</v>
      </c>
      <c r="CX28" s="59">
        <f t="shared" si="14"/>
        <v>413.98122317107743</v>
      </c>
      <c r="CY28" s="59">
        <f ca="1">AVERAGE(OFFSET($CX$3,0,0,'Données projet'!$E$13+1,1))-AVERAGE(OFFSET($H$3,0,0,'Données projet'!$E$13+1,1))</f>
        <v>197.51452239559433</v>
      </c>
      <c r="CZ28" s="59">
        <f t="shared" si="42"/>
        <v>196.65166921588821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17.307692307692307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0.1075</v>
      </c>
      <c r="DE28" s="16">
        <f>IF(ISNA(VLOOKUP(A28,'Données projet'!$A$139:$I$159,7,0)),0%,VLOOKUP(A28,'Données projet'!$A$139:$I$159,7,0))</f>
        <v>0.25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3.0206488614692537</v>
      </c>
      <c r="DH28" s="21">
        <f>EXP(-LN(2)/2)*DH27+(1-EXP(-LN(2)/2))/(LN(2)/2)*DB28*DE28*VLOOKUP('Données projet'!$B$13,Paramètres!$A$1:$I$89,3,0)*0.475*44/12</f>
        <v>3.7166901987217562</v>
      </c>
      <c r="DI28" s="22">
        <f t="shared" si="15"/>
        <v>6.7373390601910099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62.820512820512818</v>
      </c>
      <c r="DM28" s="12">
        <f>VLOOKUP(A28,'Données projet'!$A$165:$I$185,9,0)</f>
        <v>5.1282051282051295</v>
      </c>
      <c r="DN28" s="12">
        <f t="array" ref="DN28">INDEX(DM:DM,MIN(IF(ISNUMBER(DM28:DM224),ROW(DM28:DM224),"")))</f>
        <v>5.1282051282051295</v>
      </c>
      <c r="DO28" s="12">
        <f>IF('Données projet'!$A$166&gt;35,DO27+DN28-DW27,IF(A28&lt;'Données projet'!$A$166,$DL$205^A28,IF(A28='Données projet'!$A$166,'Données projet'!$B$166,DO27+DN28-DW27)))</f>
        <v>62.820512820512818</v>
      </c>
      <c r="DP28" s="17">
        <f>DO28*VLOOKUP('Données projet'!$B$14,Paramètres!$A$1:$I$89,3,0)*VLOOKUP('Données projet'!$B$14,Paramètres!$A$1:$I$89,5,0)</f>
        <v>65.660000000000011</v>
      </c>
      <c r="DQ28" s="13">
        <f t="shared" si="43"/>
        <v>18.591700776040714</v>
      </c>
      <c r="DR28" s="20">
        <f t="shared" si="16"/>
        <v>146.73837885160424</v>
      </c>
      <c r="DS28" s="59">
        <f t="shared" si="17"/>
        <v>433.96060107382647</v>
      </c>
      <c r="DT28" s="59">
        <f ca="1">AVERAGE(OFFSET($DS$3,0,0,'Données projet'!$E$14+1,1))-AVERAGE(OFFSET($H$3,0,0,'Données projet'!$E$14+1,1))</f>
        <v>239.26156489359892</v>
      </c>
      <c r="DU28" s="59">
        <f t="shared" si="44"/>
        <v>213.97034450798111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12.179487179487179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0.215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7.0181185401743438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7.0181185401743438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3.3603333333333336</v>
      </c>
      <c r="EJ28" s="12">
        <f>IF('Données projet'!$A$192&gt;35,EJ27+EI28-ER27,IF(A28&lt;'Données projet'!$A$192,$EG$205^A28,IF(A28='Données projet'!$A$192,'Données projet'!$B$192,EJ27+EI28-ER27)))</f>
        <v>84.008333333333354</v>
      </c>
      <c r="EK28" s="17">
        <f>EJ28*VLOOKUP('Données projet'!$B$15,Paramètres!$A$1:$I$89,3,0)*VLOOKUP('Données projet'!$B$15,Paramètres!$A$1:$I$89,5,0)</f>
        <v>83.873920000000027</v>
      </c>
      <c r="EL28" s="13">
        <f t="shared" si="45"/>
        <v>23.081755161895941</v>
      </c>
      <c r="EM28" s="20">
        <f t="shared" si="19"/>
        <v>186.28113424030212</v>
      </c>
      <c r="EN28" s="59">
        <f t="shared" si="20"/>
        <v>473.50335646252438</v>
      </c>
      <c r="EO28" s="59">
        <f ca="1">AVERAGE(OFFSET($EN$3,0,0,'Données projet'!$E$15+1,1))-AVERAGE(OFFSET($H$3,0,0,'Données projet'!$E$15+1,1))</f>
        <v>525.74725170626471</v>
      </c>
      <c r="EP28" s="59">
        <f t="shared" si="46"/>
        <v>259.19103598192197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3.3603333333333336</v>
      </c>
      <c r="N29" s="13">
        <f>IF('Données projet'!$A$36&gt;35,N28+M29-V28,IF(A29&lt;'Données projet'!$A$36,$K$205^A29,IF(A29='Données projet'!$A$36,'Données projet'!$B$36,N28+M29-V28)))</f>
        <v>87.368666666666684</v>
      </c>
      <c r="O29" s="13">
        <f>N29*VLOOKUP('Données projet'!$B$9,Paramètres!$A$1:$I$89,3,0)*VLOOKUP('Données projet'!$B$9,Paramètres!$A$1:$I$89,5,0)</f>
        <v>88.591828000000021</v>
      </c>
      <c r="P29" s="13">
        <f t="shared" si="33"/>
        <v>24.225296739001799</v>
      </c>
      <c r="Q29" s="20">
        <f t="shared" si="2"/>
        <v>196.48982558709483</v>
      </c>
      <c r="R29" s="59">
        <f t="shared" si="0"/>
        <v>484.93427003153931</v>
      </c>
      <c r="S29" s="59">
        <f ca="1">AVERAGE(OFFSET($R$3,0,0,'Données projet'!$E$9+1,1))-AVERAGE(OFFSET($H$3,0,0,'Données projet'!$E$9+1,1))</f>
        <v>533.26035274112917</v>
      </c>
      <c r="T29" s="59">
        <f t="shared" si="34"/>
        <v>262.58149402282521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4.5856818181818184</v>
      </c>
      <c r="AI29" s="13">
        <f>IF('Données projet'!$A$62&gt;35,AI28+AH29-AQ28,IF(A29&lt;'Données projet'!$A$62,$AF$205^A29,IF(A29='Données projet'!$A$62,'Données projet'!$B$62,AI28+AH29-AQ28)))</f>
        <v>119.22772727272735</v>
      </c>
      <c r="AJ29" s="13">
        <f>AI29*VLOOKUP('Données projet'!$B$10,Paramètres!$A$1:$I$89,3,0)*VLOOKUP('Données projet'!$B$10,Paramètres!$A$1:$I$89,5,0)</f>
        <v>107.87724763636369</v>
      </c>
      <c r="AK29" s="13">
        <f t="shared" si="35"/>
        <v>28.830281764878382</v>
      </c>
      <c r="AL29" s="20">
        <f t="shared" si="4"/>
        <v>238.09894704049665</v>
      </c>
      <c r="AM29" s="59">
        <f t="shared" si="5"/>
        <v>526.54339148494114</v>
      </c>
      <c r="AN29" s="59">
        <f ca="1">AVERAGE(OFFSET($AM$3,0,0,'Données projet'!$E$10+1,1))-AVERAGE(OFFSET($H$3,0,0,'Données projet'!$E$10+1,1))</f>
        <v>482.62991869403385</v>
      </c>
      <c r="AO29" s="59">
        <f t="shared" si="36"/>
        <v>310.43914804089906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14.2</v>
      </c>
      <c r="BD29" s="12">
        <f>IF('Données projet'!$A$88&gt;35,BD28+BC29-BL28,IF(A29&lt;'Données projet'!$A$88,$BA$205^A29,IF(A29='Données projet'!$A$88,'Données projet'!$B$88,BD28+BC29-BL28)))</f>
        <v>120.19999999999996</v>
      </c>
      <c r="BE29" s="13">
        <f>BD29*VLOOKUP('Données projet'!$B$11,Paramètres!$A$1:$I$89,3,0)*VLOOKUP('Données projet'!$B$11,Paramètres!$A$1:$I$89,5,0)</f>
        <v>105.00671999999997</v>
      </c>
      <c r="BF29" s="13">
        <f t="shared" si="37"/>
        <v>28.151366980410856</v>
      </c>
      <c r="BG29" s="20">
        <f t="shared" si="7"/>
        <v>231.91700149088217</v>
      </c>
      <c r="BH29" s="59">
        <f t="shared" si="8"/>
        <v>520.36144593532663</v>
      </c>
      <c r="BI29" s="59">
        <f ca="1">AVERAGE(OFFSET($BH$3,0,0,'Données projet'!$E$11+1,1))-AVERAGE(OFFSET($H$3,0,0,'Données projet'!$E$11+1,1))</f>
        <v>384.34044781465661</v>
      </c>
      <c r="BJ29" s="59">
        <f t="shared" si="38"/>
        <v>374.99493809709708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11.122793583959194</v>
      </c>
      <c r="BR29" s="21">
        <f>EXP(-LN(2)/2)*BR28+(1-EXP(-LN(2)/2))/(LN(2)/2)*BL29*BO29*VLOOKUP('Données projet'!$B$11,Paramètres!$A$1:$I$89,3,0)*0.475*44/12</f>
        <v>6.1471310224353655</v>
      </c>
      <c r="BS29" s="22">
        <f t="shared" si="9"/>
        <v>17.269924606394561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4.5856818181818184</v>
      </c>
      <c r="BY29" s="12">
        <f>IF('Données projet'!$A$114&gt;35,BY28+BX29-CG28,IF(A29&lt;'Données projet'!$A$114,$BV$205^A29,IF(A29='Données projet'!$A$114,'Données projet'!$B$114,BY28+BX29-CG28)))</f>
        <v>119.22772727272735</v>
      </c>
      <c r="BZ29" s="13">
        <f>BY29*VLOOKUP('Données projet'!$B$12,Paramètres!$A$1:$I$89,3,0)*VLOOKUP('Données projet'!$B$12,Paramètres!$A$1:$I$89,5,0)</f>
        <v>113.45710527272735</v>
      </c>
      <c r="CA29" s="13">
        <f t="shared" si="39"/>
        <v>30.144032820669413</v>
      </c>
      <c r="CB29" s="20">
        <f t="shared" si="10"/>
        <v>250.10531551266604</v>
      </c>
      <c r="CC29" s="59">
        <f t="shared" si="11"/>
        <v>538.5497599571105</v>
      </c>
      <c r="CD29" s="59">
        <f ca="1">AVERAGE(OFFSET($CC$3,0,0,'Données projet'!$E$12+1,1))-AVERAGE(OFFSET($H$3,0,0,'Données projet'!$E$12+1,1))</f>
        <v>513.14430745499283</v>
      </c>
      <c r="CE29" s="59">
        <f t="shared" si="40"/>
        <v>324.2490378019823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7.3717948717948714</v>
      </c>
      <c r="CT29" s="12">
        <f>IF('Données projet'!$A$140&gt;35,CT28+CS29-DB28,IF(A29&lt;'Données projet'!$A$140,$CQ$205^A29,IF(A29='Données projet'!$A$140,'Données projet'!$B$140,CT28+CS29-DB28)))</f>
        <v>62.5</v>
      </c>
      <c r="CU29" s="17">
        <f>CT29*VLOOKUP('Données projet'!$B$13,Paramètres!$A$1:$I$89,3,0)*VLOOKUP('Données projet'!$B$13,Paramètres!$A$1:$I$89,5,0)</f>
        <v>48.75</v>
      </c>
      <c r="CV29" s="13">
        <f t="shared" si="41"/>
        <v>14.290467583875053</v>
      </c>
      <c r="CW29" s="20">
        <f t="shared" si="13"/>
        <v>109.79548104191571</v>
      </c>
      <c r="CX29" s="59">
        <f t="shared" si="14"/>
        <v>398.23992548636016</v>
      </c>
      <c r="CY29" s="59">
        <f ca="1">AVERAGE(OFFSET($CX$3,0,0,'Données projet'!$E$13+1,1))-AVERAGE(OFFSET($H$3,0,0,'Données projet'!$E$13+1,1))</f>
        <v>197.51452239559433</v>
      </c>
      <c r="CZ29" s="59">
        <f t="shared" si="42"/>
        <v>196.65166921588821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2.9380490595033573</v>
      </c>
      <c r="DH29" s="21">
        <f>EXP(-LN(2)/2)*DH28+(1-EXP(-LN(2)/2))/(LN(2)/2)*DB29*DE29*VLOOKUP('Données projet'!$B$13,Paramètres!$A$1:$I$89,3,0)*0.475*44/12</f>
        <v>2.6280968430857308</v>
      </c>
      <c r="DI29" s="22">
        <f t="shared" si="15"/>
        <v>5.5661459025890885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5.1282051282051295</v>
      </c>
      <c r="DO29" s="12">
        <f>IF('Données projet'!$A$166&gt;35,DO28+DN29-DW28,IF(A29&lt;'Données projet'!$A$166,$DL$205^A29,IF(A29='Données projet'!$A$166,'Données projet'!$B$166,DO28+DN29-DW28)))</f>
        <v>55.769230769230759</v>
      </c>
      <c r="DP29" s="17">
        <f>DO29*VLOOKUP('Données projet'!$B$14,Paramètres!$A$1:$I$89,3,0)*VLOOKUP('Données projet'!$B$14,Paramètres!$A$1:$I$89,5,0)</f>
        <v>58.29</v>
      </c>
      <c r="DQ29" s="13">
        <f t="shared" si="43"/>
        <v>16.735202513714196</v>
      </c>
      <c r="DR29" s="20">
        <f t="shared" si="16"/>
        <v>130.66889437805222</v>
      </c>
      <c r="DS29" s="59">
        <f t="shared" si="17"/>
        <v>419.11333882249664</v>
      </c>
      <c r="DT29" s="59">
        <f ca="1">AVERAGE(OFFSET($DS$3,0,0,'Données projet'!$E$14+1,1))-AVERAGE(OFFSET($H$3,0,0,'Données projet'!$E$14+1,1))</f>
        <v>239.26156489359892</v>
      </c>
      <c r="DU29" s="59">
        <f t="shared" si="44"/>
        <v>213.97034450798111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6.8262077196264626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6.8262077196264626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3.3603333333333336</v>
      </c>
      <c r="EJ29" s="12">
        <f>IF('Données projet'!$A$192&gt;35,EJ28+EI29-ER28,IF(A29&lt;'Données projet'!$A$192,$EG$205^A29,IF(A29='Données projet'!$A$192,'Données projet'!$B$192,EJ28+EI29-ER28)))</f>
        <v>87.368666666666684</v>
      </c>
      <c r="EK29" s="17">
        <f>EJ29*VLOOKUP('Données projet'!$B$15,Paramètres!$A$1:$I$89,3,0)*VLOOKUP('Données projet'!$B$15,Paramètres!$A$1:$I$89,5,0)</f>
        <v>87.228876800000023</v>
      </c>
      <c r="EL29" s="13">
        <f t="shared" si="45"/>
        <v>23.895685216548337</v>
      </c>
      <c r="EM29" s="20">
        <f t="shared" si="19"/>
        <v>193.54194551215505</v>
      </c>
      <c r="EN29" s="59">
        <f t="shared" si="20"/>
        <v>481.98638995659951</v>
      </c>
      <c r="EO29" s="59">
        <f ca="1">AVERAGE(OFFSET($EN$3,0,0,'Données projet'!$E$15+1,1))-AVERAGE(OFFSET($H$3,0,0,'Données projet'!$E$15+1,1))</f>
        <v>525.74725170626471</v>
      </c>
      <c r="EP29" s="59">
        <f t="shared" si="46"/>
        <v>259.19103598192197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3.3603333333333336</v>
      </c>
      <c r="N30" s="13">
        <f>IF('Données projet'!$A$36&gt;35,N29+M30-V29,IF(A30&lt;'Données projet'!$A$36,$K$205^A30,IF(A30='Données projet'!$A$36,'Données projet'!$B$36,N29+M30-V29)))</f>
        <v>90.729000000000013</v>
      </c>
      <c r="O30" s="13">
        <f>N30*VLOOKUP('Données projet'!$B$9,Paramètres!$A$1:$I$89,3,0)*VLOOKUP('Données projet'!$B$9,Paramètres!$A$1:$I$89,5,0)</f>
        <v>91.999206000000029</v>
      </c>
      <c r="P30" s="13">
        <f t="shared" si="33"/>
        <v>25.046767086912915</v>
      </c>
      <c r="Q30" s="20">
        <f t="shared" si="2"/>
        <v>203.85506979304003</v>
      </c>
      <c r="R30" s="59">
        <f t="shared" si="0"/>
        <v>493.52173645970674</v>
      </c>
      <c r="S30" s="59">
        <f ca="1">AVERAGE(OFFSET($R$3,0,0,'Données projet'!$E$9+1,1))-AVERAGE(OFFSET($H$3,0,0,'Données projet'!$E$9+1,1))</f>
        <v>533.26035274112917</v>
      </c>
      <c r="T30" s="59">
        <f t="shared" si="34"/>
        <v>262.58149402282521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4.5856818181818184</v>
      </c>
      <c r="AI30" s="13">
        <f>IF('Données projet'!$A$62&gt;35,AI29+AH30-AQ29,IF(A30&lt;'Données projet'!$A$62,$AF$205^A30,IF(A30='Données projet'!$A$62,'Données projet'!$B$62,AI29+AH30-AQ29)))</f>
        <v>123.81340909090918</v>
      </c>
      <c r="AJ30" s="13">
        <f>AI30*VLOOKUP('Données projet'!$B$10,Paramètres!$A$1:$I$89,3,0)*VLOOKUP('Données projet'!$B$10,Paramètres!$A$1:$I$89,5,0)</f>
        <v>112.02637254545461</v>
      </c>
      <c r="AK30" s="13">
        <f t="shared" si="35"/>
        <v>29.807905355909242</v>
      </c>
      <c r="AL30" s="20">
        <f t="shared" si="4"/>
        <v>247.02803401154202</v>
      </c>
      <c r="AM30" s="59">
        <f t="shared" si="5"/>
        <v>536.69470067820873</v>
      </c>
      <c r="AN30" s="59">
        <f ca="1">AVERAGE(OFFSET($AM$3,0,0,'Données projet'!$E$10+1,1))-AVERAGE(OFFSET($H$3,0,0,'Données projet'!$E$10+1,1))</f>
        <v>482.62991869403385</v>
      </c>
      <c r="AO30" s="59">
        <f t="shared" si="36"/>
        <v>310.43914804089906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14.2</v>
      </c>
      <c r="BD30" s="12">
        <f>IF('Données projet'!$A$88&gt;35,BD29+BC30-BL29,IF(A30&lt;'Données projet'!$A$88,$BA$205^A30,IF(A30='Données projet'!$A$88,'Données projet'!$B$88,BD29+BC30-BL29)))</f>
        <v>134.39999999999995</v>
      </c>
      <c r="BE30" s="13">
        <f>BD30*VLOOKUP('Données projet'!$B$11,Paramètres!$A$1:$I$89,3,0)*VLOOKUP('Données projet'!$B$11,Paramètres!$A$1:$I$89,5,0)</f>
        <v>117.41183999999997</v>
      </c>
      <c r="BF30" s="13">
        <f t="shared" si="37"/>
        <v>31.070589593507044</v>
      </c>
      <c r="BG30" s="20">
        <f t="shared" si="7"/>
        <v>258.60689820869135</v>
      </c>
      <c r="BH30" s="59">
        <f t="shared" si="8"/>
        <v>548.27356487535803</v>
      </c>
      <c r="BI30" s="59">
        <f ca="1">AVERAGE(OFFSET($BH$3,0,0,'Données projet'!$E$11+1,1))-AVERAGE(OFFSET($H$3,0,0,'Données projet'!$E$11+1,1))</f>
        <v>384.34044781465661</v>
      </c>
      <c r="BJ30" s="59">
        <f t="shared" si="38"/>
        <v>374.99493809709708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10.818640208483536</v>
      </c>
      <c r="BR30" s="21">
        <f>EXP(-LN(2)/2)*BR29+(1-EXP(-LN(2)/2))/(LN(2)/2)*BL30*BO30*VLOOKUP('Données projet'!$B$11,Paramètres!$A$1:$I$89,3,0)*0.475*44/12</f>
        <v>4.3466780308062427</v>
      </c>
      <c r="BS30" s="22">
        <f t="shared" si="9"/>
        <v>15.165318239289778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4.5856818181818184</v>
      </c>
      <c r="BY30" s="12">
        <f>IF('Données projet'!$A$114&gt;35,BY29+BX30-CG29,IF(A30&lt;'Données projet'!$A$114,$BV$205^A30,IF(A30='Données projet'!$A$114,'Données projet'!$B$114,BY29+BX30-CG29)))</f>
        <v>123.81340909090918</v>
      </c>
      <c r="BZ30" s="13">
        <f>BY30*VLOOKUP('Données projet'!$B$12,Paramètres!$A$1:$I$89,3,0)*VLOOKUP('Données projet'!$B$12,Paramètres!$A$1:$I$89,5,0)</f>
        <v>117.82084009090917</v>
      </c>
      <c r="CA30" s="13">
        <f t="shared" si="39"/>
        <v>31.166205196736666</v>
      </c>
      <c r="CB30" s="20">
        <f t="shared" si="10"/>
        <v>259.48577054264979</v>
      </c>
      <c r="CC30" s="59">
        <f t="shared" si="11"/>
        <v>549.15243720931653</v>
      </c>
      <c r="CD30" s="59">
        <f ca="1">AVERAGE(OFFSET($CC$3,0,0,'Données projet'!$E$12+1,1))-AVERAGE(OFFSET($H$3,0,0,'Données projet'!$E$12+1,1))</f>
        <v>513.14430745499283</v>
      </c>
      <c r="CE30" s="59">
        <f t="shared" si="40"/>
        <v>324.2490378019823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7.3717948717948714</v>
      </c>
      <c r="CT30" s="12">
        <f>IF('Données projet'!$A$140&gt;35,CT29+CS30-DB29,IF(A30&lt;'Données projet'!$A$140,$CQ$205^A30,IF(A30='Données projet'!$A$140,'Données projet'!$B$140,CT29+CS30-DB29)))</f>
        <v>69.871794871794876</v>
      </c>
      <c r="CU30" s="17">
        <f>CT30*VLOOKUP('Données projet'!$B$13,Paramètres!$A$1:$I$89,3,0)*VLOOKUP('Données projet'!$B$13,Paramètres!$A$1:$I$89,5,0)</f>
        <v>54.500000000000007</v>
      </c>
      <c r="CV30" s="13">
        <f t="shared" si="41"/>
        <v>15.770011654349027</v>
      </c>
      <c r="CW30" s="20">
        <f t="shared" si="13"/>
        <v>122.38693696465789</v>
      </c>
      <c r="CX30" s="59">
        <f t="shared" si="14"/>
        <v>412.05360363132456</v>
      </c>
      <c r="CY30" s="59">
        <f ca="1">AVERAGE(OFFSET($CX$3,0,0,'Données projet'!$E$13+1,1))-AVERAGE(OFFSET($H$3,0,0,'Données projet'!$E$13+1,1))</f>
        <v>197.51452239559433</v>
      </c>
      <c r="CZ30" s="59">
        <f t="shared" si="42"/>
        <v>196.65166921588821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2.8577079534659529</v>
      </c>
      <c r="DH30" s="21">
        <f>EXP(-LN(2)/2)*DH29+(1-EXP(-LN(2)/2))/(LN(2)/2)*DB30*DE30*VLOOKUP('Données projet'!$B$13,Paramètres!$A$1:$I$89,3,0)*0.475*44/12</f>
        <v>1.8583450993608783</v>
      </c>
      <c r="DI30" s="22">
        <f t="shared" si="15"/>
        <v>4.7160530528268314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5.1282051282051295</v>
      </c>
      <c r="DO30" s="12">
        <f>IF('Données projet'!$A$166&gt;35,DO29+DN30-DW29,IF(A30&lt;'Données projet'!$A$166,$DL$205^A30,IF(A30='Données projet'!$A$166,'Données projet'!$B$166,DO29+DN30-DW29)))</f>
        <v>60.897435897435891</v>
      </c>
      <c r="DP30" s="17">
        <f>DO30*VLOOKUP('Données projet'!$B$14,Paramètres!$A$1:$I$89,3,0)*VLOOKUP('Données projet'!$B$14,Paramètres!$A$1:$I$89,5,0)</f>
        <v>63.65</v>
      </c>
      <c r="DQ30" s="13">
        <f t="shared" si="43"/>
        <v>18.0879079069433</v>
      </c>
      <c r="DR30" s="20">
        <f t="shared" si="16"/>
        <v>142.36018960459288</v>
      </c>
      <c r="DS30" s="59">
        <f t="shared" si="17"/>
        <v>432.02685627125959</v>
      </c>
      <c r="DT30" s="59">
        <f ca="1">AVERAGE(OFFSET($DS$3,0,0,'Données projet'!$E$14+1,1))-AVERAGE(OFFSET($H$3,0,0,'Données projet'!$E$14+1,1))</f>
        <v>239.26156489359892</v>
      </c>
      <c r="DU30" s="59">
        <f t="shared" si="44"/>
        <v>213.97034450798111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6.6395447105586145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6.6395447105586145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3.3603333333333336</v>
      </c>
      <c r="EJ30" s="12">
        <f>IF('Données projet'!$A$192&gt;35,EJ29+EI30-ER29,IF(A30&lt;'Données projet'!$A$192,$EG$205^A30,IF(A30='Données projet'!$A$192,'Données projet'!$B$192,EJ29+EI30-ER29)))</f>
        <v>90.729000000000013</v>
      </c>
      <c r="EK30" s="17">
        <f>EJ30*VLOOKUP('Données projet'!$B$15,Paramètres!$A$1:$I$89,3,0)*VLOOKUP('Données projet'!$B$15,Paramètres!$A$1:$I$89,5,0)</f>
        <v>90.58383360000002</v>
      </c>
      <c r="EL30" s="13">
        <f t="shared" si="45"/>
        <v>24.705978566507994</v>
      </c>
      <c r="EM30" s="20">
        <f t="shared" si="19"/>
        <v>200.7964228566681</v>
      </c>
      <c r="EN30" s="59">
        <f t="shared" si="20"/>
        <v>490.46308952333482</v>
      </c>
      <c r="EO30" s="59">
        <f ca="1">AVERAGE(OFFSET($EN$3,0,0,'Données projet'!$E$15+1,1))-AVERAGE(OFFSET($H$3,0,0,'Données projet'!$E$15+1,1))</f>
        <v>525.74725170626471</v>
      </c>
      <c r="EP30" s="59">
        <f t="shared" si="46"/>
        <v>259.19103598192197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3.3603333333333336</v>
      </c>
      <c r="N31" s="13">
        <f>IF('Données projet'!$A$36&gt;35,N30+M31-V30,IF(A31&lt;'Données projet'!$A$36,$K$205^A31,IF(A31='Données projet'!$A$36,'Données projet'!$B$36,N30+M31-V30)))</f>
        <v>94.089333333333343</v>
      </c>
      <c r="O31" s="13">
        <f>N31*VLOOKUP('Données projet'!$B$9,Paramètres!$A$1:$I$89,3,0)*VLOOKUP('Données projet'!$B$9,Paramètres!$A$1:$I$89,5,0)</f>
        <v>95.406584000000024</v>
      </c>
      <c r="P31" s="13">
        <f t="shared" si="33"/>
        <v>25.864702754127851</v>
      </c>
      <c r="Q31" s="20">
        <f t="shared" si="2"/>
        <v>211.21415776343937</v>
      </c>
      <c r="R31" s="59">
        <f t="shared" si="0"/>
        <v>502.1030466523282</v>
      </c>
      <c r="S31" s="59">
        <f ca="1">AVERAGE(OFFSET($R$3,0,0,'Données projet'!$E$9+1,1))-AVERAGE(OFFSET($H$3,0,0,'Données projet'!$E$9+1,1))</f>
        <v>533.26035274112917</v>
      </c>
      <c r="T31" s="59">
        <f t="shared" si="34"/>
        <v>262.58149402282521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4.5856818181818184</v>
      </c>
      <c r="AI31" s="13">
        <f>IF('Données projet'!$A$62&gt;35,AI30+AH31-AQ30,IF(A31&lt;'Données projet'!$A$62,$AF$205^A31,IF(A31='Données projet'!$A$62,'Données projet'!$B$62,AI30+AH31-AQ30)))</f>
        <v>128.399090909091</v>
      </c>
      <c r="AJ31" s="13">
        <f>AI31*VLOOKUP('Données projet'!$B$10,Paramètres!$A$1:$I$89,3,0)*VLOOKUP('Données projet'!$B$10,Paramètres!$A$1:$I$89,5,0)</f>
        <v>116.17549745454552</v>
      </c>
      <c r="AK31" s="13">
        <f t="shared" si="35"/>
        <v>30.781322359028373</v>
      </c>
      <c r="AL31" s="20">
        <f t="shared" si="4"/>
        <v>255.94979450864125</v>
      </c>
      <c r="AM31" s="59">
        <f t="shared" si="5"/>
        <v>546.83868339753008</v>
      </c>
      <c r="AN31" s="59">
        <f ca="1">AVERAGE(OFFSET($AM$3,0,0,'Données projet'!$E$10+1,1))-AVERAGE(OFFSET($H$3,0,0,'Données projet'!$E$10+1,1))</f>
        <v>482.62991869403385</v>
      </c>
      <c r="AO31" s="59">
        <f t="shared" si="36"/>
        <v>310.43914804089906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14.2</v>
      </c>
      <c r="BD31" s="12">
        <f>IF('Données projet'!$A$88&gt;35,BD30+BC31-BL30,IF(A31&lt;'Données projet'!$A$88,$BA$205^A31,IF(A31='Données projet'!$A$88,'Données projet'!$B$88,BD30+BC31-BL30)))</f>
        <v>148.59999999999994</v>
      </c>
      <c r="BE31" s="13">
        <f>BD31*VLOOKUP('Données projet'!$B$11,Paramètres!$A$1:$I$89,3,0)*VLOOKUP('Données projet'!$B$11,Paramètres!$A$1:$I$89,5,0)</f>
        <v>129.81695999999997</v>
      </c>
      <c r="BF31" s="13">
        <f t="shared" si="37"/>
        <v>33.954060694815986</v>
      </c>
      <c r="BG31" s="20">
        <f t="shared" si="7"/>
        <v>285.23452771013774</v>
      </c>
      <c r="BH31" s="59">
        <f t="shared" si="8"/>
        <v>576.12341659902654</v>
      </c>
      <c r="BI31" s="59">
        <f ca="1">AVERAGE(OFFSET($BH$3,0,0,'Données projet'!$E$11+1,1))-AVERAGE(OFFSET($H$3,0,0,'Données projet'!$E$11+1,1))</f>
        <v>384.34044781465661</v>
      </c>
      <c r="BJ31" s="59">
        <f t="shared" si="38"/>
        <v>374.99493809709708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10.522803923054992</v>
      </c>
      <c r="BR31" s="21">
        <f>EXP(-LN(2)/2)*BR30+(1-EXP(-LN(2)/2))/(LN(2)/2)*BL31*BO31*VLOOKUP('Données projet'!$B$11,Paramètres!$A$1:$I$89,3,0)*0.475*44/12</f>
        <v>3.0735655112176832</v>
      </c>
      <c r="BS31" s="22">
        <f t="shared" si="9"/>
        <v>13.596369434272676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4.5856818181818184</v>
      </c>
      <c r="BY31" s="12">
        <f>IF('Données projet'!$A$114&gt;35,BY30+BX31-CG30,IF(A31&lt;'Données projet'!$A$114,$BV$205^A31,IF(A31='Données projet'!$A$114,'Données projet'!$B$114,BY30+BX31-CG30)))</f>
        <v>128.399090909091</v>
      </c>
      <c r="BZ31" s="13">
        <f>BY31*VLOOKUP('Données projet'!$B$12,Paramètres!$A$1:$I$89,3,0)*VLOOKUP('Données projet'!$B$12,Paramètres!$A$1:$I$89,5,0)</f>
        <v>122.184574909091</v>
      </c>
      <c r="CA31" s="13">
        <f t="shared" si="39"/>
        <v>32.183979297230053</v>
      </c>
      <c r="CB31" s="20">
        <f t="shared" si="10"/>
        <v>268.85856524267581</v>
      </c>
      <c r="CC31" s="59">
        <f t="shared" si="11"/>
        <v>559.74745413156461</v>
      </c>
      <c r="CD31" s="59">
        <f ca="1">AVERAGE(OFFSET($CC$3,0,0,'Données projet'!$E$12+1,1))-AVERAGE(OFFSET($H$3,0,0,'Données projet'!$E$12+1,1))</f>
        <v>513.14430745499283</v>
      </c>
      <c r="CE31" s="59">
        <f t="shared" si="40"/>
        <v>324.2490378019823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7.3717948717948714</v>
      </c>
      <c r="CT31" s="12">
        <f>IF('Données projet'!$A$140&gt;35,CT30+CS31-DB30,IF(A31&lt;'Données projet'!$A$140,$CQ$205^A31,IF(A31='Données projet'!$A$140,'Données projet'!$B$140,CT30+CS31-DB30)))</f>
        <v>77.243589743589752</v>
      </c>
      <c r="CU31" s="17">
        <f>CT31*VLOOKUP('Données projet'!$B$13,Paramètres!$A$1:$I$89,3,0)*VLOOKUP('Données projet'!$B$13,Paramètres!$A$1:$I$89,5,0)</f>
        <v>60.250000000000007</v>
      </c>
      <c r="CV31" s="13">
        <f t="shared" si="41"/>
        <v>17.231461552057397</v>
      </c>
      <c r="CW31" s="20">
        <f t="shared" si="13"/>
        <v>134.94687886983328</v>
      </c>
      <c r="CX31" s="59">
        <f t="shared" si="14"/>
        <v>425.83576775872211</v>
      </c>
      <c r="CY31" s="59">
        <f ca="1">AVERAGE(OFFSET($CX$3,0,0,'Données projet'!$E$13+1,1))-AVERAGE(OFFSET($H$3,0,0,'Données projet'!$E$13+1,1))</f>
        <v>197.51452239559433</v>
      </c>
      <c r="CZ31" s="59">
        <f t="shared" si="42"/>
        <v>196.65166921588821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2.7795637791980963</v>
      </c>
      <c r="DH31" s="21">
        <f>EXP(-LN(2)/2)*DH30+(1-EXP(-LN(2)/2))/(LN(2)/2)*DB31*DE31*VLOOKUP('Données projet'!$B$13,Paramètres!$A$1:$I$89,3,0)*0.475*44/12</f>
        <v>1.3140484215428656</v>
      </c>
      <c r="DI31" s="22">
        <f t="shared" si="15"/>
        <v>4.0936122007409619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5.1282051282051295</v>
      </c>
      <c r="DO31" s="12">
        <f>IF('Données projet'!$A$166&gt;35,DO30+DN31-DW30,IF(A31&lt;'Données projet'!$A$166,$DL$205^A31,IF(A31='Données projet'!$A$166,'Données projet'!$B$166,DO30+DN31-DW30)))</f>
        <v>66.025641025641022</v>
      </c>
      <c r="DP31" s="17">
        <f>DO31*VLOOKUP('Données projet'!$B$14,Paramètres!$A$1:$I$89,3,0)*VLOOKUP('Données projet'!$B$14,Paramètres!$A$1:$I$89,5,0)</f>
        <v>69.010000000000005</v>
      </c>
      <c r="DQ31" s="13">
        <f t="shared" si="43"/>
        <v>19.427402242100008</v>
      </c>
      <c r="DR31" s="20">
        <f t="shared" si="16"/>
        <v>154.02847557165751</v>
      </c>
      <c r="DS31" s="59">
        <f t="shared" si="17"/>
        <v>444.91736446054637</v>
      </c>
      <c r="DT31" s="59">
        <f ca="1">AVERAGE(OFFSET($DS$3,0,0,'Données projet'!$E$14+1,1))-AVERAGE(OFFSET($H$3,0,0,'Données projet'!$E$14+1,1))</f>
        <v>239.26156489359892</v>
      </c>
      <c r="DU31" s="59">
        <f t="shared" si="44"/>
        <v>213.97034450798111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6.4579860112899077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6.4579860112899077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3.3603333333333336</v>
      </c>
      <c r="EJ31" s="12">
        <f>IF('Données projet'!$A$192&gt;35,EJ30+EI31-ER30,IF(A31&lt;'Données projet'!$A$192,$EG$205^A31,IF(A31='Données projet'!$A$192,'Données projet'!$B$192,EJ30+EI31-ER30)))</f>
        <v>94.089333333333343</v>
      </c>
      <c r="EK31" s="17">
        <f>EJ31*VLOOKUP('Données projet'!$B$15,Paramètres!$A$1:$I$89,3,0)*VLOOKUP('Données projet'!$B$15,Paramètres!$A$1:$I$89,5,0)</f>
        <v>93.938790400000016</v>
      </c>
      <c r="EL31" s="13">
        <f t="shared" si="45"/>
        <v>25.512785328948564</v>
      </c>
      <c r="EM31" s="20">
        <f t="shared" si="19"/>
        <v>208.0448277279188</v>
      </c>
      <c r="EN31" s="59">
        <f t="shared" si="20"/>
        <v>498.93371661680766</v>
      </c>
      <c r="EO31" s="59">
        <f ca="1">AVERAGE(OFFSET($EN$3,0,0,'Données projet'!$E$15+1,1))-AVERAGE(OFFSET($H$3,0,0,'Données projet'!$E$15+1,1))</f>
        <v>525.74725170626471</v>
      </c>
      <c r="EP31" s="59">
        <f t="shared" si="46"/>
        <v>259.19103598192197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3.3603333333333336</v>
      </c>
      <c r="N32" s="13">
        <f>IF('Données projet'!$A$36&gt;35,N31+M32-V31,IF(A32&lt;'Données projet'!$A$36,$K$205^A32,IF(A32='Données projet'!$A$36,'Données projet'!$B$36,N31+M32-V31)))</f>
        <v>97.449666666666673</v>
      </c>
      <c r="O32" s="13">
        <f>N32*VLOOKUP('Données projet'!$B$9,Paramètres!$A$1:$I$89,3,0)*VLOOKUP('Données projet'!$B$9,Paramètres!$A$1:$I$89,5,0)</f>
        <v>98.813962000000018</v>
      </c>
      <c r="P32" s="13">
        <f t="shared" si="33"/>
        <v>26.679244441706949</v>
      </c>
      <c r="Q32" s="20">
        <f t="shared" si="2"/>
        <v>218.56733455263964</v>
      </c>
      <c r="R32" s="59">
        <f t="shared" si="0"/>
        <v>510.67844566375078</v>
      </c>
      <c r="S32" s="59">
        <f ca="1">AVERAGE(OFFSET($R$3,0,0,'Données projet'!$E$9+1,1))-AVERAGE(OFFSET($H$3,0,0,'Données projet'!$E$9+1,1))</f>
        <v>533.26035274112917</v>
      </c>
      <c r="T32" s="59">
        <f t="shared" si="34"/>
        <v>262.58149402282521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4.5856818181818184</v>
      </c>
      <c r="AI32" s="13">
        <f>IF('Données projet'!$A$62&gt;35,AI31+AH32-AQ31,IF(A32&lt;'Données projet'!$A$62,$AF$205^A32,IF(A32='Données projet'!$A$62,'Données projet'!$B$62,AI31+AH32-AQ31)))</f>
        <v>132.98477272727283</v>
      </c>
      <c r="AJ32" s="13">
        <f>AI32*VLOOKUP('Données projet'!$B$10,Paramètres!$A$1:$I$89,3,0)*VLOOKUP('Données projet'!$B$10,Paramètres!$A$1:$I$89,5,0)</f>
        <v>120.32462236363645</v>
      </c>
      <c r="AK32" s="13">
        <f t="shared" si="35"/>
        <v>31.750700221151241</v>
      </c>
      <c r="AL32" s="20">
        <f t="shared" si="4"/>
        <v>264.86452016850518</v>
      </c>
      <c r="AM32" s="59">
        <f t="shared" si="5"/>
        <v>556.97563127961632</v>
      </c>
      <c r="AN32" s="59">
        <f ca="1">AVERAGE(OFFSET($AM$3,0,0,'Données projet'!$E$10+1,1))-AVERAGE(OFFSET($H$3,0,0,'Données projet'!$E$10+1,1))</f>
        <v>482.62991869403385</v>
      </c>
      <c r="AO32" s="59">
        <f t="shared" si="36"/>
        <v>310.43914804089906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14.2</v>
      </c>
      <c r="BD32" s="12">
        <f>IF('Données projet'!$A$88&gt;35,BD31+BC32-BL31,IF(A32&lt;'Données projet'!$A$88,$BA$205^A32,IF(A32='Données projet'!$A$88,'Données projet'!$B$88,BD31+BC32-BL31)))</f>
        <v>162.79999999999993</v>
      </c>
      <c r="BE32" s="13">
        <f>BD32*VLOOKUP('Données projet'!$B$11,Paramètres!$A$1:$I$89,3,0)*VLOOKUP('Données projet'!$B$11,Paramètres!$A$1:$I$89,5,0)</f>
        <v>142.22207999999995</v>
      </c>
      <c r="BF32" s="13">
        <f t="shared" si="37"/>
        <v>36.805585341198615</v>
      </c>
      <c r="BG32" s="20">
        <f t="shared" si="7"/>
        <v>311.80651713592084</v>
      </c>
      <c r="BH32" s="59">
        <f t="shared" si="8"/>
        <v>603.91762824703198</v>
      </c>
      <c r="BI32" s="59">
        <f ca="1">AVERAGE(OFFSET($BH$3,0,0,'Données projet'!$E$11+1,1))-AVERAGE(OFFSET($H$3,0,0,'Données projet'!$E$11+1,1))</f>
        <v>384.34044781465661</v>
      </c>
      <c r="BJ32" s="59">
        <f t="shared" si="38"/>
        <v>374.99493809709708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10.235057296408845</v>
      </c>
      <c r="BR32" s="21">
        <f>EXP(-LN(2)/2)*BR31+(1-EXP(-LN(2)/2))/(LN(2)/2)*BL32*BO32*VLOOKUP('Données projet'!$B$11,Paramètres!$A$1:$I$89,3,0)*0.475*44/12</f>
        <v>2.1733390154031214</v>
      </c>
      <c r="BS32" s="22">
        <f t="shared" si="9"/>
        <v>12.408396311811966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4.5856818181818184</v>
      </c>
      <c r="BY32" s="12">
        <f>IF('Données projet'!$A$114&gt;35,BY31+BX32-CG31,IF(A32&lt;'Données projet'!$A$114,$BV$205^A32,IF(A32='Données projet'!$A$114,'Données projet'!$B$114,BY31+BX32-CG31)))</f>
        <v>132.98477272727283</v>
      </c>
      <c r="BZ32" s="13">
        <f>BY32*VLOOKUP('Données projet'!$B$12,Paramètres!$A$1:$I$89,3,0)*VLOOKUP('Données projet'!$B$12,Paramètres!$A$1:$I$89,5,0)</f>
        <v>126.54830972727281</v>
      </c>
      <c r="CA32" s="13">
        <f t="shared" si="39"/>
        <v>33.197530199360308</v>
      </c>
      <c r="CB32" s="20">
        <f t="shared" si="10"/>
        <v>278.22400453888599</v>
      </c>
      <c r="CC32" s="59">
        <f t="shared" si="11"/>
        <v>570.33511564999708</v>
      </c>
      <c r="CD32" s="59">
        <f ca="1">AVERAGE(OFFSET($CC$3,0,0,'Données projet'!$E$12+1,1))-AVERAGE(OFFSET($H$3,0,0,'Données projet'!$E$12+1,1))</f>
        <v>513.14430745499283</v>
      </c>
      <c r="CE32" s="59">
        <f t="shared" si="40"/>
        <v>324.2490378019823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7.3717948717948714</v>
      </c>
      <c r="CT32" s="12">
        <f>IF('Données projet'!$A$140&gt;35,CT31+CS32-DB31,IF(A32&lt;'Données projet'!$A$140,$CQ$205^A32,IF(A32='Données projet'!$A$140,'Données projet'!$B$140,CT31+CS32-DB31)))</f>
        <v>84.615384615384627</v>
      </c>
      <c r="CU32" s="17">
        <f>CT32*VLOOKUP('Données projet'!$B$13,Paramètres!$A$1:$I$89,3,0)*VLOOKUP('Données projet'!$B$13,Paramètres!$A$1:$I$89,5,0)</f>
        <v>66.000000000000014</v>
      </c>
      <c r="CV32" s="13">
        <f t="shared" si="41"/>
        <v>18.676740573099728</v>
      </c>
      <c r="CW32" s="20">
        <f t="shared" si="13"/>
        <v>147.47865649814872</v>
      </c>
      <c r="CX32" s="59">
        <f t="shared" si="14"/>
        <v>439.58976760925987</v>
      </c>
      <c r="CY32" s="59">
        <f ca="1">AVERAGE(OFFSET($CX$3,0,0,'Données projet'!$E$13+1,1))-AVERAGE(OFFSET($H$3,0,0,'Données projet'!$E$13+1,1))</f>
        <v>197.51452239559433</v>
      </c>
      <c r="CZ32" s="59">
        <f t="shared" si="42"/>
        <v>196.65166921588821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2.703556461485018</v>
      </c>
      <c r="DH32" s="21">
        <f>EXP(-LN(2)/2)*DH31+(1-EXP(-LN(2)/2))/(LN(2)/2)*DB32*DE32*VLOOKUP('Données projet'!$B$13,Paramètres!$A$1:$I$89,3,0)*0.475*44/12</f>
        <v>0.92917254968043927</v>
      </c>
      <c r="DI32" s="22">
        <f t="shared" si="15"/>
        <v>3.6327290111654573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5.1282051282051295</v>
      </c>
      <c r="DO32" s="12">
        <f>IF('Données projet'!$A$166&gt;35,DO31+DN32-DW31,IF(A32&lt;'Données projet'!$A$166,$DL$205^A32,IF(A32='Données projet'!$A$166,'Données projet'!$B$166,DO31+DN32-DW31)))</f>
        <v>71.153846153846146</v>
      </c>
      <c r="DP32" s="17">
        <f>DO32*VLOOKUP('Données projet'!$B$14,Paramètres!$A$1:$I$89,3,0)*VLOOKUP('Données projet'!$B$14,Paramètres!$A$1:$I$89,5,0)</f>
        <v>74.36999999999999</v>
      </c>
      <c r="DQ32" s="13">
        <f t="shared" si="43"/>
        <v>20.754828284827131</v>
      </c>
      <c r="DR32" s="20">
        <f t="shared" si="16"/>
        <v>165.67574259607389</v>
      </c>
      <c r="DS32" s="59">
        <f t="shared" si="17"/>
        <v>457.78685370718506</v>
      </c>
      <c r="DT32" s="59">
        <f ca="1">AVERAGE(OFFSET($DS$3,0,0,'Données projet'!$E$14+1,1))-AVERAGE(OFFSET($H$3,0,0,'Données projet'!$E$14+1,1))</f>
        <v>239.26156489359892</v>
      </c>
      <c r="DU32" s="59">
        <f t="shared" si="44"/>
        <v>213.97034450798111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6.2813920442004605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6.2813920442004605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3.3603333333333336</v>
      </c>
      <c r="EJ32" s="12">
        <f>IF('Données projet'!$A$192&gt;35,EJ31+EI32-ER31,IF(A32&lt;'Données projet'!$A$192,$EG$205^A32,IF(A32='Données projet'!$A$192,'Données projet'!$B$192,EJ31+EI32-ER31)))</f>
        <v>97.449666666666673</v>
      </c>
      <c r="EK32" s="17">
        <f>EJ32*VLOOKUP('Données projet'!$B$15,Paramètres!$A$1:$I$89,3,0)*VLOOKUP('Données projet'!$B$15,Paramètres!$A$1:$I$89,5,0)</f>
        <v>97.293747200000013</v>
      </c>
      <c r="EL32" s="13">
        <f t="shared" si="45"/>
        <v>26.316244290539313</v>
      </c>
      <c r="EM32" s="20">
        <f t="shared" si="19"/>
        <v>215.28740184602262</v>
      </c>
      <c r="EN32" s="59">
        <f t="shared" si="20"/>
        <v>507.39851295713379</v>
      </c>
      <c r="EO32" s="59">
        <f ca="1">AVERAGE(OFFSET($EN$3,0,0,'Données projet'!$E$15+1,1))-AVERAGE(OFFSET($H$3,0,0,'Données projet'!$E$15+1,1))</f>
        <v>525.74725170626471</v>
      </c>
      <c r="EP32" s="59">
        <f t="shared" si="46"/>
        <v>259.19103598192197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3.3603333333333336</v>
      </c>
      <c r="N33" s="13">
        <f>IF('Données projet'!$A$36&gt;35,N32+M33-V32,IF(A33&lt;'Données projet'!$A$36,$K$205^A33,IF(A33='Données projet'!$A$36,'Données projet'!$B$36,N32+M33-V32)))</f>
        <v>100.81</v>
      </c>
      <c r="O33" s="13">
        <f>N33*VLOOKUP('Données projet'!$B$9,Paramètres!$A$1:$I$89,3,0)*VLOOKUP('Données projet'!$B$9,Paramètres!$A$1:$I$89,5,0)</f>
        <v>102.22134</v>
      </c>
      <c r="P33" s="13">
        <f t="shared" si="33"/>
        <v>27.490522596837476</v>
      </c>
      <c r="Q33" s="20">
        <f t="shared" si="2"/>
        <v>225.91482735615861</v>
      </c>
      <c r="R33" s="59">
        <f t="shared" si="0"/>
        <v>519.2481606894919</v>
      </c>
      <c r="S33" s="59">
        <f ca="1">AVERAGE(OFFSET($R$3,0,0,'Données projet'!$E$9+1,1))-AVERAGE(OFFSET($H$3,0,0,'Données projet'!$E$9+1,1))</f>
        <v>533.26035274112917</v>
      </c>
      <c r="T33" s="59">
        <f t="shared" si="34"/>
        <v>262.58149402282521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4.5856818181818184</v>
      </c>
      <c r="AI33" s="13">
        <f>IF('Données projet'!$A$62&gt;35,AI32+AH33-AQ32,IF(A33&lt;'Données projet'!$A$62,$AF$205^A33,IF(A33='Données projet'!$A$62,'Données projet'!$B$62,AI32+AH33-AQ32)))</f>
        <v>137.57045454545465</v>
      </c>
      <c r="AJ33" s="13">
        <f>AI33*VLOOKUP('Données projet'!$B$10,Paramètres!$A$1:$I$89,3,0)*VLOOKUP('Données projet'!$B$10,Paramètres!$A$1:$I$89,5,0)</f>
        <v>124.47374727272737</v>
      </c>
      <c r="AK33" s="13">
        <f t="shared" si="35"/>
        <v>32.716194186162085</v>
      </c>
      <c r="AL33" s="20">
        <f t="shared" si="4"/>
        <v>273.77248137423243</v>
      </c>
      <c r="AM33" s="59">
        <f t="shared" si="5"/>
        <v>567.10581470756574</v>
      </c>
      <c r="AN33" s="59">
        <f ca="1">AVERAGE(OFFSET($AM$3,0,0,'Données projet'!$E$10+1,1))-AVERAGE(OFFSET($H$3,0,0,'Données projet'!$E$10+1,1))</f>
        <v>482.62991869403385</v>
      </c>
      <c r="AO33" s="59">
        <f t="shared" si="36"/>
        <v>310.43914804089906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177</v>
      </c>
      <c r="BB33" s="12">
        <f>VLOOKUP(A33,'Données projet'!$A$87:$I$107,9,0)</f>
        <v>14.2</v>
      </c>
      <c r="BC33" s="12">
        <f t="array" ref="BC33">INDEX(BB:BB,MIN(IF(ISNUMBER(BB33:BB229),ROW(BB33:BB229),"")))</f>
        <v>14.2</v>
      </c>
      <c r="BD33" s="12">
        <f>IF('Données projet'!$A$88&gt;35,BD32+BC33-BL32,IF(A33&lt;'Données projet'!$A$88,$BA$205^A33,IF(A33='Données projet'!$A$88,'Données projet'!$B$88,BD32+BC33-BL32)))</f>
        <v>176.99999999999991</v>
      </c>
      <c r="BE33" s="13">
        <f>BD33*VLOOKUP('Données projet'!$B$11,Paramètres!$A$1:$I$89,3,0)*VLOOKUP('Données projet'!$B$11,Paramètres!$A$1:$I$89,5,0)</f>
        <v>154.62719999999996</v>
      </c>
      <c r="BF33" s="13">
        <f t="shared" si="37"/>
        <v>39.62826685000794</v>
      </c>
      <c r="BG33" s="20">
        <f t="shared" si="7"/>
        <v>338.32827143043039</v>
      </c>
      <c r="BH33" s="59">
        <f t="shared" si="8"/>
        <v>631.66160476376376</v>
      </c>
      <c r="BI33" s="59">
        <f ca="1">AVERAGE(OFFSET($BH$3,0,0,'Données projet'!$E$11+1,1))-AVERAGE(OFFSET($H$3,0,0,'Données projet'!$E$11+1,1))</f>
        <v>384.34044781465661</v>
      </c>
      <c r="BJ33" s="59">
        <f t="shared" si="38"/>
        <v>374.99493809709708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35</v>
      </c>
      <c r="BM33" s="16">
        <f>IF(ISNA(VLOOKUP(A33,'Données projet'!$A$87:$I$107,5,0)),0%,VLOOKUP(A33,'Données projet'!$A$87:$I$107,5,0)*VLOOKUP('Données projet'!$B$11,Paramètres!$A$1:$I$89,7,0))</f>
        <v>0.13250000000000001</v>
      </c>
      <c r="BN33" s="16">
        <f>IF(ISNA(VLOOKUP(A33,'Données projet'!$A$87:$I$107,6,0)),0%,VLOOKUP(A33,'Données projet'!$A$87:$I$107,6,0)*VLOOKUP('Données projet'!$B$11,Paramètres!$A$1:$I$89,7,0))</f>
        <v>0.13250000000000001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4.4786142580094328</v>
      </c>
      <c r="BQ33" s="21">
        <f>EXP(-LN(2)/25)*BQ32+(1-EXP(-LN(2)/25))/(LN(2)/25)*Calculateur!BL33*Calculateur!BN33*VLOOKUP('Données projet'!$B$11,Paramètres!$A$1:$I$89,3,0)*0.475*44/12</f>
        <v>14.416159363590104</v>
      </c>
      <c r="BR33" s="21">
        <f>EXP(-LN(2)/2)*BR32+(1-EXP(-LN(2)/2))/(LN(2)/2)*BL33*BO33*VLOOKUP('Données projet'!$B$11,Paramètres!$A$1:$I$89,3,0)*0.475*44/12</f>
        <v>8.7491024908524295</v>
      </c>
      <c r="BS33" s="22">
        <f t="shared" si="9"/>
        <v>27.643876112451967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4.5856818181818184</v>
      </c>
      <c r="BY33" s="12">
        <f>IF('Données projet'!$A$114&gt;35,BY32+BX33-CG32,IF(A33&lt;'Données projet'!$A$114,$BV$205^A33,IF(A33='Données projet'!$A$114,'Données projet'!$B$114,BY32+BX33-CG32)))</f>
        <v>137.57045454545465</v>
      </c>
      <c r="BZ33" s="13">
        <f>BY33*VLOOKUP('Données projet'!$B$12,Paramètres!$A$1:$I$89,3,0)*VLOOKUP('Données projet'!$B$12,Paramètres!$A$1:$I$89,5,0)</f>
        <v>130.91204454545465</v>
      </c>
      <c r="CA33" s="13">
        <f t="shared" si="39"/>
        <v>34.207020221233805</v>
      </c>
      <c r="CB33" s="20">
        <f t="shared" si="10"/>
        <v>287.58237113531567</v>
      </c>
      <c r="CC33" s="59">
        <f t="shared" si="11"/>
        <v>580.91570446864898</v>
      </c>
      <c r="CD33" s="59">
        <f ca="1">AVERAGE(OFFSET($CC$3,0,0,'Données projet'!$E$12+1,1))-AVERAGE(OFFSET($H$3,0,0,'Données projet'!$E$12+1,1))</f>
        <v>513.14430745499283</v>
      </c>
      <c r="CE33" s="59">
        <f t="shared" si="40"/>
        <v>324.2490378019823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7.3717948717948714</v>
      </c>
      <c r="CT33" s="12">
        <f>IF('Données projet'!$A$140&gt;35,CT32+CS33-DB32,IF(A33&lt;'Données projet'!$A$140,$CQ$205^A33,IF(A33='Données projet'!$A$140,'Données projet'!$B$140,CT32+CS33-DB32)))</f>
        <v>91.987179487179503</v>
      </c>
      <c r="CU33" s="17">
        <f>CT33*VLOOKUP('Données projet'!$B$13,Paramètres!$A$1:$I$89,3,0)*VLOOKUP('Données projet'!$B$13,Paramètres!$A$1:$I$89,5,0)</f>
        <v>71.750000000000014</v>
      </c>
      <c r="CV33" s="13">
        <f t="shared" si="41"/>
        <v>20.107417731610468</v>
      </c>
      <c r="CW33" s="20">
        <f t="shared" si="13"/>
        <v>159.98500254922158</v>
      </c>
      <c r="CX33" s="59">
        <f t="shared" si="14"/>
        <v>453.31833588255489</v>
      </c>
      <c r="CY33" s="59">
        <f ca="1">AVERAGE(OFFSET($CX$3,0,0,'Données projet'!$E$13+1,1))-AVERAGE(OFFSET($H$3,0,0,'Données projet'!$E$13+1,1))</f>
        <v>197.51452239559433</v>
      </c>
      <c r="CZ33" s="59">
        <f t="shared" si="42"/>
        <v>196.65166921588821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2.629627567871855</v>
      </c>
      <c r="DH33" s="21">
        <f>EXP(-LN(2)/2)*DH32+(1-EXP(-LN(2)/2))/(LN(2)/2)*DB33*DE33*VLOOKUP('Données projet'!$B$13,Paramètres!$A$1:$I$89,3,0)*0.475*44/12</f>
        <v>0.65702421077143291</v>
      </c>
      <c r="DI33" s="22">
        <f t="shared" si="15"/>
        <v>3.2866517786432881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76.282051282051285</v>
      </c>
      <c r="DM33" s="12">
        <f>VLOOKUP(A33,'Données projet'!$A$165:$I$185,9,0)</f>
        <v>5.1282051282051295</v>
      </c>
      <c r="DN33" s="12">
        <f t="array" ref="DN33">INDEX(DM:DM,MIN(IF(ISNUMBER(DM33:DM229),ROW(DM33:DM229),"")))</f>
        <v>5.1282051282051295</v>
      </c>
      <c r="DO33" s="12">
        <f>IF('Données projet'!$A$166&gt;35,DO32+DN33-DW32,IF(A33&lt;'Données projet'!$A$166,$DL$205^A33,IF(A33='Données projet'!$A$166,'Données projet'!$B$166,DO32+DN33-DW32)))</f>
        <v>76.28205128205127</v>
      </c>
      <c r="DP33" s="17">
        <f>DO33*VLOOKUP('Données projet'!$B$14,Paramètres!$A$1:$I$89,3,0)*VLOOKUP('Données projet'!$B$14,Paramètres!$A$1:$I$89,5,0)</f>
        <v>79.73</v>
      </c>
      <c r="DQ33" s="13">
        <f t="shared" si="43"/>
        <v>22.071154741424582</v>
      </c>
      <c r="DR33" s="20">
        <f t="shared" si="16"/>
        <v>177.30367784131445</v>
      </c>
      <c r="DS33" s="59">
        <f t="shared" si="17"/>
        <v>470.6370111746478</v>
      </c>
      <c r="DT33" s="59">
        <f ca="1">AVERAGE(OFFSET($DS$3,0,0,'Données projet'!$E$14+1,1))-AVERAGE(OFFSET($H$3,0,0,'Données projet'!$E$14+1,1))</f>
        <v>239.26156489359892</v>
      </c>
      <c r="DU33" s="59">
        <f t="shared" si="44"/>
        <v>213.97034450798111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12.820512820512819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0.215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9.2819472038718747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9.2819472038718747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3.3603333333333336</v>
      </c>
      <c r="EJ33" s="12">
        <f>IF('Données projet'!$A$192&gt;35,EJ32+EI33-ER32,IF(A33&lt;'Données projet'!$A$192,$EG$205^A33,IF(A33='Données projet'!$A$192,'Données projet'!$B$192,EJ32+EI33-ER32)))</f>
        <v>100.81</v>
      </c>
      <c r="EK33" s="17">
        <f>EJ33*VLOOKUP('Données projet'!$B$15,Paramètres!$A$1:$I$89,3,0)*VLOOKUP('Données projet'!$B$15,Paramètres!$A$1:$I$89,5,0)</f>
        <v>100.64870400000001</v>
      </c>
      <c r="EL33" s="13">
        <f t="shared" si="45"/>
        <v>27.116484123591587</v>
      </c>
      <c r="EM33" s="20">
        <f t="shared" si="19"/>
        <v>222.52436931525537</v>
      </c>
      <c r="EN33" s="59">
        <f t="shared" si="20"/>
        <v>515.85770264858866</v>
      </c>
      <c r="EO33" s="59">
        <f ca="1">AVERAGE(OFFSET($EN$3,0,0,'Données projet'!$E$15+1,1))-AVERAGE(OFFSET($H$3,0,0,'Données projet'!$E$15+1,1))</f>
        <v>525.74725170626471</v>
      </c>
      <c r="EP33" s="59">
        <f t="shared" si="46"/>
        <v>259.19103598192197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3.3603333333333336</v>
      </c>
      <c r="N34" s="13">
        <f>IF('Données projet'!$A$36&gt;35,N33+M34-V33,IF(A34&lt;'Données projet'!$A$36,$K$205^A34,IF(A34='Données projet'!$A$36,'Données projet'!$B$36,N33+M34-V33)))</f>
        <v>104.17033333333333</v>
      </c>
      <c r="O34" s="13">
        <f>N34*VLOOKUP('Données projet'!$B$9,Paramètres!$A$1:$I$89,3,0)*VLOOKUP('Données projet'!$B$9,Paramètres!$A$1:$I$89,5,0)</f>
        <v>105.62871800000001</v>
      </c>
      <c r="P34" s="13">
        <f t="shared" si="33"/>
        <v>28.298658476747377</v>
      </c>
      <c r="Q34" s="20">
        <f t="shared" si="2"/>
        <v>233.25684736366836</v>
      </c>
      <c r="R34" s="59">
        <f t="shared" si="0"/>
        <v>526.59018069700164</v>
      </c>
      <c r="S34" s="59">
        <f ca="1">AVERAGE(OFFSET($R$3,0,0,'Données projet'!$E$9+1,1))-AVERAGE(OFFSET($H$3,0,0,'Données projet'!$E$9+1,1))</f>
        <v>533.26035274112917</v>
      </c>
      <c r="T34" s="59">
        <f t="shared" si="34"/>
        <v>262.58149402282521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4.5856818181818184</v>
      </c>
      <c r="AI34" s="13">
        <f>IF('Données projet'!$A$62&gt;35,AI33+AH34-AQ33,IF(A34&lt;'Données projet'!$A$62,$AF$205^A34,IF(A34='Données projet'!$A$62,'Données projet'!$B$62,AI33+AH34-AQ33)))</f>
        <v>142.15613636363648</v>
      </c>
      <c r="AJ34" s="13">
        <f>AI34*VLOOKUP('Données projet'!$B$10,Paramètres!$A$1:$I$89,3,0)*VLOOKUP('Données projet'!$B$10,Paramètres!$A$1:$I$89,5,0)</f>
        <v>128.62287218181828</v>
      </c>
      <c r="AK34" s="13">
        <f t="shared" si="35"/>
        <v>33.67794856106724</v>
      </c>
      <c r="AL34" s="20">
        <f t="shared" si="4"/>
        <v>282.67392946052559</v>
      </c>
      <c r="AM34" s="59">
        <f t="shared" si="5"/>
        <v>576.0072627938589</v>
      </c>
      <c r="AN34" s="59">
        <f ca="1">AVERAGE(OFFSET($AM$3,0,0,'Données projet'!$E$10+1,1))-AVERAGE(OFFSET($H$3,0,0,'Données projet'!$E$10+1,1))</f>
        <v>482.62991869403385</v>
      </c>
      <c r="AO34" s="59">
        <f t="shared" si="36"/>
        <v>310.43914804089906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</v>
      </c>
      <c r="BD34" s="12">
        <f>IF('Données projet'!$A$88&gt;35,BD33+BC34-BL33,IF(A34&lt;'Données projet'!$A$88,$BA$205^A34,IF(A34='Données projet'!$A$88,'Données projet'!$B$88,BD33+BC34-BL33)))</f>
        <v>154.79999999999993</v>
      </c>
      <c r="BE34" s="13">
        <f>BD34*VLOOKUP('Données projet'!$B$11,Paramètres!$A$1:$I$89,3,0)*VLOOKUP('Données projet'!$B$11,Paramètres!$A$1:$I$89,5,0)</f>
        <v>135.23327999999995</v>
      </c>
      <c r="BF34" s="13">
        <f t="shared" si="37"/>
        <v>35.202825080004438</v>
      </c>
      <c r="BG34" s="20">
        <f t="shared" si="7"/>
        <v>296.842883014341</v>
      </c>
      <c r="BH34" s="59">
        <f t="shared" si="8"/>
        <v>590.17621634767431</v>
      </c>
      <c r="BI34" s="59">
        <f ca="1">AVERAGE(OFFSET($BH$3,0,0,'Données projet'!$E$11+1,1))-AVERAGE(OFFSET($H$3,0,0,'Données projet'!$E$11+1,1))</f>
        <v>384.34044781465661</v>
      </c>
      <c r="BJ34" s="59">
        <f t="shared" si="38"/>
        <v>374.99493809709708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4.3907913640948335</v>
      </c>
      <c r="BQ34" s="21">
        <f>EXP(-LN(2)/25)*BQ33+(1-EXP(-LN(2)/25))/(LN(2)/25)*Calculateur!BL34*Calculateur!BN34*VLOOKUP('Données projet'!$B$11,Paramètres!$A$1:$I$89,3,0)*0.475*44/12</f>
        <v>14.02194872767986</v>
      </c>
      <c r="BR34" s="21">
        <f>EXP(-LN(2)/2)*BR33+(1-EXP(-LN(2)/2))/(LN(2)/2)*BL34*BO34*VLOOKUP('Données projet'!$B$11,Paramètres!$A$1:$I$89,3,0)*0.475*44/12</f>
        <v>6.1865497005778671</v>
      </c>
      <c r="BS34" s="22">
        <f t="shared" si="9"/>
        <v>24.599289792352561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4.5856818181818184</v>
      </c>
      <c r="BY34" s="12">
        <f>IF('Données projet'!$A$114&gt;35,BY33+BX34-CG33,IF(A34&lt;'Données projet'!$A$114,$BV$205^A34,IF(A34='Données projet'!$A$114,'Données projet'!$B$114,BY33+BX34-CG33)))</f>
        <v>142.15613636363648</v>
      </c>
      <c r="BZ34" s="13">
        <f>BY34*VLOOKUP('Données projet'!$B$12,Paramètres!$A$1:$I$89,3,0)*VLOOKUP('Données projet'!$B$12,Paramètres!$A$1:$I$89,5,0)</f>
        <v>135.27577936363647</v>
      </c>
      <c r="CA34" s="13">
        <f t="shared" si="39"/>
        <v>35.212600245702411</v>
      </c>
      <c r="CB34" s="20">
        <f t="shared" si="10"/>
        <v>296.93392781959858</v>
      </c>
      <c r="CC34" s="59">
        <f t="shared" si="11"/>
        <v>590.26726115293195</v>
      </c>
      <c r="CD34" s="59">
        <f ca="1">AVERAGE(OFFSET($CC$3,0,0,'Données projet'!$E$12+1,1))-AVERAGE(OFFSET($H$3,0,0,'Données projet'!$E$12+1,1))</f>
        <v>513.14430745499283</v>
      </c>
      <c r="CE34" s="59">
        <f t="shared" si="40"/>
        <v>324.2490378019823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>
        <f>VLOOKUP(A34,'Données projet'!$A$139:$I$159,2,0)</f>
        <v>99.358974358974351</v>
      </c>
      <c r="CR34" s="12">
        <f>VLOOKUP(A34,'Données projet'!$A$139:$I$159,9,0)</f>
        <v>7.3717948717948714</v>
      </c>
      <c r="CS34" s="12">
        <f t="array" ref="CS34">INDEX(CR:CR,MIN(IF(ISNUMBER(CR34:CR230),ROW(CR34:CR230),"")))</f>
        <v>7.3717948717948714</v>
      </c>
      <c r="CT34" s="12">
        <f>IF('Données projet'!$A$140&gt;35,CT33+CS34-DB33,IF(A34&lt;'Données projet'!$A$140,$CQ$205^A34,IF(A34='Données projet'!$A$140,'Données projet'!$B$140,CT33+CS34-DB33)))</f>
        <v>99.358974358974379</v>
      </c>
      <c r="CU34" s="17">
        <f>CT34*VLOOKUP('Données projet'!$B$13,Paramètres!$A$1:$I$89,3,0)*VLOOKUP('Données projet'!$B$13,Paramètres!$A$1:$I$89,5,0)</f>
        <v>77.500000000000014</v>
      </c>
      <c r="CV34" s="13">
        <f t="shared" si="41"/>
        <v>21.524796250766268</v>
      </c>
      <c r="CW34" s="20">
        <f t="shared" si="13"/>
        <v>172.46818680341792</v>
      </c>
      <c r="CX34" s="59">
        <f t="shared" si="14"/>
        <v>465.80152013675126</v>
      </c>
      <c r="CY34" s="59">
        <f ca="1">AVERAGE(OFFSET($CX$3,0,0,'Données projet'!$E$13+1,1))-AVERAGE(OFFSET($H$3,0,0,'Données projet'!$E$13+1,1))</f>
        <v>197.51452239559433</v>
      </c>
      <c r="CZ34" s="59">
        <f t="shared" si="42"/>
        <v>196.65166921588821</v>
      </c>
      <c r="DA34" s="15">
        <f>IF(ISNA(VLOOKUP(A34,'Données projet'!$A$139:$I$159,3,0)),0,VLOOKUP(A34,'Données projet'!$A$139:$I$159,3,0))</f>
        <v>4</v>
      </c>
      <c r="DB34" s="15">
        <f>IF(ISNA(VLOOKUP(A34,'Données projet'!$A$139:$I$159,4,0)),0,VLOOKUP(A34,'Données projet'!$A$139:$I$159,4,0))</f>
        <v>23.076923076923077</v>
      </c>
      <c r="DC34" s="16">
        <f>IF(ISNA(VLOOKUP(A34,'Données projet'!$A$139:$I$159,5,0)),0%,VLOOKUP(A34,'Données projet'!$A$139:$I$159,5,0)*VLOOKUP('Données projet'!$B$13,Paramètres!$A$1:$I$89,7,0))</f>
        <v>0.1075</v>
      </c>
      <c r="DD34" s="16">
        <f>IF(ISNA(VLOOKUP(A34,'Données projet'!$A$139:$I$159,6,0)),0%,VLOOKUP(A34,'Données projet'!$A$139:$I$159,6,0)*VLOOKUP('Données projet'!$B$13,Paramètres!$A$1:$I$89,7,0))</f>
        <v>0.1075</v>
      </c>
      <c r="DE34" s="16">
        <f>IF(ISNA(VLOOKUP(A34,'Données projet'!$A$139:$I$159,7,0)),0%,VLOOKUP(A34,'Données projet'!$A$139:$I$159,7,0))</f>
        <v>0.25</v>
      </c>
      <c r="DF34" s="21">
        <f>EXP(-LN(2)/35)*DF33+(1-EXP(-LN(2)/35))/(LN(2)/35)*DB34*DC34*VLOOKUP('Données projet'!$B$13,Paramètres!$A$1:$I$89,3,0)*0.475*44/12</f>
        <v>2.1390851843962584</v>
      </c>
      <c r="DG34" s="21">
        <f>EXP(-LN(2)/25)*DG33+(1-EXP(-LN(2)/25))/(LN(2)/25)*Calculateur!DB34*Calculateur!DD34*VLOOKUP('Données projet'!$B$13,Paramètres!$A$1:$I$89,3,0)*0.475*44/12</f>
        <v>4.6883830547122312</v>
      </c>
      <c r="DH34" s="21">
        <f>EXP(-LN(2)/2)*DH33+(1-EXP(-LN(2)/2))/(LN(2)/2)*DB34*DE34*VLOOKUP('Données projet'!$B$13,Paramètres!$A$1:$I$89,3,0)*0.475*44/12</f>
        <v>4.710457390564466</v>
      </c>
      <c r="DI34" s="22">
        <f t="shared" si="15"/>
        <v>11.537925629672955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4.6153846153846132</v>
      </c>
      <c r="DO34" s="12">
        <f>IF('Données projet'!$A$166&gt;35,DO33+DN34-DW33,IF(A34&lt;'Données projet'!$A$166,$DL$205^A34,IF(A34='Données projet'!$A$166,'Données projet'!$B$166,DO33+DN34-DW33)))</f>
        <v>68.076923076923066</v>
      </c>
      <c r="DP34" s="17">
        <f>DO34*VLOOKUP('Données projet'!$B$14,Paramètres!$A$1:$I$89,3,0)*VLOOKUP('Données projet'!$B$14,Paramètres!$A$1:$I$89,5,0)</f>
        <v>71.153999999999996</v>
      </c>
      <c r="DQ34" s="13">
        <f t="shared" si="43"/>
        <v>19.959763152334045</v>
      </c>
      <c r="DR34" s="20">
        <f t="shared" si="16"/>
        <v>158.68980415698181</v>
      </c>
      <c r="DS34" s="59">
        <f t="shared" si="17"/>
        <v>452.02313749031509</v>
      </c>
      <c r="DT34" s="59">
        <f ca="1">AVERAGE(OFFSET($DS$3,0,0,'Données projet'!$E$14+1,1))-AVERAGE(OFFSET($H$3,0,0,'Données projet'!$E$14+1,1))</f>
        <v>239.26156489359892</v>
      </c>
      <c r="DU34" s="59">
        <f t="shared" si="44"/>
        <v>213.97034450798111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9.028131869465609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9.028131869465609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3.3603333333333336</v>
      </c>
      <c r="EJ34" s="12">
        <f>IF('Données projet'!$A$192&gt;35,EJ33+EI34-ER33,IF(A34&lt;'Données projet'!$A$192,$EG$205^A34,IF(A34='Données projet'!$A$192,'Données projet'!$B$192,EJ33+EI34-ER33)))</f>
        <v>104.17033333333333</v>
      </c>
      <c r="EK34" s="17">
        <f>EJ34*VLOOKUP('Données projet'!$B$15,Paramètres!$A$1:$I$89,3,0)*VLOOKUP('Données projet'!$B$15,Paramètres!$A$1:$I$89,5,0)</f>
        <v>104.00366080000001</v>
      </c>
      <c r="EL34" s="13">
        <f t="shared" si="45"/>
        <v>27.913624435496846</v>
      </c>
      <c r="EM34" s="20">
        <f t="shared" si="19"/>
        <v>229.75593845182368</v>
      </c>
      <c r="EN34" s="59">
        <f t="shared" si="20"/>
        <v>523.08927178515705</v>
      </c>
      <c r="EO34" s="59">
        <f ca="1">AVERAGE(OFFSET($EN$3,0,0,'Données projet'!$E$15+1,1))-AVERAGE(OFFSET($H$3,0,0,'Données projet'!$E$15+1,1))</f>
        <v>525.74725170626471</v>
      </c>
      <c r="EP34" s="59">
        <f t="shared" si="46"/>
        <v>259.19103598192197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3.3603333333333336</v>
      </c>
      <c r="N35" s="13">
        <f>IF('Données projet'!$A$36&gt;35,N34+M35-V34,IF(A35&lt;'Données projet'!$A$36,$K$205^A35,IF(A35='Données projet'!$A$36,'Données projet'!$B$36,N34+M35-V34)))</f>
        <v>107.53066666666666</v>
      </c>
      <c r="O35" s="13">
        <f>N35*VLOOKUP('Données projet'!$B$9,Paramètres!$A$1:$I$89,3,0)*VLOOKUP('Données projet'!$B$9,Paramètres!$A$1:$I$89,5,0)</f>
        <v>109.036096</v>
      </c>
      <c r="P35" s="13">
        <f t="shared" si="33"/>
        <v>29.103765071483942</v>
      </c>
      <c r="Q35" s="20">
        <f t="shared" ref="Q35:Q66" si="53">(O35+P35)*0.475*44/12</f>
        <v>240.59359136616786</v>
      </c>
      <c r="R35" s="59">
        <f t="shared" si="0"/>
        <v>533.92692469950111</v>
      </c>
      <c r="S35" s="59">
        <f ca="1">AVERAGE(OFFSET($R$3,0,0,'Données projet'!$E$9+1,1))-AVERAGE(OFFSET($H$3,0,0,'Données projet'!$E$9+1,1))</f>
        <v>533.26035274112917</v>
      </c>
      <c r="T35" s="59">
        <f t="shared" si="34"/>
        <v>262.58149402282521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4.5856818181818184</v>
      </c>
      <c r="AI35" s="13">
        <f>IF('Données projet'!$A$62&gt;35,AI34+AH35-AQ34,IF(A35&lt;'Données projet'!$A$62,$AF$205^A35,IF(A35='Données projet'!$A$62,'Données projet'!$B$62,AI34+AH35-AQ34)))</f>
        <v>146.7418181818183</v>
      </c>
      <c r="AJ35" s="13">
        <f>AI35*VLOOKUP('Données projet'!$B$10,Paramètres!$A$1:$I$89,3,0)*VLOOKUP('Données projet'!$B$10,Paramètres!$A$1:$I$89,5,0)</f>
        <v>132.7719970909092</v>
      </c>
      <c r="AK35" s="13">
        <f t="shared" si="35"/>
        <v>34.636097814184424</v>
      </c>
      <c r="AL35" s="20">
        <f t="shared" si="4"/>
        <v>291.56909862637139</v>
      </c>
      <c r="AM35" s="59">
        <f t="shared" si="5"/>
        <v>584.9024319597047</v>
      </c>
      <c r="AN35" s="59">
        <f ca="1">AVERAGE(OFFSET($AM$3,0,0,'Données projet'!$E$10+1,1))-AVERAGE(OFFSET($H$3,0,0,'Données projet'!$E$10+1,1))</f>
        <v>482.62991869403385</v>
      </c>
      <c r="AO35" s="59">
        <f t="shared" si="36"/>
        <v>310.43914804089906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</v>
      </c>
      <c r="BD35" s="12">
        <f>IF('Données projet'!$A$88&gt;35,BD34+BC35-BL34,IF(A35&lt;'Données projet'!$A$88,$BA$205^A35,IF(A35='Données projet'!$A$88,'Données projet'!$B$88,BD34+BC35-BL34)))</f>
        <v>167.59999999999994</v>
      </c>
      <c r="BE35" s="13">
        <f>BD35*VLOOKUP('Données projet'!$B$11,Paramètres!$A$1:$I$89,3,0)*VLOOKUP('Données projet'!$B$11,Paramètres!$A$1:$I$89,5,0)</f>
        <v>146.41535999999996</v>
      </c>
      <c r="BF35" s="13">
        <f t="shared" si="37"/>
        <v>37.762820103024467</v>
      </c>
      <c r="BG35" s="20">
        <f t="shared" si="7"/>
        <v>320.77699701276748</v>
      </c>
      <c r="BH35" s="59">
        <f t="shared" si="8"/>
        <v>614.1103303461008</v>
      </c>
      <c r="BI35" s="59">
        <f ca="1">AVERAGE(OFFSET($BH$3,0,0,'Données projet'!$E$11+1,1))-AVERAGE(OFFSET($H$3,0,0,'Données projet'!$E$11+1,1))</f>
        <v>384.34044781465661</v>
      </c>
      <c r="BJ35" s="59">
        <f t="shared" si="38"/>
        <v>374.99493809709708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4.3046906235632241</v>
      </c>
      <c r="BQ35" s="21">
        <f>EXP(-LN(2)/25)*BQ34+(1-EXP(-LN(2)/25))/(LN(2)/25)*Calculateur!BL35*Calculateur!BN35*VLOOKUP('Données projet'!$B$11,Paramètres!$A$1:$I$89,3,0)*0.475*44/12</f>
        <v>13.638517802339218</v>
      </c>
      <c r="BR35" s="21">
        <f>EXP(-LN(2)/2)*BR34+(1-EXP(-LN(2)/2))/(LN(2)/2)*BL35*BO35*VLOOKUP('Données projet'!$B$11,Paramètres!$A$1:$I$89,3,0)*0.475*44/12</f>
        <v>4.3745512454262157</v>
      </c>
      <c r="BS35" s="22">
        <f t="shared" si="9"/>
        <v>22.317759671328655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4.5856818181818184</v>
      </c>
      <c r="BY35" s="12">
        <f>IF('Données projet'!$A$114&gt;35,BY34+BX35-CG34,IF(A35&lt;'Données projet'!$A$114,$BV$205^A35,IF(A35='Données projet'!$A$114,'Données projet'!$B$114,BY34+BX35-CG34)))</f>
        <v>146.7418181818183</v>
      </c>
      <c r="BZ35" s="13">
        <f>BY35*VLOOKUP('Données projet'!$B$12,Paramètres!$A$1:$I$89,3,0)*VLOOKUP('Données projet'!$B$12,Paramètres!$A$1:$I$89,5,0)</f>
        <v>139.6395141818183</v>
      </c>
      <c r="CA35" s="13">
        <f t="shared" si="39"/>
        <v>36.214410868595792</v>
      </c>
      <c r="CB35" s="20">
        <f t="shared" si="10"/>
        <v>306.27891946280454</v>
      </c>
      <c r="CC35" s="59">
        <f t="shared" si="11"/>
        <v>599.61225279613791</v>
      </c>
      <c r="CD35" s="59">
        <f ca="1">AVERAGE(OFFSET($CC$3,0,0,'Données projet'!$E$12+1,1))-AVERAGE(OFFSET($H$3,0,0,'Données projet'!$E$12+1,1))</f>
        <v>513.14430745499283</v>
      </c>
      <c r="CE35" s="59">
        <f t="shared" si="40"/>
        <v>324.2490378019823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7.3717948717948731</v>
      </c>
      <c r="CT35" s="12">
        <f>IF('Données projet'!$A$140&gt;35,CT34+CS35-DB34,IF(A35&lt;'Données projet'!$A$140,$CQ$205^A35,IF(A35='Données projet'!$A$140,'Données projet'!$B$140,CT34+CS35-DB34)))</f>
        <v>83.653846153846175</v>
      </c>
      <c r="CU35" s="17">
        <f>CT35*VLOOKUP('Données projet'!$B$13,Paramètres!$A$1:$I$89,3,0)*VLOOKUP('Données projet'!$B$13,Paramètres!$A$1:$I$89,5,0)</f>
        <v>65.250000000000014</v>
      </c>
      <c r="CV35" s="13">
        <f t="shared" si="41"/>
        <v>18.489084564748591</v>
      </c>
      <c r="CW35" s="20">
        <f t="shared" si="13"/>
        <v>145.84557228360381</v>
      </c>
      <c r="CX35" s="59">
        <f t="shared" si="14"/>
        <v>439.17890561693713</v>
      </c>
      <c r="CY35" s="59">
        <f ca="1">AVERAGE(OFFSET($CX$3,0,0,'Données projet'!$E$13+1,1))-AVERAGE(OFFSET($H$3,0,0,'Données projet'!$E$13+1,1))</f>
        <v>197.51452239559433</v>
      </c>
      <c r="CZ35" s="59">
        <f t="shared" si="42"/>
        <v>196.65166921588821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2.0971390286433804</v>
      </c>
      <c r="DG35" s="21">
        <f>EXP(-LN(2)/25)*DG34+(1-EXP(-LN(2)/25))/(LN(2)/25)*Calculateur!DB35*Calculateur!DD35*VLOOKUP('Données projet'!$B$13,Paramètres!$A$1:$I$89,3,0)*0.475*44/12</f>
        <v>4.5601789735297755</v>
      </c>
      <c r="DH35" s="21">
        <f>EXP(-LN(2)/2)*DH34+(1-EXP(-LN(2)/2))/(LN(2)/2)*DB35*DE35*VLOOKUP('Données projet'!$B$13,Paramètres!$A$1:$I$89,3,0)*0.475*44/12</f>
        <v>3.3307963633584237</v>
      </c>
      <c r="DI35" s="22">
        <f t="shared" si="15"/>
        <v>9.9881143655315796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4.6153846153846132</v>
      </c>
      <c r="DO35" s="12">
        <f>IF('Données projet'!$A$166&gt;35,DO34+DN35-DW34,IF(A35&lt;'Données projet'!$A$166,$DL$205^A35,IF(A35='Données projet'!$A$166,'Données projet'!$B$166,DO34+DN35-DW34)))</f>
        <v>72.692307692307679</v>
      </c>
      <c r="DP35" s="17">
        <f>DO35*VLOOKUP('Données projet'!$B$14,Paramètres!$A$1:$I$89,3,0)*VLOOKUP('Données projet'!$B$14,Paramètres!$A$1:$I$89,5,0)</f>
        <v>75.977999999999994</v>
      </c>
      <c r="DQ35" s="13">
        <f t="shared" si="43"/>
        <v>21.150851474041477</v>
      </c>
      <c r="DR35" s="20">
        <f t="shared" si="16"/>
        <v>169.16608298395553</v>
      </c>
      <c r="DS35" s="59">
        <f t="shared" si="17"/>
        <v>462.49941631728882</v>
      </c>
      <c r="DT35" s="59">
        <f ca="1">AVERAGE(OFFSET($DS$3,0,0,'Données projet'!$E$14+1,1))-AVERAGE(OFFSET($H$3,0,0,'Données projet'!$E$14+1,1))</f>
        <v>239.26156489359892</v>
      </c>
      <c r="DU35" s="59">
        <f t="shared" si="44"/>
        <v>213.97034450798111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8.7812571287262511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8.7812571287262511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3.3603333333333336</v>
      </c>
      <c r="EJ35" s="12">
        <f>IF('Données projet'!$A$192&gt;35,EJ34+EI35-ER34,IF(A35&lt;'Données projet'!$A$192,$EG$205^A35,IF(A35='Données projet'!$A$192,'Données projet'!$B$192,EJ34+EI35-ER34)))</f>
        <v>107.53066666666666</v>
      </c>
      <c r="EK35" s="17">
        <f>EJ35*VLOOKUP('Données projet'!$B$15,Paramètres!$A$1:$I$89,3,0)*VLOOKUP('Données projet'!$B$15,Paramètres!$A$1:$I$89,5,0)</f>
        <v>107.3586176</v>
      </c>
      <c r="EL35" s="13">
        <f t="shared" si="45"/>
        <v>28.707776678949809</v>
      </c>
      <c r="EM35" s="20">
        <f t="shared" si="19"/>
        <v>236.98230336917092</v>
      </c>
      <c r="EN35" s="59">
        <f t="shared" si="20"/>
        <v>530.31563670250421</v>
      </c>
      <c r="EO35" s="59">
        <f ca="1">AVERAGE(OFFSET($EN$3,0,0,'Données projet'!$E$15+1,1))-AVERAGE(OFFSET($H$3,0,0,'Données projet'!$E$15+1,1))</f>
        <v>525.74725170626471</v>
      </c>
      <c r="EP35" s="59">
        <f t="shared" si="46"/>
        <v>259.19103598192197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3.3603333333333336</v>
      </c>
      <c r="N36" s="13">
        <f>IF('Données projet'!$A$36&gt;35,N35+M36-V35,IF(A36&lt;'Données projet'!$A$36,$K$205^A36,IF(A36='Données projet'!$A$36,'Données projet'!$B$36,N35+M36-V35)))</f>
        <v>110.89099999999999</v>
      </c>
      <c r="O36" s="13">
        <f>N36*VLOOKUP('Données projet'!$B$9,Paramètres!$A$1:$I$89,3,0)*VLOOKUP('Données projet'!$B$9,Paramètres!$A$1:$I$89,5,0)</f>
        <v>112.44347399999999</v>
      </c>
      <c r="P36" s="13">
        <f t="shared" si="33"/>
        <v>29.905947908104487</v>
      </c>
      <c r="Q36" s="20">
        <f t="shared" si="53"/>
        <v>247.92524315661532</v>
      </c>
      <c r="R36" s="59">
        <f t="shared" si="0"/>
        <v>541.25857648994861</v>
      </c>
      <c r="S36" s="59">
        <f ca="1">AVERAGE(OFFSET($R$3,0,0,'Données projet'!$E$9+1,1))-AVERAGE(OFFSET($H$3,0,0,'Données projet'!$E$9+1,1))</f>
        <v>533.26035274112917</v>
      </c>
      <c r="T36" s="59">
        <f t="shared" si="34"/>
        <v>262.58149402282521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4.5856818181818184</v>
      </c>
      <c r="AI36" s="13">
        <f>IF('Données projet'!$A$62&gt;35,AI35+AH36-AQ35,IF(A36&lt;'Données projet'!$A$62,$AF$205^A36,IF(A36='Données projet'!$A$62,'Données projet'!$B$62,AI35+AH36-AQ35)))</f>
        <v>151.32750000000013</v>
      </c>
      <c r="AJ36" s="13">
        <f>AI36*VLOOKUP('Données projet'!$B$10,Paramètres!$A$1:$I$89,3,0)*VLOOKUP('Données projet'!$B$10,Paramètres!$A$1:$I$89,5,0)</f>
        <v>136.92112200000011</v>
      </c>
      <c r="AK36" s="13">
        <f t="shared" si="35"/>
        <v>35.5907675322022</v>
      </c>
      <c r="AL36" s="20">
        <f t="shared" si="4"/>
        <v>300.45820760191901</v>
      </c>
      <c r="AM36" s="59">
        <f t="shared" si="5"/>
        <v>593.79154093525233</v>
      </c>
      <c r="AN36" s="59">
        <f ca="1">AVERAGE(OFFSET($AM$3,0,0,'Données projet'!$E$10+1,1))-AVERAGE(OFFSET($H$3,0,0,'Données projet'!$E$10+1,1))</f>
        <v>482.62991869403385</v>
      </c>
      <c r="AO36" s="59">
        <f t="shared" si="36"/>
        <v>310.43914804089906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</v>
      </c>
      <c r="BD36" s="12">
        <f>IF('Données projet'!$A$88&gt;35,BD35+BC36-BL35,IF(A36&lt;'Données projet'!$A$88,$BA$205^A36,IF(A36='Données projet'!$A$88,'Données projet'!$B$88,BD35+BC36-BL35)))</f>
        <v>180.39999999999995</v>
      </c>
      <c r="BE36" s="13">
        <f>BD36*VLOOKUP('Données projet'!$B$11,Paramètres!$A$1:$I$89,3,0)*VLOOKUP('Données projet'!$B$11,Paramètres!$A$1:$I$89,5,0)</f>
        <v>157.59743999999998</v>
      </c>
      <c r="BF36" s="13">
        <f t="shared" si="37"/>
        <v>40.300135037830529</v>
      </c>
      <c r="BG36" s="20">
        <f t="shared" si="7"/>
        <v>344.67160985755481</v>
      </c>
      <c r="BH36" s="59">
        <f t="shared" si="8"/>
        <v>638.00494319088807</v>
      </c>
      <c r="BI36" s="59">
        <f ca="1">AVERAGE(OFFSET($BH$3,0,0,'Données projet'!$E$11+1,1))-AVERAGE(OFFSET($H$3,0,0,'Données projet'!$E$11+1,1))</f>
        <v>384.34044781465661</v>
      </c>
      <c r="BJ36" s="59">
        <f t="shared" si="38"/>
        <v>374.99493809709708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4.2202782660371732</v>
      </c>
      <c r="BQ36" s="21">
        <f>EXP(-LN(2)/25)*BQ35+(1-EXP(-LN(2)/25))/(LN(2)/25)*Calculateur!BL36*Calculateur!BN36*VLOOKUP('Données projet'!$B$11,Paramètres!$A$1:$I$89,3,0)*0.475*44/12</f>
        <v>13.265571815815772</v>
      </c>
      <c r="BR36" s="21">
        <f>EXP(-LN(2)/2)*BR35+(1-EXP(-LN(2)/2))/(LN(2)/2)*BL36*BO36*VLOOKUP('Données projet'!$B$11,Paramètres!$A$1:$I$89,3,0)*0.475*44/12</f>
        <v>3.0932748502889345</v>
      </c>
      <c r="BS36" s="22">
        <f t="shared" si="9"/>
        <v>20.57912493214188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4.5856818181818184</v>
      </c>
      <c r="BY36" s="12">
        <f>IF('Données projet'!$A$114&gt;35,BY35+BX36-CG35,IF(A36&lt;'Données projet'!$A$114,$BV$205^A36,IF(A36='Données projet'!$A$114,'Données projet'!$B$114,BY35+BX36-CG35)))</f>
        <v>151.32750000000013</v>
      </c>
      <c r="BZ36" s="13">
        <f>BY36*VLOOKUP('Données projet'!$B$12,Paramètres!$A$1:$I$89,3,0)*VLOOKUP('Données projet'!$B$12,Paramètres!$A$1:$I$89,5,0)</f>
        <v>144.00324900000012</v>
      </c>
      <c r="CA36" s="13">
        <f t="shared" si="39"/>
        <v>37.212583399392365</v>
      </c>
      <c r="CB36" s="20">
        <f t="shared" si="10"/>
        <v>315.6175747622753</v>
      </c>
      <c r="CC36" s="59">
        <f t="shared" si="11"/>
        <v>608.95090809560861</v>
      </c>
      <c r="CD36" s="59">
        <f ca="1">AVERAGE(OFFSET($CC$3,0,0,'Données projet'!$E$12+1,1))-AVERAGE(OFFSET($H$3,0,0,'Données projet'!$E$12+1,1))</f>
        <v>513.14430745499283</v>
      </c>
      <c r="CE36" s="59">
        <f t="shared" si="40"/>
        <v>324.2490378019823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7.3717948717948731</v>
      </c>
      <c r="CT36" s="12">
        <f>IF('Données projet'!$A$140&gt;35,CT35+CS36-DB35,IF(A36&lt;'Données projet'!$A$140,$CQ$205^A36,IF(A36='Données projet'!$A$140,'Données projet'!$B$140,CT35+CS36-DB35)))</f>
        <v>91.02564102564105</v>
      </c>
      <c r="CU36" s="17">
        <f>CT36*VLOOKUP('Données projet'!$B$13,Paramètres!$A$1:$I$89,3,0)*VLOOKUP('Données projet'!$B$13,Paramètres!$A$1:$I$89,5,0)</f>
        <v>71.000000000000028</v>
      </c>
      <c r="CV36" s="13">
        <f t="shared" si="41"/>
        <v>19.921587432217475</v>
      </c>
      <c r="CW36" s="20">
        <f t="shared" si="13"/>
        <v>158.35509811111217</v>
      </c>
      <c r="CX36" s="59">
        <f t="shared" si="14"/>
        <v>451.68843144444548</v>
      </c>
      <c r="CY36" s="59">
        <f ca="1">AVERAGE(OFFSET($CX$3,0,0,'Données projet'!$E$13+1,1))-AVERAGE(OFFSET($H$3,0,0,'Données projet'!$E$13+1,1))</f>
        <v>197.51452239559433</v>
      </c>
      <c r="CZ36" s="59">
        <f t="shared" si="42"/>
        <v>196.65166921588821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2.0560154114201876</v>
      </c>
      <c r="DG36" s="21">
        <f>EXP(-LN(2)/25)*DG35+(1-EXP(-LN(2)/25))/(LN(2)/25)*Calculateur!DB36*Calculateur!DD36*VLOOKUP('Données projet'!$B$13,Paramètres!$A$1:$I$89,3,0)*0.475*44/12</f>
        <v>4.4354806396892137</v>
      </c>
      <c r="DH36" s="21">
        <f>EXP(-LN(2)/2)*DH35+(1-EXP(-LN(2)/2))/(LN(2)/2)*DB36*DE36*VLOOKUP('Données projet'!$B$13,Paramètres!$A$1:$I$89,3,0)*0.475*44/12</f>
        <v>2.3552286952822334</v>
      </c>
      <c r="DI36" s="22">
        <f t="shared" si="15"/>
        <v>8.8467247463916348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4.6153846153846132</v>
      </c>
      <c r="DO36" s="12">
        <f>IF('Données projet'!$A$166&gt;35,DO35+DN36-DW35,IF(A36&lt;'Données projet'!$A$166,$DL$205^A36,IF(A36='Données projet'!$A$166,'Données projet'!$B$166,DO35+DN36-DW35)))</f>
        <v>77.307692307692292</v>
      </c>
      <c r="DP36" s="17">
        <f>DO36*VLOOKUP('Données projet'!$B$14,Paramètres!$A$1:$I$89,3,0)*VLOOKUP('Données projet'!$B$14,Paramètres!$A$1:$I$89,5,0)</f>
        <v>80.801999999999992</v>
      </c>
      <c r="DQ36" s="13">
        <f t="shared" si="43"/>
        <v>22.333163311057419</v>
      </c>
      <c r="DR36" s="20">
        <f t="shared" si="16"/>
        <v>179.62707610009167</v>
      </c>
      <c r="DS36" s="59">
        <f t="shared" si="17"/>
        <v>472.96040943342496</v>
      </c>
      <c r="DT36" s="59">
        <f ca="1">AVERAGE(OFFSET($DS$3,0,0,'Données projet'!$E$14+1,1))-AVERAGE(OFFSET($H$3,0,0,'Données projet'!$E$14+1,1))</f>
        <v>239.26156489359892</v>
      </c>
      <c r="DU36" s="59">
        <f t="shared" si="44"/>
        <v>213.97034450798111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8.541133190754989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8.541133190754989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3.3603333333333336</v>
      </c>
      <c r="EJ36" s="12">
        <f>IF('Données projet'!$A$192&gt;35,EJ35+EI36-ER35,IF(A36&lt;'Données projet'!$A$192,$EG$205^A36,IF(A36='Données projet'!$A$192,'Données projet'!$B$192,EJ35+EI36-ER35)))</f>
        <v>110.89099999999999</v>
      </c>
      <c r="EK36" s="17">
        <f>EJ36*VLOOKUP('Données projet'!$B$15,Paramètres!$A$1:$I$89,3,0)*VLOOKUP('Données projet'!$B$15,Paramètres!$A$1:$I$89,5,0)</f>
        <v>110.71357439999998</v>
      </c>
      <c r="EL36" s="13">
        <f t="shared" si="45"/>
        <v>29.499044945197358</v>
      </c>
      <c r="EM36" s="20">
        <f t="shared" si="19"/>
        <v>244.20364535955198</v>
      </c>
      <c r="EN36" s="59">
        <f t="shared" si="20"/>
        <v>537.53697869288533</v>
      </c>
      <c r="EO36" s="59">
        <f ca="1">AVERAGE(OFFSET($EN$3,0,0,'Données projet'!$E$15+1,1))-AVERAGE(OFFSET($H$3,0,0,'Données projet'!$E$15+1,1))</f>
        <v>525.74725170626471</v>
      </c>
      <c r="EP36" s="59">
        <f t="shared" si="46"/>
        <v>259.19103598192197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3.3603333333333336</v>
      </c>
      <c r="N37" s="13">
        <f>IF('Données projet'!$A$36&gt;35,N36+M37-V36,IF(A37&lt;'Données projet'!$A$36,$K$205^A37,IF(A37='Données projet'!$A$36,'Données projet'!$B$36,N36+M37-V36)))</f>
        <v>114.25133333333332</v>
      </c>
      <c r="O37" s="13">
        <f>N37*VLOOKUP('Données projet'!$B$9,Paramètres!$A$1:$I$89,3,0)*VLOOKUP('Données projet'!$B$9,Paramètres!$A$1:$I$89,5,0)</f>
        <v>115.85085199999999</v>
      </c>
      <c r="P37" s="13">
        <f t="shared" si="33"/>
        <v>30.705305754650677</v>
      </c>
      <c r="Q37" s="20">
        <f t="shared" si="53"/>
        <v>255.25197475601655</v>
      </c>
      <c r="R37" s="59">
        <f t="shared" si="0"/>
        <v>548.58530808934984</v>
      </c>
      <c r="S37" s="59">
        <f ca="1">AVERAGE(OFFSET($R$3,0,0,'Données projet'!$E$9+1,1))-AVERAGE(OFFSET($H$3,0,0,'Données projet'!$E$9+1,1))</f>
        <v>533.26035274112917</v>
      </c>
      <c r="T37" s="59">
        <f t="shared" si="34"/>
        <v>262.58149402282521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4.5856818181818184</v>
      </c>
      <c r="AI37" s="13">
        <f>IF('Données projet'!$A$62&gt;35,AI36+AH37-AQ36,IF(A37&lt;'Données projet'!$A$62,$AF$205^A37,IF(A37='Données projet'!$A$62,'Données projet'!$B$62,AI36+AH37-AQ36)))</f>
        <v>155.91318181818195</v>
      </c>
      <c r="AJ37" s="13">
        <f>AI37*VLOOKUP('Données projet'!$B$10,Paramètres!$A$1:$I$89,3,0)*VLOOKUP('Données projet'!$B$10,Paramètres!$A$1:$I$89,5,0)</f>
        <v>141.07024690909103</v>
      </c>
      <c r="AK37" s="13">
        <f t="shared" si="35"/>
        <v>36.542075257972613</v>
      </c>
      <c r="AL37" s="20">
        <f t="shared" si="4"/>
        <v>309.34146110763578</v>
      </c>
      <c r="AM37" s="59">
        <f t="shared" si="5"/>
        <v>602.67479444096909</v>
      </c>
      <c r="AN37" s="59">
        <f ca="1">AVERAGE(OFFSET($AM$3,0,0,'Données projet'!$E$10+1,1))-AVERAGE(OFFSET($H$3,0,0,'Données projet'!$E$10+1,1))</f>
        <v>482.62991869403385</v>
      </c>
      <c r="AO37" s="59">
        <f t="shared" si="36"/>
        <v>310.43914804089906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</v>
      </c>
      <c r="BD37" s="12">
        <f>IF('Données projet'!$A$88&gt;35,BD36+BC37-BL36,IF(A37&lt;'Données projet'!$A$88,$BA$205^A37,IF(A37='Données projet'!$A$88,'Données projet'!$B$88,BD36+BC37-BL36)))</f>
        <v>193.19999999999996</v>
      </c>
      <c r="BE37" s="13">
        <f>BD37*VLOOKUP('Données projet'!$B$11,Paramètres!$A$1:$I$89,3,0)*VLOOKUP('Données projet'!$B$11,Paramètres!$A$1:$I$89,5,0)</f>
        <v>168.77951999999999</v>
      </c>
      <c r="BF37" s="13">
        <f t="shared" si="37"/>
        <v>42.816562145177031</v>
      </c>
      <c r="BG37" s="20">
        <f t="shared" si="7"/>
        <v>368.52984306951663</v>
      </c>
      <c r="BH37" s="59">
        <f t="shared" si="8"/>
        <v>661.86317640284994</v>
      </c>
      <c r="BI37" s="59">
        <f ca="1">AVERAGE(OFFSET($BH$3,0,0,'Données projet'!$E$11+1,1))-AVERAGE(OFFSET($H$3,0,0,'Données projet'!$E$11+1,1))</f>
        <v>384.34044781465661</v>
      </c>
      <c r="BJ37" s="59">
        <f t="shared" si="38"/>
        <v>374.99493809709708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4.1375211833557533</v>
      </c>
      <c r="BQ37" s="21">
        <f>EXP(-LN(2)/25)*BQ36+(1-EXP(-LN(2)/25))/(LN(2)/25)*Calculateur!BL37*Calculateur!BN37*VLOOKUP('Données projet'!$B$11,Paramètres!$A$1:$I$89,3,0)*0.475*44/12</f>
        <v>12.902824056906187</v>
      </c>
      <c r="BR37" s="21">
        <f>EXP(-LN(2)/2)*BR36+(1-EXP(-LN(2)/2))/(LN(2)/2)*BL37*BO37*VLOOKUP('Données projet'!$B$11,Paramètres!$A$1:$I$89,3,0)*0.475*44/12</f>
        <v>2.1872756227131083</v>
      </c>
      <c r="BS37" s="22">
        <f t="shared" si="9"/>
        <v>19.227620862975051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4.5856818181818184</v>
      </c>
      <c r="BY37" s="12">
        <f>IF('Données projet'!$A$114&gt;35,BY36+BX37-CG36,IF(A37&lt;'Données projet'!$A$114,$BV$205^A37,IF(A37='Données projet'!$A$114,'Données projet'!$B$114,BY36+BX37-CG36)))</f>
        <v>155.91318181818195</v>
      </c>
      <c r="BZ37" s="13">
        <f>BY37*VLOOKUP('Données projet'!$B$12,Paramètres!$A$1:$I$89,3,0)*VLOOKUP('Données projet'!$B$12,Paramètres!$A$1:$I$89,5,0)</f>
        <v>148.36698381818195</v>
      </c>
      <c r="CA37" s="13">
        <f t="shared" si="39"/>
        <v>38.207240737188954</v>
      </c>
      <c r="CB37" s="20">
        <f t="shared" si="10"/>
        <v>324.95010776727094</v>
      </c>
      <c r="CC37" s="59">
        <f t="shared" si="11"/>
        <v>618.28344110060425</v>
      </c>
      <c r="CD37" s="59">
        <f ca="1">AVERAGE(OFFSET($CC$3,0,0,'Données projet'!$E$12+1,1))-AVERAGE(OFFSET($H$3,0,0,'Données projet'!$E$12+1,1))</f>
        <v>513.14430745499283</v>
      </c>
      <c r="CE37" s="59">
        <f t="shared" si="40"/>
        <v>324.2490378019823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7.3717948717948731</v>
      </c>
      <c r="CT37" s="12">
        <f>IF('Données projet'!$A$140&gt;35,CT36+CS37-DB36,IF(A37&lt;'Données projet'!$A$140,$CQ$205^A37,IF(A37='Données projet'!$A$140,'Données projet'!$B$140,CT36+CS37-DB36)))</f>
        <v>98.397435897435926</v>
      </c>
      <c r="CU37" s="17">
        <f>CT37*VLOOKUP('Données projet'!$B$13,Paramètres!$A$1:$I$89,3,0)*VLOOKUP('Données projet'!$B$13,Paramètres!$A$1:$I$89,5,0)</f>
        <v>76.750000000000028</v>
      </c>
      <c r="CV37" s="13">
        <f t="shared" si="41"/>
        <v>21.340634370994778</v>
      </c>
      <c r="CW37" s="20">
        <f t="shared" si="13"/>
        <v>170.84118819614926</v>
      </c>
      <c r="CX37" s="59">
        <f t="shared" si="14"/>
        <v>464.1745215294826</v>
      </c>
      <c r="CY37" s="59">
        <f ca="1">AVERAGE(OFFSET($CX$3,0,0,'Données projet'!$E$13+1,1))-AVERAGE(OFFSET($H$3,0,0,'Données projet'!$E$13+1,1))</f>
        <v>197.51452239559433</v>
      </c>
      <c r="CZ37" s="59">
        <f t="shared" si="42"/>
        <v>196.65166921588821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2.0156982032478119</v>
      </c>
      <c r="DG37" s="21">
        <f>EXP(-LN(2)/25)*DG36+(1-EXP(-LN(2)/25))/(LN(2)/25)*Calculateur!DB37*Calculateur!DD37*VLOOKUP('Données projet'!$B$13,Paramètres!$A$1:$I$89,3,0)*0.475*44/12</f>
        <v>4.3141921883451229</v>
      </c>
      <c r="DH37" s="21">
        <f>EXP(-LN(2)/2)*DH36+(1-EXP(-LN(2)/2))/(LN(2)/2)*DB37*DE37*VLOOKUP('Données projet'!$B$13,Paramètres!$A$1:$I$89,3,0)*0.475*44/12</f>
        <v>1.6653981816792123</v>
      </c>
      <c r="DI37" s="22">
        <f t="shared" si="15"/>
        <v>7.9952885732721466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4.6153846153846132</v>
      </c>
      <c r="DO37" s="12">
        <f>IF('Données projet'!$A$166&gt;35,DO36+DN37-DW36,IF(A37&lt;'Données projet'!$A$166,$DL$205^A37,IF(A37='Données projet'!$A$166,'Données projet'!$B$166,DO36+DN37-DW36)))</f>
        <v>81.923076923076906</v>
      </c>
      <c r="DP37" s="17">
        <f>DO37*VLOOKUP('Données projet'!$B$14,Paramètres!$A$1:$I$89,3,0)*VLOOKUP('Données projet'!$B$14,Paramètres!$A$1:$I$89,5,0)</f>
        <v>85.625999999999991</v>
      </c>
      <c r="DQ37" s="13">
        <f t="shared" si="43"/>
        <v>23.507282308556064</v>
      </c>
      <c r="DR37" s="20">
        <f t="shared" si="16"/>
        <v>190.07380002073512</v>
      </c>
      <c r="DS37" s="59">
        <f t="shared" si="17"/>
        <v>483.40713335406843</v>
      </c>
      <c r="DT37" s="59">
        <f ca="1">AVERAGE(OFFSET($DS$3,0,0,'Données projet'!$E$14+1,1))-AVERAGE(OFFSET($H$3,0,0,'Données projet'!$E$14+1,1))</f>
        <v>239.26156489359892</v>
      </c>
      <c r="DU37" s="59">
        <f t="shared" si="44"/>
        <v>213.97034450798111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8.3075754544951206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8.3075754544951206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3.3603333333333336</v>
      </c>
      <c r="EJ37" s="12">
        <f>IF('Données projet'!$A$192&gt;35,EJ36+EI37-ER36,IF(A37&lt;'Données projet'!$A$192,$EG$205^A37,IF(A37='Données projet'!$A$192,'Données projet'!$B$192,EJ36+EI37-ER36)))</f>
        <v>114.25133333333332</v>
      </c>
      <c r="EK37" s="17">
        <f>EJ37*VLOOKUP('Données projet'!$B$15,Paramètres!$A$1:$I$89,3,0)*VLOOKUP('Données projet'!$B$15,Paramètres!$A$1:$I$89,5,0)</f>
        <v>114.0685312</v>
      </c>
      <c r="EL37" s="13">
        <f t="shared" si="45"/>
        <v>30.287526658434505</v>
      </c>
      <c r="EM37" s="20">
        <f t="shared" si="19"/>
        <v>251.42013410344009</v>
      </c>
      <c r="EN37" s="59">
        <f t="shared" si="20"/>
        <v>544.75346743677346</v>
      </c>
      <c r="EO37" s="59">
        <f ca="1">AVERAGE(OFFSET($EN$3,0,0,'Données projet'!$E$15+1,1))-AVERAGE(OFFSET($H$3,0,0,'Données projet'!$E$15+1,1))</f>
        <v>525.74725170626471</v>
      </c>
      <c r="EP37" s="59">
        <f t="shared" si="46"/>
        <v>259.19103598192197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3.3603333333333336</v>
      </c>
      <c r="N38" s="13">
        <f>IF('Données projet'!$A$36&gt;35,N37+M38-V37,IF(A38&lt;'Données projet'!$A$36,$K$205^A38,IF(A38='Données projet'!$A$36,'Données projet'!$B$36,N37+M38-V37)))</f>
        <v>117.61166666666665</v>
      </c>
      <c r="O38" s="13">
        <f>N38*VLOOKUP('Données projet'!$B$9,Paramètres!$A$1:$I$89,3,0)*VLOOKUP('Données projet'!$B$9,Paramètres!$A$1:$I$89,5,0)</f>
        <v>119.25823</v>
      </c>
      <c r="P38" s="13">
        <f t="shared" si="33"/>
        <v>31.501931238975171</v>
      </c>
      <c r="Q38" s="20">
        <f t="shared" si="53"/>
        <v>262.57394749121505</v>
      </c>
      <c r="R38" s="59">
        <f t="shared" si="0"/>
        <v>555.90728082454837</v>
      </c>
      <c r="S38" s="59">
        <f ca="1">AVERAGE(OFFSET($R$3,0,0,'Données projet'!$E$9+1,1))-AVERAGE(OFFSET($H$3,0,0,'Données projet'!$E$9+1,1))</f>
        <v>533.26035274112917</v>
      </c>
      <c r="T38" s="59">
        <f t="shared" si="34"/>
        <v>262.58149402282521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4.5856818181818184</v>
      </c>
      <c r="AI38" s="13">
        <f>IF('Données projet'!$A$62&gt;35,AI37+AH38-AQ37,IF(A38&lt;'Données projet'!$A$62,$AF$205^A38,IF(A38='Données projet'!$A$62,'Données projet'!$B$62,AI37+AH38-AQ37)))</f>
        <v>160.49886363636378</v>
      </c>
      <c r="AJ38" s="13">
        <f>AI38*VLOOKUP('Données projet'!$B$10,Paramètres!$A$1:$I$89,3,0)*VLOOKUP('Données projet'!$B$10,Paramètres!$A$1:$I$89,5,0)</f>
        <v>145.21937181818194</v>
      </c>
      <c r="AK38" s="13">
        <f t="shared" si="35"/>
        <v>37.49013122697059</v>
      </c>
      <c r="AL38" s="20">
        <f t="shared" si="4"/>
        <v>318.21905113697397</v>
      </c>
      <c r="AM38" s="59">
        <f t="shared" si="5"/>
        <v>611.55238447030729</v>
      </c>
      <c r="AN38" s="59">
        <f ca="1">AVERAGE(OFFSET($AM$3,0,0,'Données projet'!$E$10+1,1))-AVERAGE(OFFSET($H$3,0,0,'Données projet'!$E$10+1,1))</f>
        <v>482.62991869403385</v>
      </c>
      <c r="AO38" s="59">
        <f t="shared" si="36"/>
        <v>310.43914804089906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206</v>
      </c>
      <c r="BB38" s="12">
        <f>VLOOKUP(A38,'Données projet'!$A$87:$I$107,9,0)</f>
        <v>12.8</v>
      </c>
      <c r="BC38" s="12">
        <f t="array" ref="BC38">INDEX(BB:BB,MIN(IF(ISNUMBER(BB38:BB234),ROW(BB38:BB234),"")))</f>
        <v>12.8</v>
      </c>
      <c r="BD38" s="12">
        <f>IF('Données projet'!$A$88&gt;35,BD37+BC38-BL37,IF(A38&lt;'Données projet'!$A$88,$BA$205^A38,IF(A38='Données projet'!$A$88,'Données projet'!$B$88,BD37+BC38-BL37)))</f>
        <v>205.99999999999997</v>
      </c>
      <c r="BE38" s="13">
        <f>BD38*VLOOKUP('Données projet'!$B$11,Paramètres!$A$1:$I$89,3,0)*VLOOKUP('Données projet'!$B$11,Paramètres!$A$1:$I$89,5,0)</f>
        <v>179.9616</v>
      </c>
      <c r="BF38" s="13">
        <f t="shared" si="37"/>
        <v>45.313642767960104</v>
      </c>
      <c r="BG38" s="20">
        <f t="shared" si="7"/>
        <v>392.35438115419714</v>
      </c>
      <c r="BH38" s="59">
        <f t="shared" si="8"/>
        <v>685.68771448753046</v>
      </c>
      <c r="BI38" s="59">
        <f ca="1">AVERAGE(OFFSET($BH$3,0,0,'Données projet'!$E$11+1,1))-AVERAGE(OFFSET($H$3,0,0,'Données projet'!$E$11+1,1))</f>
        <v>384.34044781465661</v>
      </c>
      <c r="BJ38" s="59">
        <f t="shared" si="38"/>
        <v>374.99493809709708</v>
      </c>
      <c r="BK38" s="15">
        <f>IF(ISNA(VLOOKUP(A38,'Données projet'!$A$87:$I$107,3,0)),0,VLOOKUP(A38,'Données projet'!$A$87:$I$107,3,0))</f>
        <v>5</v>
      </c>
      <c r="BL38" s="15">
        <f>IF(ISNA(VLOOKUP(A38,'Données projet'!$A$87:$I$107,4,0)),0,VLOOKUP(A38,'Données projet'!$A$87:$I$107,4,0))</f>
        <v>35</v>
      </c>
      <c r="BM38" s="16">
        <f>IF(ISNA(VLOOKUP(A38,'Données projet'!$A$87:$I$107,5,0)),0%,VLOOKUP(A38,'Données projet'!$A$87:$I$107,5,0)*VLOOKUP('Données projet'!$B$11,Paramètres!$A$1:$I$89,7,0))</f>
        <v>0.13250000000000001</v>
      </c>
      <c r="BN38" s="16">
        <f>IF(ISNA(VLOOKUP(A38,'Données projet'!$A$87:$I$107,6,0)),0%,VLOOKUP(A38,'Données projet'!$A$87:$I$107,6,0)*VLOOKUP('Données projet'!$B$11,Paramètres!$A$1:$I$89,7,0))</f>
        <v>0.13250000000000001</v>
      </c>
      <c r="BO38" s="16">
        <f>IF(ISNA(VLOOKUP(A38,'Données projet'!$A$87:$I$107,7,0)),0%,VLOOKUP(A38,'Données projet'!$A$87:$I$107,7,0))</f>
        <v>0.25</v>
      </c>
      <c r="BP38" s="21">
        <f>EXP(-LN(2)/35)*BP37+(1-EXP(-LN(2)/35))/(LN(2)/35)*BL38*BM38*VLOOKUP('Données projet'!$B$11,Paramètres!$A$1:$I$89,3,0)*0.475*44/12</f>
        <v>8.5350011745983139</v>
      </c>
      <c r="BQ38" s="21">
        <f>EXP(-LN(2)/25)*BQ37+(1-EXP(-LN(2)/25))/(LN(2)/25)*Calculateur!BL38*Calculateur!BN38*VLOOKUP('Données projet'!$B$11,Paramètres!$A$1:$I$89,3,0)*0.475*44/12</f>
        <v>17.010975901729889</v>
      </c>
      <c r="BR38" s="21">
        <f>EXP(-LN(2)/2)*BR37+(1-EXP(-LN(2)/2))/(LN(2)/2)*BL38*BO38*VLOOKUP('Données projet'!$B$11,Paramètres!$A$1:$I$89,3,0)*0.475*44/12</f>
        <v>8.7589571603880554</v>
      </c>
      <c r="BS38" s="22">
        <f t="shared" si="9"/>
        <v>34.304934236716257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4.5856818181818184</v>
      </c>
      <c r="BY38" s="12">
        <f>IF('Données projet'!$A$114&gt;35,BY37+BX38-CG37,IF(A38&lt;'Données projet'!$A$114,$BV$205^A38,IF(A38='Données projet'!$A$114,'Données projet'!$B$114,BY37+BX38-CG37)))</f>
        <v>160.49886363636378</v>
      </c>
      <c r="BZ38" s="13">
        <f>BY38*VLOOKUP('Données projet'!$B$12,Paramètres!$A$1:$I$89,3,0)*VLOOKUP('Données projet'!$B$12,Paramètres!$A$1:$I$89,5,0)</f>
        <v>152.73071863636378</v>
      </c>
      <c r="CA38" s="13">
        <f t="shared" si="39"/>
        <v>39.198498140719479</v>
      </c>
      <c r="CB38" s="20">
        <f t="shared" si="10"/>
        <v>334.27671922008659</v>
      </c>
      <c r="CC38" s="59">
        <f t="shared" si="11"/>
        <v>627.61005255341991</v>
      </c>
      <c r="CD38" s="59">
        <f ca="1">AVERAGE(OFFSET($CC$3,0,0,'Données projet'!$E$12+1,1))-AVERAGE(OFFSET($H$3,0,0,'Données projet'!$E$12+1,1))</f>
        <v>513.14430745499283</v>
      </c>
      <c r="CE38" s="59">
        <f t="shared" si="40"/>
        <v>324.2490378019823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7.3717948717948731</v>
      </c>
      <c r="CT38" s="12">
        <f>IF('Données projet'!$A$140&gt;35,CT37+CS38-DB37,IF(A38&lt;'Données projet'!$A$140,$CQ$205^A38,IF(A38='Données projet'!$A$140,'Données projet'!$B$140,CT37+CS38-DB37)))</f>
        <v>105.7692307692308</v>
      </c>
      <c r="CU38" s="17">
        <f>CT38*VLOOKUP('Données projet'!$B$13,Paramètres!$A$1:$I$89,3,0)*VLOOKUP('Données projet'!$B$13,Paramètres!$A$1:$I$89,5,0)</f>
        <v>82.500000000000028</v>
      </c>
      <c r="CV38" s="13">
        <f t="shared" si="41"/>
        <v>22.747348109696244</v>
      </c>
      <c r="CW38" s="20">
        <f t="shared" si="13"/>
        <v>183.30579795772098</v>
      </c>
      <c r="CX38" s="59">
        <f t="shared" si="14"/>
        <v>476.6391312910543</v>
      </c>
      <c r="CY38" s="59">
        <f ca="1">AVERAGE(OFFSET($CX$3,0,0,'Données projet'!$E$13+1,1))-AVERAGE(OFFSET($H$3,0,0,'Données projet'!$E$13+1,1))</f>
        <v>197.51452239559433</v>
      </c>
      <c r="CZ38" s="59">
        <f t="shared" si="42"/>
        <v>196.65166921588821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1.9761715909366278</v>
      </c>
      <c r="DG38" s="21">
        <f>EXP(-LN(2)/25)*DG37+(1-EXP(-LN(2)/25))/(LN(2)/25)*Calculateur!DB38*Calculateur!DD38*VLOOKUP('Données projet'!$B$13,Paramètres!$A$1:$I$89,3,0)*0.475*44/12</f>
        <v>4.1962203760813184</v>
      </c>
      <c r="DH38" s="21">
        <f>EXP(-LN(2)/2)*DH37+(1-EXP(-LN(2)/2))/(LN(2)/2)*DB38*DE38*VLOOKUP('Données projet'!$B$13,Paramètres!$A$1:$I$89,3,0)*0.475*44/12</f>
        <v>1.1776143476411169</v>
      </c>
      <c r="DI38" s="22">
        <f t="shared" si="15"/>
        <v>7.3500063146590628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86.538461538461533</v>
      </c>
      <c r="DM38" s="12">
        <f>VLOOKUP(A38,'Données projet'!$A$165:$I$185,9,0)</f>
        <v>4.6153846153846132</v>
      </c>
      <c r="DN38" s="12">
        <f t="array" ref="DN38">INDEX(DM:DM,MIN(IF(ISNUMBER(DM38:DM234),ROW(DM38:DM234),"")))</f>
        <v>4.6153846153846132</v>
      </c>
      <c r="DO38" s="12">
        <f>IF('Données projet'!$A$166&gt;35,DO37+DN38-DW37,IF(A38&lt;'Données projet'!$A$166,$DL$205^A38,IF(A38='Données projet'!$A$166,'Données projet'!$B$166,DO37+DN38-DW37)))</f>
        <v>86.538461538461519</v>
      </c>
      <c r="DP38" s="17">
        <f>DO38*VLOOKUP('Données projet'!$B$14,Paramètres!$A$1:$I$89,3,0)*VLOOKUP('Données projet'!$B$14,Paramètres!$A$1:$I$89,5,0)</f>
        <v>90.449999999999989</v>
      </c>
      <c r="DQ38" s="13">
        <f t="shared" si="43"/>
        <v>24.673722634554377</v>
      </c>
      <c r="DR38" s="20">
        <f t="shared" si="16"/>
        <v>200.50715025518218</v>
      </c>
      <c r="DS38" s="59">
        <f t="shared" si="17"/>
        <v>493.8404835885155</v>
      </c>
      <c r="DT38" s="59">
        <f ca="1">AVERAGE(OFFSET($DS$3,0,0,'Données projet'!$E$14+1,1))-AVERAGE(OFFSET($H$3,0,0,'Données projet'!$E$14+1,1))</f>
        <v>239.26156489359892</v>
      </c>
      <c r="DU38" s="59">
        <f t="shared" si="44"/>
        <v>213.97034450798111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12.820512820512819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0.215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11.252724522259671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11.252724522259671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3.3603333333333336</v>
      </c>
      <c r="EJ38" s="12">
        <f>IF('Données projet'!$A$192&gt;35,EJ37+EI38-ER37,IF(A38&lt;'Données projet'!$A$192,$EG$205^A38,IF(A38='Données projet'!$A$192,'Données projet'!$B$192,EJ37+EI38-ER37)))</f>
        <v>117.61166666666665</v>
      </c>
      <c r="EK38" s="17">
        <f>EJ38*VLOOKUP('Données projet'!$B$15,Paramètres!$A$1:$I$89,3,0)*VLOOKUP('Données projet'!$B$15,Paramètres!$A$1:$I$89,5,0)</f>
        <v>117.42348799999999</v>
      </c>
      <c r="EL38" s="13">
        <f t="shared" si="45"/>
        <v>31.073313186211099</v>
      </c>
      <c r="EM38" s="20">
        <f t="shared" si="19"/>
        <v>258.63192873265098</v>
      </c>
      <c r="EN38" s="59">
        <f t="shared" si="20"/>
        <v>551.96526206598423</v>
      </c>
      <c r="EO38" s="59">
        <f ca="1">AVERAGE(OFFSET($EN$3,0,0,'Données projet'!$E$15+1,1))-AVERAGE(OFFSET($H$3,0,0,'Données projet'!$E$15+1,1))</f>
        <v>525.74725170626471</v>
      </c>
      <c r="EP38" s="59">
        <f t="shared" si="46"/>
        <v>259.19103598192197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3.3603333333333336</v>
      </c>
      <c r="N39" s="13">
        <f>IF('Données projet'!$A$36&gt;35,N38+M39-V38,IF(A39&lt;'Données projet'!$A$36,$K$205^A39,IF(A39='Données projet'!$A$36,'Données projet'!$B$36,N38+M39-V38)))</f>
        <v>120.97199999999998</v>
      </c>
      <c r="O39" s="13">
        <f>N39*VLOOKUP('Données projet'!$B$9,Paramètres!$A$1:$I$89,3,0)*VLOOKUP('Données projet'!$B$9,Paramètres!$A$1:$I$89,5,0)</f>
        <v>122.66560799999998</v>
      </c>
      <c r="P39" s="13">
        <f t="shared" si="33"/>
        <v>32.295911394857214</v>
      </c>
      <c r="Q39" s="20">
        <f t="shared" si="53"/>
        <v>269.89131294604289</v>
      </c>
      <c r="R39" s="59">
        <f t="shared" si="0"/>
        <v>563.2246462793762</v>
      </c>
      <c r="S39" s="59">
        <f ca="1">AVERAGE(OFFSET($R$3,0,0,'Données projet'!$E$9+1,1))-AVERAGE(OFFSET($H$3,0,0,'Données projet'!$E$9+1,1))</f>
        <v>533.26035274112917</v>
      </c>
      <c r="T39" s="59">
        <f t="shared" si="34"/>
        <v>262.58149402282521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4.5856818181818184</v>
      </c>
      <c r="AI39" s="13">
        <f>IF('Données projet'!$A$62&gt;35,AI38+AH39-AQ38,IF(A39&lt;'Données projet'!$A$62,$AF$205^A39,IF(A39='Données projet'!$A$62,'Données projet'!$B$62,AI38+AH39-AQ38)))</f>
        <v>165.08454545454561</v>
      </c>
      <c r="AJ39" s="13">
        <f>AI39*VLOOKUP('Données projet'!$B$10,Paramètres!$A$1:$I$89,3,0)*VLOOKUP('Données projet'!$B$10,Paramètres!$A$1:$I$89,5,0)</f>
        <v>149.36849672727286</v>
      </c>
      <c r="AK39" s="13">
        <f t="shared" si="35"/>
        <v>38.435039017220589</v>
      </c>
      <c r="AL39" s="20">
        <f t="shared" si="4"/>
        <v>327.09115808832604</v>
      </c>
      <c r="AM39" s="59">
        <f t="shared" si="5"/>
        <v>620.42449142165935</v>
      </c>
      <c r="AN39" s="59">
        <f ca="1">AVERAGE(OFFSET($AM$3,0,0,'Données projet'!$E$10+1,1))-AVERAGE(OFFSET($H$3,0,0,'Données projet'!$E$10+1,1))</f>
        <v>482.62991869403385</v>
      </c>
      <c r="AO39" s="59">
        <f t="shared" si="36"/>
        <v>310.43914804089906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</v>
      </c>
      <c r="BD39" s="12">
        <f>IF('Données projet'!$A$88&gt;35,BD38+BC39-BL38,IF(A39&lt;'Données projet'!$A$88,$BA$205^A39,IF(A39='Données projet'!$A$88,'Données projet'!$B$88,BD38+BC39-BL38)))</f>
        <v>182.39999999999998</v>
      </c>
      <c r="BE39" s="13">
        <f>BD39*VLOOKUP('Données projet'!$B$11,Paramètres!$A$1:$I$89,3,0)*VLOOKUP('Données projet'!$B$11,Paramètres!$A$1:$I$89,5,0)</f>
        <v>159.34464</v>
      </c>
      <c r="BF39" s="13">
        <f t="shared" si="37"/>
        <v>40.694661837553809</v>
      </c>
      <c r="BG39" s="20">
        <f t="shared" si="7"/>
        <v>348.40178403373949</v>
      </c>
      <c r="BH39" s="59">
        <f t="shared" si="8"/>
        <v>641.7351173670728</v>
      </c>
      <c r="BI39" s="59">
        <f ca="1">AVERAGE(OFFSET($BH$3,0,0,'Données projet'!$E$11+1,1))-AVERAGE(OFFSET($H$3,0,0,'Données projet'!$E$11+1,1))</f>
        <v>384.34044781465661</v>
      </c>
      <c r="BJ39" s="59">
        <f t="shared" si="38"/>
        <v>374.99493809709708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8.3676350074011232</v>
      </c>
      <c r="BQ39" s="21">
        <f>EXP(-LN(2)/25)*BQ38+(1-EXP(-LN(2)/25))/(LN(2)/25)*Calculateur!BL39*Calculateur!BN39*VLOOKUP('Données projet'!$B$11,Paramètres!$A$1:$I$89,3,0)*0.475*44/12</f>
        <v>16.545809871128743</v>
      </c>
      <c r="BR39" s="21">
        <f>EXP(-LN(2)/2)*BR38+(1-EXP(-LN(2)/2))/(LN(2)/2)*BL39*BO39*VLOOKUP('Données projet'!$B$11,Paramètres!$A$1:$I$89,3,0)*0.475*44/12</f>
        <v>6.1935180042328604</v>
      </c>
      <c r="BS39" s="22">
        <f t="shared" si="9"/>
        <v>31.106962882762726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4.5856818181818184</v>
      </c>
      <c r="BY39" s="12">
        <f>IF('Données projet'!$A$114&gt;35,BY38+BX39-CG38,IF(A39&lt;'Données projet'!$A$114,$BV$205^A39,IF(A39='Données projet'!$A$114,'Données projet'!$B$114,BY38+BX39-CG38)))</f>
        <v>165.08454545454561</v>
      </c>
      <c r="BZ39" s="13">
        <f>BY39*VLOOKUP('Données projet'!$B$12,Paramètres!$A$1:$I$89,3,0)*VLOOKUP('Données projet'!$B$12,Paramètres!$A$1:$I$89,5,0)</f>
        <v>157.0944534545456</v>
      </c>
      <c r="CA39" s="13">
        <f t="shared" si="39"/>
        <v>40.186463907897725</v>
      </c>
      <c r="CB39" s="20">
        <f t="shared" si="10"/>
        <v>343.59759773958876</v>
      </c>
      <c r="CC39" s="59">
        <f t="shared" si="11"/>
        <v>636.93093107292202</v>
      </c>
      <c r="CD39" s="59">
        <f ca="1">AVERAGE(OFFSET($CC$3,0,0,'Données projet'!$E$12+1,1))-AVERAGE(OFFSET($H$3,0,0,'Données projet'!$E$12+1,1))</f>
        <v>513.14430745499283</v>
      </c>
      <c r="CE39" s="59">
        <f t="shared" si="40"/>
        <v>324.2490378019823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7.3717948717948731</v>
      </c>
      <c r="CT39" s="12">
        <f>IF('Données projet'!$A$140&gt;35,CT38+CS39-DB38,IF(A39&lt;'Données projet'!$A$140,$CQ$205^A39,IF(A39='Données projet'!$A$140,'Données projet'!$B$140,CT38+CS39-DB38)))</f>
        <v>113.14102564102568</v>
      </c>
      <c r="CU39" s="17">
        <f>CT39*VLOOKUP('Données projet'!$B$13,Paramètres!$A$1:$I$89,3,0)*VLOOKUP('Données projet'!$B$13,Paramètres!$A$1:$I$89,5,0)</f>
        <v>88.250000000000028</v>
      </c>
      <c r="CV39" s="13">
        <f t="shared" si="41"/>
        <v>24.142686012928117</v>
      </c>
      <c r="CW39" s="20">
        <f t="shared" si="13"/>
        <v>195.75059480584989</v>
      </c>
      <c r="CX39" s="59">
        <f t="shared" si="14"/>
        <v>489.08392813918317</v>
      </c>
      <c r="CY39" s="59">
        <f ca="1">AVERAGE(OFFSET($CX$3,0,0,'Données projet'!$E$13+1,1))-AVERAGE(OFFSET($H$3,0,0,'Données projet'!$E$13+1,1))</f>
        <v>197.51452239559433</v>
      </c>
      <c r="CZ39" s="59">
        <f t="shared" si="42"/>
        <v>196.65166921588821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1.9374200713840131</v>
      </c>
      <c r="DG39" s="21">
        <f>EXP(-LN(2)/25)*DG38+(1-EXP(-LN(2)/25))/(LN(2)/25)*Calculateur!DB39*Calculateur!DD39*VLOOKUP('Données projet'!$B$13,Paramètres!$A$1:$I$89,3,0)*0.475*44/12</f>
        <v>4.0814745092277356</v>
      </c>
      <c r="DH39" s="21">
        <f>EXP(-LN(2)/2)*DH38+(1-EXP(-LN(2)/2))/(LN(2)/2)*DB39*DE39*VLOOKUP('Données projet'!$B$13,Paramètres!$A$1:$I$89,3,0)*0.475*44/12</f>
        <v>0.83269909083960625</v>
      </c>
      <c r="DI39" s="22">
        <f t="shared" si="15"/>
        <v>6.8515936714513543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4.4871794871794863</v>
      </c>
      <c r="DO39" s="12">
        <f>IF('Données projet'!$A$166&gt;35,DO38+DN39-DW38,IF(A39&lt;'Données projet'!$A$166,$DL$205^A39,IF(A39='Données projet'!$A$166,'Données projet'!$B$166,DO38+DN39-DW38)))</f>
        <v>78.20512820512819</v>
      </c>
      <c r="DP39" s="17">
        <f>DO39*VLOOKUP('Données projet'!$B$14,Paramètres!$A$1:$I$89,3,0)*VLOOKUP('Données projet'!$B$14,Paramètres!$A$1:$I$89,5,0)</f>
        <v>81.739999999999995</v>
      </c>
      <c r="DQ39" s="13">
        <f t="shared" si="43"/>
        <v>22.56208894179845</v>
      </c>
      <c r="DR39" s="20">
        <f t="shared" si="16"/>
        <v>181.65947157363226</v>
      </c>
      <c r="DS39" s="59">
        <f t="shared" si="17"/>
        <v>474.9928049069656</v>
      </c>
      <c r="DT39" s="59">
        <f ca="1">AVERAGE(OFFSET($DS$3,0,0,'Données projet'!$E$14+1,1))-AVERAGE(OFFSET($H$3,0,0,'Données projet'!$E$14+1,1))</f>
        <v>239.26156489359892</v>
      </c>
      <c r="DU39" s="59">
        <f t="shared" si="44"/>
        <v>213.97034450798111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10.945018178443416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10.945018178443416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3.3603333333333336</v>
      </c>
      <c r="EJ39" s="12">
        <f>IF('Données projet'!$A$192&gt;35,EJ38+EI39-ER38,IF(A39&lt;'Données projet'!$A$192,$EG$205^A39,IF(A39='Données projet'!$A$192,'Données projet'!$B$192,EJ38+EI39-ER38)))</f>
        <v>120.97199999999998</v>
      </c>
      <c r="EK39" s="17">
        <f>EJ39*VLOOKUP('Données projet'!$B$15,Paramètres!$A$1:$I$89,3,0)*VLOOKUP('Données projet'!$B$15,Paramètres!$A$1:$I$89,5,0)</f>
        <v>120.77844479999999</v>
      </c>
      <c r="EL39" s="13">
        <f t="shared" si="45"/>
        <v>31.856490378117194</v>
      </c>
      <c r="EM39" s="20">
        <f t="shared" si="19"/>
        <v>265.83917876855406</v>
      </c>
      <c r="EN39" s="59">
        <f t="shared" si="20"/>
        <v>559.17251210188738</v>
      </c>
      <c r="EO39" s="59">
        <f ca="1">AVERAGE(OFFSET($EN$3,0,0,'Données projet'!$E$15+1,1))-AVERAGE(OFFSET($H$3,0,0,'Données projet'!$E$15+1,1))</f>
        <v>525.74725170626471</v>
      </c>
      <c r="EP39" s="59">
        <f t="shared" si="46"/>
        <v>259.19103598192197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3.3603333333333336</v>
      </c>
      <c r="N40" s="13">
        <f>IF('Données projet'!$A$36&gt;35,N39+M40-V39,IF(A40&lt;'Données projet'!$A$36,$K$205^A40,IF(A40='Données projet'!$A$36,'Données projet'!$B$36,N39+M40-V39)))</f>
        <v>124.33233333333331</v>
      </c>
      <c r="O40" s="13">
        <f>N40*VLOOKUP('Données projet'!$B$9,Paramètres!$A$1:$I$89,3,0)*VLOOKUP('Données projet'!$B$9,Paramètres!$A$1:$I$89,5,0)</f>
        <v>126.07298599999999</v>
      </c>
      <c r="P40" s="13">
        <f t="shared" si="33"/>
        <v>33.08732814573294</v>
      </c>
      <c r="Q40" s="20">
        <f t="shared" si="53"/>
        <v>277.20421380381816</v>
      </c>
      <c r="R40" s="59">
        <f t="shared" si="0"/>
        <v>570.53754713715148</v>
      </c>
      <c r="S40" s="59">
        <f ca="1">AVERAGE(OFFSET($R$3,0,0,'Données projet'!$E$9+1,1))-AVERAGE(OFFSET($H$3,0,0,'Données projet'!$E$9+1,1))</f>
        <v>533.26035274112917</v>
      </c>
      <c r="T40" s="59">
        <f t="shared" si="34"/>
        <v>262.58149402282521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4.5856818181818184</v>
      </c>
      <c r="AI40" s="13">
        <f>IF('Données projet'!$A$62&gt;35,AI39+AH40-AQ39,IF(A40&lt;'Données projet'!$A$62,$AF$205^A40,IF(A40='Données projet'!$A$62,'Données projet'!$B$62,AI39+AH40-AQ39)))</f>
        <v>169.67022727272743</v>
      </c>
      <c r="AJ40" s="13">
        <f>AI40*VLOOKUP('Données projet'!$B$10,Paramètres!$A$1:$I$89,3,0)*VLOOKUP('Données projet'!$B$10,Paramètres!$A$1:$I$89,5,0)</f>
        <v>153.51762163636377</v>
      </c>
      <c r="AK40" s="13">
        <f t="shared" si="35"/>
        <v>39.376896124979325</v>
      </c>
      <c r="AL40" s="20">
        <f t="shared" si="4"/>
        <v>335.95795176767251</v>
      </c>
      <c r="AM40" s="59">
        <f t="shared" si="5"/>
        <v>629.29128510100577</v>
      </c>
      <c r="AN40" s="59">
        <f ca="1">AVERAGE(OFFSET($AM$3,0,0,'Données projet'!$E$10+1,1))-AVERAGE(OFFSET($H$3,0,0,'Données projet'!$E$10+1,1))</f>
        <v>482.62991869403385</v>
      </c>
      <c r="AO40" s="59">
        <f t="shared" si="36"/>
        <v>310.43914804089906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</v>
      </c>
      <c r="BD40" s="12">
        <f>IF('Données projet'!$A$88&gt;35,BD39+BC40-BL39,IF(A40&lt;'Données projet'!$A$88,$BA$205^A40,IF(A40='Données projet'!$A$88,'Données projet'!$B$88,BD39+BC40-BL39)))</f>
        <v>193.79999999999998</v>
      </c>
      <c r="BE40" s="13">
        <f>BD40*VLOOKUP('Données projet'!$B$11,Paramètres!$A$1:$I$89,3,0)*VLOOKUP('Données projet'!$B$11,Paramètres!$A$1:$I$89,5,0)</f>
        <v>169.30368000000001</v>
      </c>
      <c r="BF40" s="13">
        <f t="shared" si="37"/>
        <v>42.934033834973214</v>
      </c>
      <c r="BG40" s="20">
        <f t="shared" si="7"/>
        <v>369.64735159591169</v>
      </c>
      <c r="BH40" s="59">
        <f t="shared" si="8"/>
        <v>662.98068492924494</v>
      </c>
      <c r="BI40" s="59">
        <f ca="1">AVERAGE(OFFSET($BH$3,0,0,'Données projet'!$E$11+1,1))-AVERAGE(OFFSET($H$3,0,0,'Données projet'!$E$11+1,1))</f>
        <v>384.34044781465661</v>
      </c>
      <c r="BJ40" s="59">
        <f t="shared" si="38"/>
        <v>374.99493809709708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8.2035507886593884</v>
      </c>
      <c r="BQ40" s="21">
        <f>EXP(-LN(2)/25)*BQ39+(1-EXP(-LN(2)/25))/(LN(2)/25)*Calculateur!BL40*Calculateur!BN40*VLOOKUP('Données projet'!$B$11,Paramètres!$A$1:$I$89,3,0)*0.475*44/12</f>
        <v>16.093363830096401</v>
      </c>
      <c r="BR40" s="21">
        <f>EXP(-LN(2)/2)*BR39+(1-EXP(-LN(2)/2))/(LN(2)/2)*BL40*BO40*VLOOKUP('Données projet'!$B$11,Paramètres!$A$1:$I$89,3,0)*0.475*44/12</f>
        <v>4.3794785801940277</v>
      </c>
      <c r="BS40" s="22">
        <f t="shared" si="9"/>
        <v>28.676393198949818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4.5856818181818184</v>
      </c>
      <c r="BY40" s="12">
        <f>IF('Données projet'!$A$114&gt;35,BY39+BX40-CG39,IF(A40&lt;'Données projet'!$A$114,$BV$205^A40,IF(A40='Données projet'!$A$114,'Données projet'!$B$114,BY39+BX40-CG39)))</f>
        <v>169.67022727272743</v>
      </c>
      <c r="BZ40" s="13">
        <f>BY40*VLOOKUP('Données projet'!$B$12,Paramètres!$A$1:$I$89,3,0)*VLOOKUP('Données projet'!$B$12,Paramètres!$A$1:$I$89,5,0)</f>
        <v>161.45818827272743</v>
      </c>
      <c r="CA40" s="13">
        <f t="shared" si="39"/>
        <v>41.171239977732952</v>
      </c>
      <c r="CB40" s="20">
        <f t="shared" si="10"/>
        <v>352.91292086955173</v>
      </c>
      <c r="CC40" s="59">
        <f t="shared" si="11"/>
        <v>646.24625420288498</v>
      </c>
      <c r="CD40" s="59">
        <f ca="1">AVERAGE(OFFSET($CC$3,0,0,'Données projet'!$E$12+1,1))-AVERAGE(OFFSET($H$3,0,0,'Données projet'!$E$12+1,1))</f>
        <v>513.14430745499283</v>
      </c>
      <c r="CE40" s="59">
        <f t="shared" si="40"/>
        <v>324.2490378019823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>
        <f>VLOOKUP(A40,'Données projet'!$A$139:$I$159,2,0)</f>
        <v>120.51282051282051</v>
      </c>
      <c r="CR40" s="12">
        <f>VLOOKUP(A40,'Données projet'!$A$139:$I$159,9,0)</f>
        <v>7.3717948717948731</v>
      </c>
      <c r="CS40" s="12">
        <f t="array" ref="CS40">INDEX(CR:CR,MIN(IF(ISNUMBER(CR40:CR236),ROW(CR40:CR236),"")))</f>
        <v>7.3717948717948731</v>
      </c>
      <c r="CT40" s="12">
        <f>IF('Données projet'!$A$140&gt;35,CT39+CS40-DB39,IF(A40&lt;'Données projet'!$A$140,$CQ$205^A40,IF(A40='Données projet'!$A$140,'Données projet'!$B$140,CT39+CS40-DB39)))</f>
        <v>120.51282051282055</v>
      </c>
      <c r="CU40" s="17">
        <f>CT40*VLOOKUP('Données projet'!$B$13,Paramètres!$A$1:$I$89,3,0)*VLOOKUP('Données projet'!$B$13,Paramètres!$A$1:$I$89,5,0)</f>
        <v>94.000000000000028</v>
      </c>
      <c r="CV40" s="13">
        <f t="shared" si="41"/>
        <v>25.527473634349285</v>
      </c>
      <c r="CW40" s="20">
        <f t="shared" si="13"/>
        <v>208.17701657982505</v>
      </c>
      <c r="CX40" s="59">
        <f t="shared" si="14"/>
        <v>501.51034991315839</v>
      </c>
      <c r="CY40" s="59">
        <f ca="1">AVERAGE(OFFSET($CX$3,0,0,'Données projet'!$E$13+1,1))-AVERAGE(OFFSET($H$3,0,0,'Données projet'!$E$13+1,1))</f>
        <v>197.51452239559433</v>
      </c>
      <c r="CZ40" s="59">
        <f t="shared" si="42"/>
        <v>196.65166921588821</v>
      </c>
      <c r="DA40" s="15">
        <f>IF(ISNA(VLOOKUP(A40,'Données projet'!$A$139:$I$159,3,0)),0,VLOOKUP(A40,'Données projet'!$A$139:$I$159,3,0))</f>
        <v>5</v>
      </c>
      <c r="DB40" s="15">
        <f>IF(ISNA(VLOOKUP(A40,'Données projet'!$A$139:$I$159,4,0)),0,VLOOKUP(A40,'Données projet'!$A$139:$I$159,4,0))</f>
        <v>23.076923076923077</v>
      </c>
      <c r="DC40" s="16">
        <f>IF(ISNA(VLOOKUP(A40,'Données projet'!$A$139:$I$159,5,0)),0%,VLOOKUP(A40,'Données projet'!$A$139:$I$159,5,0)*VLOOKUP('Données projet'!$B$13,Paramètres!$A$1:$I$89,7,0))</f>
        <v>0.1075</v>
      </c>
      <c r="DD40" s="16">
        <f>IF(ISNA(VLOOKUP(A40,'Données projet'!$A$139:$I$159,6,0)),0%,VLOOKUP(A40,'Données projet'!$A$139:$I$159,6,0)*VLOOKUP('Données projet'!$B$13,Paramètres!$A$1:$I$89,7,0))</f>
        <v>0.1075</v>
      </c>
      <c r="DE40" s="16">
        <f>IF(ISNA(VLOOKUP(A40,'Données projet'!$A$139:$I$159,7,0)),0%,VLOOKUP(A40,'Données projet'!$A$139:$I$159,7,0))</f>
        <v>0.25</v>
      </c>
      <c r="DF40" s="21">
        <f>EXP(-LN(2)/35)*DF39+(1-EXP(-LN(2)/35))/(LN(2)/35)*DB40*DC40*VLOOKUP('Données projet'!$B$13,Paramètres!$A$1:$I$89,3,0)*0.475*44/12</f>
        <v>4.0385136298899909</v>
      </c>
      <c r="DG40" s="21">
        <f>EXP(-LN(2)/25)*DG39+(1-EXP(-LN(2)/25))/(LN(2)/25)*Calculateur!DB40*Calculateur!DD40*VLOOKUP('Données projet'!$B$13,Paramètres!$A$1:$I$89,3,0)*0.475*44/12</f>
        <v>6.1005291651074227</v>
      </c>
      <c r="DH40" s="21">
        <f>EXP(-LN(2)/2)*DH39+(1-EXP(-LN(2)/2))/(LN(2)/2)*DB40*DE40*VLOOKUP('Données projet'!$B$13,Paramètres!$A$1:$I$89,3,0)*0.475*44/12</f>
        <v>4.8346782895448053</v>
      </c>
      <c r="DI40" s="22">
        <f t="shared" si="15"/>
        <v>14.97372108454222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4.4871794871794863</v>
      </c>
      <c r="DO40" s="12">
        <f>IF('Données projet'!$A$166&gt;35,DO39+DN40-DW39,IF(A40&lt;'Données projet'!$A$166,$DL$205^A40,IF(A40='Données projet'!$A$166,'Données projet'!$B$166,DO39+DN40-DW39)))</f>
        <v>82.692307692307679</v>
      </c>
      <c r="DP40" s="17">
        <f>DO40*VLOOKUP('Données projet'!$B$14,Paramètres!$A$1:$I$89,3,0)*VLOOKUP('Données projet'!$B$14,Paramètres!$A$1:$I$89,5,0)</f>
        <v>86.429999999999993</v>
      </c>
      <c r="DQ40" s="13">
        <f t="shared" si="43"/>
        <v>23.702209286798929</v>
      </c>
      <c r="DR40" s="20">
        <f t="shared" si="16"/>
        <v>191.81359784117478</v>
      </c>
      <c r="DS40" s="59">
        <f t="shared" si="17"/>
        <v>485.1469311745081</v>
      </c>
      <c r="DT40" s="59">
        <f ca="1">AVERAGE(OFFSET($DS$3,0,0,'Données projet'!$E$14+1,1))-AVERAGE(OFFSET($H$3,0,0,'Données projet'!$E$14+1,1))</f>
        <v>239.26156489359892</v>
      </c>
      <c r="DU40" s="59">
        <f t="shared" si="44"/>
        <v>213.97034450798111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10.64572608078039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10.64572608078039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3.3603333333333336</v>
      </c>
      <c r="EJ40" s="12">
        <f>IF('Données projet'!$A$192&gt;35,EJ39+EI40-ER39,IF(A40&lt;'Données projet'!$A$192,$EG$205^A40,IF(A40='Données projet'!$A$192,'Données projet'!$B$192,EJ39+EI40-ER39)))</f>
        <v>124.33233333333331</v>
      </c>
      <c r="EK40" s="17">
        <f>EJ40*VLOOKUP('Données projet'!$B$15,Paramètres!$A$1:$I$89,3,0)*VLOOKUP('Données projet'!$B$15,Paramètres!$A$1:$I$89,5,0)</f>
        <v>124.13340159999998</v>
      </c>
      <c r="EL40" s="13">
        <f t="shared" si="45"/>
        <v>32.63713904293143</v>
      </c>
      <c r="EM40" s="20">
        <f t="shared" si="19"/>
        <v>273.04202495310557</v>
      </c>
      <c r="EN40" s="59">
        <f t="shared" si="20"/>
        <v>566.37535828643888</v>
      </c>
      <c r="EO40" s="59">
        <f ca="1">AVERAGE(OFFSET($EN$3,0,0,'Données projet'!$E$15+1,1))-AVERAGE(OFFSET($H$3,0,0,'Données projet'!$E$15+1,1))</f>
        <v>525.74725170626471</v>
      </c>
      <c r="EP40" s="59">
        <f t="shared" si="46"/>
        <v>259.19103598192197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3.3603333333333336</v>
      </c>
      <c r="N41" s="13">
        <f>IF('Données projet'!$A$36&gt;35,N40+M41-V40,IF(A41&lt;'Données projet'!$A$36,$K$205^A41,IF(A41='Données projet'!$A$36,'Données projet'!$B$36,N40+M41-V40)))</f>
        <v>127.69266666666664</v>
      </c>
      <c r="O41" s="13">
        <f>N41*VLOOKUP('Données projet'!$B$9,Paramètres!$A$1:$I$89,3,0)*VLOOKUP('Données projet'!$B$9,Paramètres!$A$1:$I$89,5,0)</f>
        <v>129.48036399999998</v>
      </c>
      <c r="P41" s="13">
        <f t="shared" si="33"/>
        <v>33.876258734659984</v>
      </c>
      <c r="Q41" s="20">
        <f t="shared" si="53"/>
        <v>284.51278459619942</v>
      </c>
      <c r="R41" s="59">
        <f t="shared" si="0"/>
        <v>577.84611792953274</v>
      </c>
      <c r="S41" s="59">
        <f ca="1">AVERAGE(OFFSET($R$3,0,0,'Données projet'!$E$9+1,1))-AVERAGE(OFFSET($H$3,0,0,'Données projet'!$E$9+1,1))</f>
        <v>533.26035274112917</v>
      </c>
      <c r="T41" s="59">
        <f t="shared" si="34"/>
        <v>262.58149402282521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4.5856818181818184</v>
      </c>
      <c r="AI41" s="13">
        <f>IF('Données projet'!$A$62&gt;35,AI40+AH41-AQ40,IF(A41&lt;'Données projet'!$A$62,$AF$205^A41,IF(A41='Données projet'!$A$62,'Données projet'!$B$62,AI40+AH41-AQ40)))</f>
        <v>174.25590909090926</v>
      </c>
      <c r="AJ41" s="13">
        <f>AI41*VLOOKUP('Données projet'!$B$10,Paramètres!$A$1:$I$89,3,0)*VLOOKUP('Données projet'!$B$10,Paramètres!$A$1:$I$89,5,0)</f>
        <v>157.66674654545469</v>
      </c>
      <c r="AK41" s="13">
        <f t="shared" si="35"/>
        <v>40.315794476431826</v>
      </c>
      <c r="AL41" s="20">
        <f t="shared" si="4"/>
        <v>344.81959227978564</v>
      </c>
      <c r="AM41" s="59">
        <f t="shared" si="5"/>
        <v>638.1529256131189</v>
      </c>
      <c r="AN41" s="59">
        <f ca="1">AVERAGE(OFFSET($AM$3,0,0,'Données projet'!$E$10+1,1))-AVERAGE(OFFSET($H$3,0,0,'Données projet'!$E$10+1,1))</f>
        <v>482.62991869403385</v>
      </c>
      <c r="AO41" s="59">
        <f t="shared" si="36"/>
        <v>310.43914804089906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</v>
      </c>
      <c r="BD41" s="12">
        <f>IF('Données projet'!$A$88&gt;35,BD40+BC41-BL40,IF(A41&lt;'Données projet'!$A$88,$BA$205^A41,IF(A41='Données projet'!$A$88,'Données projet'!$B$88,BD40+BC41-BL40)))</f>
        <v>205.2</v>
      </c>
      <c r="BE41" s="13">
        <f>BD41*VLOOKUP('Données projet'!$B$11,Paramètres!$A$1:$I$89,3,0)*VLOOKUP('Données projet'!$B$11,Paramètres!$A$1:$I$89,5,0)</f>
        <v>179.26272</v>
      </c>
      <c r="BF41" s="13">
        <f t="shared" si="37"/>
        <v>45.158115787467153</v>
      </c>
      <c r="BG41" s="20">
        <f t="shared" si="7"/>
        <v>390.86628899650526</v>
      </c>
      <c r="BH41" s="59">
        <f t="shared" si="8"/>
        <v>684.19962232983858</v>
      </c>
      <c r="BI41" s="59">
        <f ca="1">AVERAGE(OFFSET($BH$3,0,0,'Données projet'!$E$11+1,1))-AVERAGE(OFFSET($H$3,0,0,'Données projet'!$E$11+1,1))</f>
        <v>384.34044781465661</v>
      </c>
      <c r="BJ41" s="59">
        <f t="shared" si="38"/>
        <v>374.99493809709708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8.0426841613656865</v>
      </c>
      <c r="BQ41" s="21">
        <f>EXP(-LN(2)/25)*BQ40+(1-EXP(-LN(2)/25))/(LN(2)/25)*Calculateur!BL41*Calculateur!BN41*VLOOKUP('Données projet'!$B$11,Paramètres!$A$1:$I$89,3,0)*0.475*44/12</f>
        <v>15.653289949849192</v>
      </c>
      <c r="BR41" s="21">
        <f>EXP(-LN(2)/2)*BR40+(1-EXP(-LN(2)/2))/(LN(2)/2)*BL41*BO41*VLOOKUP('Données projet'!$B$11,Paramètres!$A$1:$I$89,3,0)*0.475*44/12</f>
        <v>3.0967590021164302</v>
      </c>
      <c r="BS41" s="22">
        <f t="shared" si="9"/>
        <v>26.792733113331309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4.5856818181818184</v>
      </c>
      <c r="BY41" s="12">
        <f>IF('Données projet'!$A$114&gt;35,BY40+BX41-CG40,IF(A41&lt;'Données projet'!$A$114,$BV$205^A41,IF(A41='Données projet'!$A$114,'Données projet'!$B$114,BY40+BX41-CG40)))</f>
        <v>174.25590909090926</v>
      </c>
      <c r="BZ41" s="13">
        <f>BY41*VLOOKUP('Données projet'!$B$12,Paramètres!$A$1:$I$89,3,0)*VLOOKUP('Données projet'!$B$12,Paramètres!$A$1:$I$89,5,0)</f>
        <v>165.82192309090925</v>
      </c>
      <c r="CA41" s="13">
        <f t="shared" si="39"/>
        <v>42.152922465343451</v>
      </c>
      <c r="CB41" s="20">
        <f t="shared" si="10"/>
        <v>362.22285601047344</v>
      </c>
      <c r="CC41" s="59">
        <f t="shared" si="11"/>
        <v>655.55618934380675</v>
      </c>
      <c r="CD41" s="59">
        <f ca="1">AVERAGE(OFFSET($CC$3,0,0,'Données projet'!$E$12+1,1))-AVERAGE(OFFSET($H$3,0,0,'Données projet'!$E$12+1,1))</f>
        <v>513.14430745499283</v>
      </c>
      <c r="CE41" s="59">
        <f t="shared" si="40"/>
        <v>324.2490378019823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7.1428571428571432</v>
      </c>
      <c r="CT41" s="12">
        <f>IF('Données projet'!$A$140&gt;35,CT40+CS41-DB40,IF(A41&lt;'Données projet'!$A$140,$CQ$205^A41,IF(A41='Données projet'!$A$140,'Données projet'!$B$140,CT40+CS41-DB40)))</f>
        <v>104.57875457875461</v>
      </c>
      <c r="CU41" s="17">
        <f>CT41*VLOOKUP('Données projet'!$B$13,Paramètres!$A$1:$I$89,3,0)*VLOOKUP('Données projet'!$B$13,Paramètres!$A$1:$I$89,5,0)</f>
        <v>81.571428571428598</v>
      </c>
      <c r="CV41" s="13">
        <f t="shared" si="41"/>
        <v>22.520970512999273</v>
      </c>
      <c r="CW41" s="20">
        <f t="shared" si="13"/>
        <v>181.29426173871184</v>
      </c>
      <c r="CX41" s="59">
        <f t="shared" si="14"/>
        <v>474.62759507204515</v>
      </c>
      <c r="CY41" s="59">
        <f ca="1">AVERAGE(OFFSET($CX$3,0,0,'Données projet'!$E$13+1,1))-AVERAGE(OFFSET($H$3,0,0,'Données projet'!$E$13+1,1))</f>
        <v>197.51452239559433</v>
      </c>
      <c r="CZ41" s="59">
        <f t="shared" si="42"/>
        <v>196.65166921588821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3.9593208408579366</v>
      </c>
      <c r="DG41" s="21">
        <f>EXP(-LN(2)/25)*DG40+(1-EXP(-LN(2)/25))/(LN(2)/25)*Calculateur!DB41*Calculateur!DD41*VLOOKUP('Données projet'!$B$13,Paramètres!$A$1:$I$89,3,0)*0.475*44/12</f>
        <v>5.9337098742746743</v>
      </c>
      <c r="DH41" s="21">
        <f>EXP(-LN(2)/2)*DH40+(1-EXP(-LN(2)/2))/(LN(2)/2)*DB41*DE41*VLOOKUP('Données projet'!$B$13,Paramètres!$A$1:$I$89,3,0)*0.475*44/12</f>
        <v>3.4186338033925106</v>
      </c>
      <c r="DI41" s="22">
        <f t="shared" si="15"/>
        <v>13.31166451852512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4.4871794871794863</v>
      </c>
      <c r="DO41" s="12">
        <f>IF('Données projet'!$A$166&gt;35,DO40+DN41-DW40,IF(A41&lt;'Données projet'!$A$166,$DL$205^A41,IF(A41='Données projet'!$A$166,'Données projet'!$B$166,DO40+DN41-DW40)))</f>
        <v>87.179487179487168</v>
      </c>
      <c r="DP41" s="17">
        <f>DO41*VLOOKUP('Données projet'!$B$14,Paramètres!$A$1:$I$89,3,0)*VLOOKUP('Données projet'!$B$14,Paramètres!$A$1:$I$89,5,0)</f>
        <v>91.12</v>
      </c>
      <c r="DQ41" s="13">
        <f t="shared" si="43"/>
        <v>24.835147287678563</v>
      </c>
      <c r="DR41" s="20">
        <f t="shared" si="16"/>
        <v>201.95521485937351</v>
      </c>
      <c r="DS41" s="59">
        <f t="shared" si="17"/>
        <v>495.2885481927068</v>
      </c>
      <c r="DT41" s="59">
        <f ca="1">AVERAGE(OFFSET($DS$3,0,0,'Données projet'!$E$14+1,1))-AVERAGE(OFFSET($H$3,0,0,'Données projet'!$E$14+1,1))</f>
        <v>239.26156489359892</v>
      </c>
      <c r="DU41" s="59">
        <f t="shared" si="44"/>
        <v>213.97034450798111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10.354618141267046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10.354618141267046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3.3603333333333336</v>
      </c>
      <c r="EJ41" s="12">
        <f>IF('Données projet'!$A$192&gt;35,EJ40+EI41-ER40,IF(A41&lt;'Données projet'!$A$192,$EG$205^A41,IF(A41='Données projet'!$A$192,'Données projet'!$B$192,EJ40+EI41-ER40)))</f>
        <v>127.69266666666664</v>
      </c>
      <c r="EK41" s="17">
        <f>EJ41*VLOOKUP('Données projet'!$B$15,Paramètres!$A$1:$I$89,3,0)*VLOOKUP('Données projet'!$B$15,Paramètres!$A$1:$I$89,5,0)</f>
        <v>127.48835839999997</v>
      </c>
      <c r="EL41" s="13">
        <f t="shared" si="45"/>
        <v>33.415335372735512</v>
      </c>
      <c r="EM41" s="20">
        <f t="shared" si="19"/>
        <v>280.24059998751426</v>
      </c>
      <c r="EN41" s="59">
        <f t="shared" si="20"/>
        <v>573.57393332084757</v>
      </c>
      <c r="EO41" s="59">
        <f ca="1">AVERAGE(OFFSET($EN$3,0,0,'Données projet'!$E$15+1,1))-AVERAGE(OFFSET($H$3,0,0,'Données projet'!$E$15+1,1))</f>
        <v>525.74725170626471</v>
      </c>
      <c r="EP41" s="59">
        <f t="shared" si="46"/>
        <v>259.19103598192197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3.3603333333333336</v>
      </c>
      <c r="N42" s="13">
        <f>IF('Données projet'!$A$36&gt;35,N41+M42-V41,IF(A42&lt;'Données projet'!$A$36,$K$205^A42,IF(A42='Données projet'!$A$36,'Données projet'!$B$36,N41+M42-V41)))</f>
        <v>131.05299999999997</v>
      </c>
      <c r="O42" s="13">
        <f>N42*VLOOKUP('Données projet'!$B$9,Paramètres!$A$1:$I$89,3,0)*VLOOKUP('Données projet'!$B$9,Paramètres!$A$1:$I$89,5,0)</f>
        <v>132.88774199999997</v>
      </c>
      <c r="P42" s="13">
        <f t="shared" si="33"/>
        <v>34.662776107749004</v>
      </c>
      <c r="Q42" s="20">
        <f t="shared" si="53"/>
        <v>291.81715237099615</v>
      </c>
      <c r="R42" s="59">
        <f t="shared" si="0"/>
        <v>585.15048570432941</v>
      </c>
      <c r="S42" s="59">
        <f ca="1">AVERAGE(OFFSET($R$3,0,0,'Données projet'!$E$9+1,1))-AVERAGE(OFFSET($H$3,0,0,'Données projet'!$E$9+1,1))</f>
        <v>533.26035274112917</v>
      </c>
      <c r="T42" s="59">
        <f t="shared" si="34"/>
        <v>262.58149402282521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4.5856818181818184</v>
      </c>
      <c r="AI42" s="13">
        <f>IF('Données projet'!$A$62&gt;35,AI41+AH42-AQ41,IF(A42&lt;'Données projet'!$A$62,$AF$205^A42,IF(A42='Données projet'!$A$62,'Données projet'!$B$62,AI41+AH42-AQ41)))</f>
        <v>178.84159090909108</v>
      </c>
      <c r="AJ42" s="13">
        <f>AI42*VLOOKUP('Données projet'!$B$10,Paramètres!$A$1:$I$89,3,0)*VLOOKUP('Données projet'!$B$10,Paramètres!$A$1:$I$89,5,0)</f>
        <v>161.8158714545456</v>
      </c>
      <c r="AK42" s="13">
        <f t="shared" si="35"/>
        <v>41.251820884010222</v>
      </c>
      <c r="AL42" s="20">
        <f t="shared" si="4"/>
        <v>353.67623082298468</v>
      </c>
      <c r="AM42" s="59">
        <f t="shared" si="5"/>
        <v>647.00956415631799</v>
      </c>
      <c r="AN42" s="59">
        <f ca="1">AVERAGE(OFFSET($AM$3,0,0,'Données projet'!$E$10+1,1))-AVERAGE(OFFSET($H$3,0,0,'Données projet'!$E$10+1,1))</f>
        <v>482.62991869403385</v>
      </c>
      <c r="AO42" s="59">
        <f t="shared" si="36"/>
        <v>310.43914804089906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</v>
      </c>
      <c r="BD42" s="12">
        <f>IF('Données projet'!$A$88&gt;35,BD41+BC42-BL41,IF(A42&lt;'Données projet'!$A$88,$BA$205^A42,IF(A42='Données projet'!$A$88,'Données projet'!$B$88,BD41+BC42-BL41)))</f>
        <v>216.6</v>
      </c>
      <c r="BE42" s="13">
        <f>BD42*VLOOKUP('Données projet'!$B$11,Paramètres!$A$1:$I$89,3,0)*VLOOKUP('Données projet'!$B$11,Paramètres!$A$1:$I$89,5,0)</f>
        <v>189.22176000000002</v>
      </c>
      <c r="BF42" s="13">
        <f t="shared" si="37"/>
        <v>47.367853957810077</v>
      </c>
      <c r="BG42" s="20">
        <f t="shared" si="7"/>
        <v>412.06024430985258</v>
      </c>
      <c r="BH42" s="59">
        <f t="shared" si="8"/>
        <v>705.39357764318584</v>
      </c>
      <c r="BI42" s="59">
        <f ca="1">AVERAGE(OFFSET($BH$3,0,0,'Données projet'!$E$11+1,1))-AVERAGE(OFFSET($H$3,0,0,'Données projet'!$E$11+1,1))</f>
        <v>384.34044781465661</v>
      </c>
      <c r="BJ42" s="59">
        <f t="shared" si="38"/>
        <v>374.99493809709708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7.8849720305142608</v>
      </c>
      <c r="BQ42" s="21">
        <f>EXP(-LN(2)/25)*BQ41+(1-EXP(-LN(2)/25))/(LN(2)/25)*Calculateur!BL42*Calculateur!BN42*VLOOKUP('Données projet'!$B$11,Paramètres!$A$1:$I$89,3,0)*0.475*44/12</f>
        <v>15.225249912999823</v>
      </c>
      <c r="BR42" s="21">
        <f>EXP(-LN(2)/2)*BR41+(1-EXP(-LN(2)/2))/(LN(2)/2)*BL42*BO42*VLOOKUP('Données projet'!$B$11,Paramètres!$A$1:$I$89,3,0)*0.475*44/12</f>
        <v>2.1897392900970138</v>
      </c>
      <c r="BS42" s="22">
        <f t="shared" si="9"/>
        <v>25.299961233611096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4.5856818181818184</v>
      </c>
      <c r="BY42" s="12">
        <f>IF('Données projet'!$A$114&gt;35,BY41+BX42-CG41,IF(A42&lt;'Données projet'!$A$114,$BV$205^A42,IF(A42='Données projet'!$A$114,'Données projet'!$B$114,BY41+BX42-CG41)))</f>
        <v>178.84159090909108</v>
      </c>
      <c r="BZ42" s="13">
        <f>BY42*VLOOKUP('Données projet'!$B$12,Paramètres!$A$1:$I$89,3,0)*VLOOKUP('Données projet'!$B$12,Paramètres!$A$1:$I$89,5,0)</f>
        <v>170.18565790909108</v>
      </c>
      <c r="CA42" s="13">
        <f t="shared" si="39"/>
        <v>43.13160213906864</v>
      </c>
      <c r="CB42" s="20">
        <f t="shared" si="10"/>
        <v>371.52756125054481</v>
      </c>
      <c r="CC42" s="59">
        <f t="shared" si="11"/>
        <v>664.86089458387812</v>
      </c>
      <c r="CD42" s="59">
        <f ca="1">AVERAGE(OFFSET($CC$3,0,0,'Données projet'!$E$12+1,1))-AVERAGE(OFFSET($H$3,0,0,'Données projet'!$E$12+1,1))</f>
        <v>513.14430745499283</v>
      </c>
      <c r="CE42" s="59">
        <f t="shared" si="40"/>
        <v>324.2490378019823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7.1428571428571432</v>
      </c>
      <c r="CT42" s="12">
        <f>IF('Données projet'!$A$140&gt;35,CT41+CS42-DB41,IF(A42&lt;'Données projet'!$A$140,$CQ$205^A42,IF(A42='Données projet'!$A$140,'Données projet'!$B$140,CT41+CS42-DB41)))</f>
        <v>111.72161172161175</v>
      </c>
      <c r="CU42" s="17">
        <f>CT42*VLOOKUP('Données projet'!$B$13,Paramètres!$A$1:$I$89,3,0)*VLOOKUP('Données projet'!$B$13,Paramètres!$A$1:$I$89,5,0)</f>
        <v>87.142857142857167</v>
      </c>
      <c r="CV42" s="13">
        <f t="shared" si="41"/>
        <v>23.874862491880062</v>
      </c>
      <c r="CW42" s="20">
        <f t="shared" si="13"/>
        <v>193.35586169716734</v>
      </c>
      <c r="CX42" s="59">
        <f t="shared" si="14"/>
        <v>486.68919503050063</v>
      </c>
      <c r="CY42" s="59">
        <f ca="1">AVERAGE(OFFSET($CX$3,0,0,'Données projet'!$E$13+1,1))-AVERAGE(OFFSET($H$3,0,0,'Données projet'!$E$13+1,1))</f>
        <v>197.51452239559433</v>
      </c>
      <c r="CZ42" s="59">
        <f t="shared" si="42"/>
        <v>196.65166921588821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3.881680974115969</v>
      </c>
      <c r="DG42" s="21">
        <f>EXP(-LN(2)/25)*DG41+(1-EXP(-LN(2)/25))/(LN(2)/25)*Calculateur!DB42*Calculateur!DD42*VLOOKUP('Données projet'!$B$13,Paramètres!$A$1:$I$89,3,0)*0.475*44/12</f>
        <v>5.7714522657223926</v>
      </c>
      <c r="DH42" s="21">
        <f>EXP(-LN(2)/2)*DH41+(1-EXP(-LN(2)/2))/(LN(2)/2)*DB42*DE42*VLOOKUP('Données projet'!$B$13,Paramètres!$A$1:$I$89,3,0)*0.475*44/12</f>
        <v>2.4173391447724026</v>
      </c>
      <c r="DI42" s="22">
        <f t="shared" si="15"/>
        <v>12.070472384610763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4.4871794871794863</v>
      </c>
      <c r="DO42" s="12">
        <f>IF('Données projet'!$A$166&gt;35,DO41+DN42-DW41,IF(A42&lt;'Données projet'!$A$166,$DL$205^A42,IF(A42='Données projet'!$A$166,'Données projet'!$B$166,DO41+DN42-DW41)))</f>
        <v>91.666666666666657</v>
      </c>
      <c r="DP42" s="17">
        <f>DO42*VLOOKUP('Données projet'!$B$14,Paramètres!$A$1:$I$89,3,0)*VLOOKUP('Données projet'!$B$14,Paramètres!$A$1:$I$89,5,0)</f>
        <v>95.81</v>
      </c>
      <c r="DQ42" s="13">
        <f t="shared" si="43"/>
        <v>25.961314793499493</v>
      </c>
      <c r="DR42" s="20">
        <f t="shared" si="16"/>
        <v>212.08503993201165</v>
      </c>
      <c r="DS42" s="59">
        <f t="shared" si="17"/>
        <v>505.41837326534494</v>
      </c>
      <c r="DT42" s="59">
        <f ca="1">AVERAGE(OFFSET($DS$3,0,0,'Données projet'!$E$14+1,1))-AVERAGE(OFFSET($H$3,0,0,'Données projet'!$E$14+1,1))</f>
        <v>239.26156489359892</v>
      </c>
      <c r="DU42" s="59">
        <f t="shared" si="44"/>
        <v>213.97034450798111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10.071470563668397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10.071470563668397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3.3603333333333336</v>
      </c>
      <c r="EJ42" s="12">
        <f>IF('Données projet'!$A$192&gt;35,EJ41+EI42-ER41,IF(A42&lt;'Données projet'!$A$192,$EG$205^A42,IF(A42='Données projet'!$A$192,'Données projet'!$B$192,EJ41+EI42-ER41)))</f>
        <v>131.05299999999997</v>
      </c>
      <c r="EK42" s="17">
        <f>EJ42*VLOOKUP('Données projet'!$B$15,Paramètres!$A$1:$I$89,3,0)*VLOOKUP('Données projet'!$B$15,Paramètres!$A$1:$I$89,5,0)</f>
        <v>130.84331519999998</v>
      </c>
      <c r="EL42" s="13">
        <f t="shared" si="45"/>
        <v>34.191151321128977</v>
      </c>
      <c r="EM42" s="20">
        <f t="shared" si="19"/>
        <v>287.43502919096625</v>
      </c>
      <c r="EN42" s="59">
        <f t="shared" si="20"/>
        <v>580.76836252429962</v>
      </c>
      <c r="EO42" s="59">
        <f ca="1">AVERAGE(OFFSET($EN$3,0,0,'Données projet'!$E$15+1,1))-AVERAGE(OFFSET($H$3,0,0,'Données projet'!$E$15+1,1))</f>
        <v>525.74725170626471</v>
      </c>
      <c r="EP42" s="59">
        <f t="shared" si="46"/>
        <v>259.19103598192197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3.3603333333333336</v>
      </c>
      <c r="N43" s="13">
        <f>IF('Données projet'!$A$36&gt;35,N42+M43-V42,IF(A43&lt;'Données projet'!$A$36,$K$205^A43,IF(A43='Données projet'!$A$36,'Données projet'!$B$36,N42+M43-V42)))</f>
        <v>134.4133333333333</v>
      </c>
      <c r="O43" s="13">
        <f>N43*VLOOKUP('Données projet'!$B$9,Paramètres!$A$1:$I$89,3,0)*VLOOKUP('Données projet'!$B$9,Paramètres!$A$1:$I$89,5,0)</f>
        <v>136.29511999999997</v>
      </c>
      <c r="P43" s="13">
        <f t="shared" si="33"/>
        <v>35.44694925716302</v>
      </c>
      <c r="Q43" s="20">
        <f t="shared" si="53"/>
        <v>299.11743728955889</v>
      </c>
      <c r="R43" s="59">
        <f t="shared" si="0"/>
        <v>592.45077062289215</v>
      </c>
      <c r="S43" s="59">
        <f ca="1">AVERAGE(OFFSET($R$3,0,0,'Données projet'!$E$9+1,1))-AVERAGE(OFFSET($H$3,0,0,'Données projet'!$E$9+1,1))</f>
        <v>533.26035274112917</v>
      </c>
      <c r="T43" s="59">
        <f t="shared" si="34"/>
        <v>262.58149402282521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4.5856818181818184</v>
      </c>
      <c r="AI43" s="13">
        <f>IF('Données projet'!$A$62&gt;35,AI42+AH43-AQ42,IF(A43&lt;'Données projet'!$A$62,$AF$205^A43,IF(A43='Données projet'!$A$62,'Données projet'!$B$62,AI42+AH43-AQ42)))</f>
        <v>183.42727272727291</v>
      </c>
      <c r="AJ43" s="13">
        <f>AI43*VLOOKUP('Données projet'!$B$10,Paramètres!$A$1:$I$89,3,0)*VLOOKUP('Données projet'!$B$10,Paramètres!$A$1:$I$89,5,0)</f>
        <v>165.96499636363652</v>
      </c>
      <c r="AK43" s="13">
        <f t="shared" si="35"/>
        <v>42.185057454593114</v>
      </c>
      <c r="AL43" s="20">
        <f t="shared" si="4"/>
        <v>362.52801040008325</v>
      </c>
      <c r="AM43" s="59">
        <f t="shared" si="5"/>
        <v>655.86134373341656</v>
      </c>
      <c r="AN43" s="59">
        <f ca="1">AVERAGE(OFFSET($AM$3,0,0,'Données projet'!$E$10+1,1))-AVERAGE(OFFSET($H$3,0,0,'Données projet'!$E$10+1,1))</f>
        <v>482.62991869403385</v>
      </c>
      <c r="AO43" s="59">
        <f t="shared" si="36"/>
        <v>310.43914804089906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228</v>
      </c>
      <c r="BB43" s="12">
        <f>VLOOKUP(A43,'Données projet'!$A$87:$I$107,9,0)</f>
        <v>11.4</v>
      </c>
      <c r="BC43" s="12">
        <f t="array" ref="BC43">INDEX(BB:BB,MIN(IF(ISNUMBER(BB43:BB239),ROW(BB43:BB239),"")))</f>
        <v>11.4</v>
      </c>
      <c r="BD43" s="12">
        <f>IF('Données projet'!$A$88&gt;35,BD42+BC43-BL42,IF(A43&lt;'Données projet'!$A$88,$BA$205^A43,IF(A43='Données projet'!$A$88,'Données projet'!$B$88,BD42+BC43-BL42)))</f>
        <v>228</v>
      </c>
      <c r="BE43" s="13">
        <f>BD43*VLOOKUP('Données projet'!$B$11,Paramètres!$A$1:$I$89,3,0)*VLOOKUP('Données projet'!$B$11,Paramètres!$A$1:$I$89,5,0)</f>
        <v>199.1808</v>
      </c>
      <c r="BF43" s="13">
        <f t="shared" si="37"/>
        <v>49.564089376413683</v>
      </c>
      <c r="BG43" s="20">
        <f t="shared" si="7"/>
        <v>433.23068233058711</v>
      </c>
      <c r="BH43" s="59">
        <f t="shared" si="8"/>
        <v>726.56401566392037</v>
      </c>
      <c r="BI43" s="59">
        <f ca="1">AVERAGE(OFFSET($BH$3,0,0,'Données projet'!$E$11+1,1))-AVERAGE(OFFSET($H$3,0,0,'Données projet'!$E$11+1,1))</f>
        <v>384.34044781465661</v>
      </c>
      <c r="BJ43" s="59">
        <f t="shared" si="38"/>
        <v>374.99493809709708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35</v>
      </c>
      <c r="BM43" s="16">
        <f>IF(ISNA(VLOOKUP(A43,'Données projet'!$A$87:$I$107,5,0)),0%,VLOOKUP(A43,'Données projet'!$A$87:$I$107,5,0)*VLOOKUP('Données projet'!$B$11,Paramètres!$A$1:$I$89,7,0))</f>
        <v>0.13250000000000001</v>
      </c>
      <c r="BN43" s="16">
        <f>IF(ISNA(VLOOKUP(A43,'Données projet'!$A$87:$I$107,6,0)),0%,VLOOKUP(A43,'Données projet'!$A$87:$I$107,6,0)*VLOOKUP('Données projet'!$B$11,Paramètres!$A$1:$I$89,7,0))</f>
        <v>0.13250000000000001</v>
      </c>
      <c r="BO43" s="16">
        <f>IF(ISNA(VLOOKUP(A43,'Données projet'!$A$87:$I$107,7,0)),0%,VLOOKUP(A43,'Données projet'!$A$87:$I$107,7,0))</f>
        <v>0.25</v>
      </c>
      <c r="BP43" s="21">
        <f>EXP(-LN(2)/35)*BP42+(1-EXP(-LN(2)/35))/(LN(2)/35)*BL43*BM43*VLOOKUP('Données projet'!$B$11,Paramètres!$A$1:$I$89,3,0)*0.475*44/12</f>
        <v>12.208966796363363</v>
      </c>
      <c r="BQ43" s="21">
        <f>EXP(-LN(2)/25)*BQ42+(1-EXP(-LN(2)/25))/(LN(2)/25)*Calculateur!BL43*Calculateur!BN43*VLOOKUP('Données projet'!$B$11,Paramètres!$A$1:$I$89,3,0)*0.475*44/12</f>
        <v>19.269894900657576</v>
      </c>
      <c r="BR43" s="21">
        <f>EXP(-LN(2)/2)*BR42+(1-EXP(-LN(2)/2))/(LN(2)/2)*BL43*BO43*VLOOKUP('Données projet'!$B$11,Paramètres!$A$1:$I$89,3,0)*0.475*44/12</f>
        <v>8.7606992363018037</v>
      </c>
      <c r="BS43" s="22">
        <f t="shared" si="9"/>
        <v>40.239560933322743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4.5856818181818184</v>
      </c>
      <c r="BY43" s="12">
        <f>IF('Données projet'!$A$114&gt;35,BY42+BX43-CG42,IF(A43&lt;'Données projet'!$A$114,$BV$205^A43,IF(A43='Données projet'!$A$114,'Données projet'!$B$114,BY42+BX43-CG42)))</f>
        <v>183.42727272727291</v>
      </c>
      <c r="BZ43" s="13">
        <f>BY43*VLOOKUP('Données projet'!$B$12,Paramètres!$A$1:$I$89,3,0)*VLOOKUP('Données projet'!$B$12,Paramètres!$A$1:$I$89,5,0)</f>
        <v>174.5493927272729</v>
      </c>
      <c r="CA43" s="13">
        <f t="shared" si="39"/>
        <v>44.107364847269785</v>
      </c>
      <c r="CB43" s="20">
        <f t="shared" si="10"/>
        <v>380.82718610899519</v>
      </c>
      <c r="CC43" s="59">
        <f t="shared" si="11"/>
        <v>674.16051944232845</v>
      </c>
      <c r="CD43" s="59">
        <f ca="1">AVERAGE(OFFSET($CC$3,0,0,'Données projet'!$E$12+1,1))-AVERAGE(OFFSET($H$3,0,0,'Données projet'!$E$12+1,1))</f>
        <v>513.14430745499283</v>
      </c>
      <c r="CE43" s="59">
        <f t="shared" si="40"/>
        <v>324.2490378019823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7.1428571428571432</v>
      </c>
      <c r="CT43" s="12">
        <f>IF('Données projet'!$A$140&gt;35,CT42+CS43-DB42,IF(A43&lt;'Données projet'!$A$140,$CQ$205^A43,IF(A43='Données projet'!$A$140,'Données projet'!$B$140,CT42+CS43-DB42)))</f>
        <v>118.86446886446889</v>
      </c>
      <c r="CU43" s="17">
        <f>CT43*VLOOKUP('Données projet'!$B$13,Paramètres!$A$1:$I$89,3,0)*VLOOKUP('Données projet'!$B$13,Paramètres!$A$1:$I$89,5,0)</f>
        <v>92.714285714285737</v>
      </c>
      <c r="CV43" s="13">
        <f t="shared" si="41"/>
        <v>25.218709027237011</v>
      </c>
      <c r="CW43" s="20">
        <f t="shared" si="13"/>
        <v>205.39996584148545</v>
      </c>
      <c r="CX43" s="59">
        <f t="shared" si="14"/>
        <v>498.73329917481874</v>
      </c>
      <c r="CY43" s="59">
        <f ca="1">AVERAGE(OFFSET($CX$3,0,0,'Données projet'!$E$13+1,1))-AVERAGE(OFFSET($H$3,0,0,'Données projet'!$E$13+1,1))</f>
        <v>197.51452239559433</v>
      </c>
      <c r="CZ43" s="59">
        <f t="shared" si="42"/>
        <v>196.65166921588821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3.8055635778051689</v>
      </c>
      <c r="DG43" s="21">
        <f>EXP(-LN(2)/25)*DG42+(1-EXP(-LN(2)/25))/(LN(2)/25)*Calculateur!DB43*Calculateur!DD43*VLOOKUP('Données projet'!$B$13,Paramètres!$A$1:$I$89,3,0)*0.475*44/12</f>
        <v>5.6136316000087296</v>
      </c>
      <c r="DH43" s="21">
        <f>EXP(-LN(2)/2)*DH42+(1-EXP(-LN(2)/2))/(LN(2)/2)*DB43*DE43*VLOOKUP('Données projet'!$B$13,Paramètres!$A$1:$I$89,3,0)*0.475*44/12</f>
        <v>1.7093169016962553</v>
      </c>
      <c r="DI43" s="22">
        <f t="shared" si="15"/>
        <v>11.128512079510154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96.153846153846146</v>
      </c>
      <c r="DM43" s="12">
        <f>VLOOKUP(A43,'Données projet'!$A$165:$I$185,9,0)</f>
        <v>4.4871794871794863</v>
      </c>
      <c r="DN43" s="12">
        <f t="array" ref="DN43">INDEX(DM:DM,MIN(IF(ISNUMBER(DM43:DM239),ROW(DM43:DM239),"")))</f>
        <v>4.4871794871794863</v>
      </c>
      <c r="DO43" s="12">
        <f>IF('Données projet'!$A$166&gt;35,DO42+DN43-DW42,IF(A43&lt;'Données projet'!$A$166,$DL$205^A43,IF(A43='Données projet'!$A$166,'Données projet'!$B$166,DO42+DN43-DW42)))</f>
        <v>96.153846153846146</v>
      </c>
      <c r="DP43" s="17">
        <f>DO43*VLOOKUP('Données projet'!$B$14,Paramètres!$A$1:$I$89,3,0)*VLOOKUP('Données projet'!$B$14,Paramètres!$A$1:$I$89,5,0)</f>
        <v>100.5</v>
      </c>
      <c r="DQ43" s="13">
        <f t="shared" si="43"/>
        <v>27.081081054477867</v>
      </c>
      <c r="DR43" s="20">
        <f t="shared" si="16"/>
        <v>222.20371616988226</v>
      </c>
      <c r="DS43" s="59">
        <f t="shared" si="17"/>
        <v>515.5370495032156</v>
      </c>
      <c r="DT43" s="59">
        <f ca="1">AVERAGE(OFFSET($DS$3,0,0,'Données projet'!$E$14+1,1))-AVERAGE(OFFSET($H$3,0,0,'Données projet'!$E$14+1,1))</f>
        <v>239.26156489359892</v>
      </c>
      <c r="DU43" s="59">
        <f t="shared" si="44"/>
        <v>213.97034450798111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12.820512820512819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0.215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12.968385826913392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12.968385826913392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3.3603333333333336</v>
      </c>
      <c r="EJ43" s="12">
        <f>IF('Données projet'!$A$192&gt;35,EJ42+EI43-ER42,IF(A43&lt;'Données projet'!$A$192,$EG$205^A43,IF(A43='Données projet'!$A$192,'Données projet'!$B$192,EJ42+EI43-ER42)))</f>
        <v>134.4133333333333</v>
      </c>
      <c r="EK43" s="17">
        <f>EJ43*VLOOKUP('Données projet'!$B$15,Paramètres!$A$1:$I$89,3,0)*VLOOKUP('Données projet'!$B$15,Paramètres!$A$1:$I$89,5,0)</f>
        <v>134.19827199999997</v>
      </c>
      <c r="EL43" s="13">
        <f t="shared" si="45"/>
        <v>34.964654941561356</v>
      </c>
      <c r="EM43" s="20">
        <f t="shared" si="19"/>
        <v>294.62543108988598</v>
      </c>
      <c r="EN43" s="59">
        <f t="shared" si="20"/>
        <v>587.95876442321924</v>
      </c>
      <c r="EO43" s="59">
        <f ca="1">AVERAGE(OFFSET($EN$3,0,0,'Données projet'!$E$15+1,1))-AVERAGE(OFFSET($H$3,0,0,'Données projet'!$E$15+1,1))</f>
        <v>525.74725170626471</v>
      </c>
      <c r="EP43" s="59">
        <f t="shared" si="46"/>
        <v>259.19103598192197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3.3603333333333336</v>
      </c>
      <c r="N44" s="13">
        <f>IF('Données projet'!$A$36&gt;35,N43+M44-V43,IF(A44&lt;'Données projet'!$A$36,$K$205^A44,IF(A44='Données projet'!$A$36,'Données projet'!$B$36,N43+M44-V43)))</f>
        <v>137.77366666666663</v>
      </c>
      <c r="O44" s="13">
        <f>N44*VLOOKUP('Données projet'!$B$9,Paramètres!$A$1:$I$89,3,0)*VLOOKUP('Données projet'!$B$9,Paramètres!$A$1:$I$89,5,0)</f>
        <v>139.70249799999996</v>
      </c>
      <c r="P44" s="13">
        <f t="shared" si="33"/>
        <v>36.228843528850774</v>
      </c>
      <c r="Q44" s="20">
        <f t="shared" si="53"/>
        <v>306.41375316274832</v>
      </c>
      <c r="R44" s="59">
        <f t="shared" si="0"/>
        <v>599.74708649608169</v>
      </c>
      <c r="S44" s="59">
        <f ca="1">AVERAGE(OFFSET($R$3,0,0,'Données projet'!$E$9+1,1))-AVERAGE(OFFSET($H$3,0,0,'Données projet'!$E$9+1,1))</f>
        <v>533.26035274112917</v>
      </c>
      <c r="T44" s="59">
        <f t="shared" si="34"/>
        <v>262.58149402282521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4.5856818181818184</v>
      </c>
      <c r="AI44" s="13">
        <f>IF('Données projet'!$A$62&gt;35,AI43+AH44-AQ43,IF(A44&lt;'Données projet'!$A$62,$AF$205^A44,IF(A44='Données projet'!$A$62,'Données projet'!$B$62,AI43+AH44-AQ43)))</f>
        <v>188.01295454545473</v>
      </c>
      <c r="AJ44" s="13">
        <f>AI44*VLOOKUP('Données projet'!$B$10,Paramètres!$A$1:$I$89,3,0)*VLOOKUP('Données projet'!$B$10,Paramètres!$A$1:$I$89,5,0)</f>
        <v>170.11412127272743</v>
      </c>
      <c r="AK44" s="13">
        <f t="shared" si="35"/>
        <v>43.115581955736218</v>
      </c>
      <c r="AL44" s="20">
        <f t="shared" si="4"/>
        <v>371.3750664562408</v>
      </c>
      <c r="AM44" s="59">
        <f t="shared" si="5"/>
        <v>664.70839978957406</v>
      </c>
      <c r="AN44" s="59">
        <f ca="1">AVERAGE(OFFSET($AM$3,0,0,'Données projet'!$E$10+1,1))-AVERAGE(OFFSET($H$3,0,0,'Données projet'!$E$10+1,1))</f>
        <v>482.62991869403385</v>
      </c>
      <c r="AO44" s="59">
        <f t="shared" si="36"/>
        <v>310.43914804089906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9.8000000000000007</v>
      </c>
      <c r="BD44" s="12">
        <f>IF('Données projet'!$A$88&gt;35,BD43+BC44-BL43,IF(A44&lt;'Données projet'!$A$88,$BA$205^A44,IF(A44='Données projet'!$A$88,'Données projet'!$B$88,BD43+BC44-BL43)))</f>
        <v>202.8</v>
      </c>
      <c r="BE44" s="13">
        <f>BD44*VLOOKUP('Données projet'!$B$11,Paramètres!$A$1:$I$89,3,0)*VLOOKUP('Données projet'!$B$11,Paramètres!$A$1:$I$89,5,0)</f>
        <v>177.16608000000002</v>
      </c>
      <c r="BF44" s="13">
        <f t="shared" si="37"/>
        <v>44.691110042101649</v>
      </c>
      <c r="BG44" s="20">
        <f t="shared" si="7"/>
        <v>386.40127265666041</v>
      </c>
      <c r="BH44" s="59">
        <f t="shared" si="8"/>
        <v>679.73460598999372</v>
      </c>
      <c r="BI44" s="59">
        <f ca="1">AVERAGE(OFFSET($BH$3,0,0,'Données projet'!$E$11+1,1))-AVERAGE(OFFSET($H$3,0,0,'Données projet'!$E$11+1,1))</f>
        <v>384.34044781465661</v>
      </c>
      <c r="BJ44" s="59">
        <f t="shared" si="38"/>
        <v>374.99493809709708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11.96955640422112</v>
      </c>
      <c r="BQ44" s="21">
        <f>EXP(-LN(2)/25)*BQ43+(1-EXP(-LN(2)/25))/(LN(2)/25)*Calculateur!BL44*Calculateur!BN44*VLOOKUP('Données projet'!$B$11,Paramètres!$A$1:$I$89,3,0)*0.475*44/12</f>
        <v>18.742958611239363</v>
      </c>
      <c r="BR44" s="21">
        <f>EXP(-LN(2)/2)*BR43+(1-EXP(-LN(2)/2))/(LN(2)/2)*BL44*BO44*VLOOKUP('Données projet'!$B$11,Paramètres!$A$1:$I$89,3,0)*0.475*44/12</f>
        <v>6.1947498379248138</v>
      </c>
      <c r="BS44" s="22">
        <f t="shared" si="9"/>
        <v>36.9072648533853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4.5856818181818184</v>
      </c>
      <c r="BY44" s="12">
        <f>IF('Données projet'!$A$114&gt;35,BY43+BX44-CG43,IF(A44&lt;'Données projet'!$A$114,$BV$205^A44,IF(A44='Données projet'!$A$114,'Données projet'!$B$114,BY43+BX44-CG43)))</f>
        <v>188.01295454545473</v>
      </c>
      <c r="BZ44" s="13">
        <f>BY44*VLOOKUP('Données projet'!$B$12,Paramètres!$A$1:$I$89,3,0)*VLOOKUP('Données projet'!$B$12,Paramètres!$A$1:$I$89,5,0)</f>
        <v>178.91312754545473</v>
      </c>
      <c r="CA44" s="13">
        <f t="shared" si="39"/>
        <v>45.080291901248991</v>
      </c>
      <c r="CB44" s="20">
        <f t="shared" si="10"/>
        <v>390.12187220300893</v>
      </c>
      <c r="CC44" s="59">
        <f t="shared" si="11"/>
        <v>683.45520553634219</v>
      </c>
      <c r="CD44" s="59">
        <f ca="1">AVERAGE(OFFSET($CC$3,0,0,'Données projet'!$E$12+1,1))-AVERAGE(OFFSET($H$3,0,0,'Données projet'!$E$12+1,1))</f>
        <v>513.14430745499283</v>
      </c>
      <c r="CE44" s="59">
        <f t="shared" si="40"/>
        <v>324.2490378019823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7.1428571428571432</v>
      </c>
      <c r="CT44" s="12">
        <f>IF('Données projet'!$A$140&gt;35,CT43+CS44-DB43,IF(A44&lt;'Données projet'!$A$140,$CQ$205^A44,IF(A44='Données projet'!$A$140,'Données projet'!$B$140,CT43+CS44-DB43)))</f>
        <v>126.00732600732603</v>
      </c>
      <c r="CU44" s="17">
        <f>CT44*VLOOKUP('Données projet'!$B$13,Paramètres!$A$1:$I$89,3,0)*VLOOKUP('Données projet'!$B$13,Paramètres!$A$1:$I$89,5,0)</f>
        <v>98.285714285714306</v>
      </c>
      <c r="CV44" s="13">
        <f t="shared" si="41"/>
        <v>26.553182521641848</v>
      </c>
      <c r="CW44" s="20">
        <f t="shared" si="13"/>
        <v>217.42774527281196</v>
      </c>
      <c r="CX44" s="59">
        <f t="shared" si="14"/>
        <v>510.76107860614525</v>
      </c>
      <c r="CY44" s="59">
        <f ca="1">AVERAGE(OFFSET($CX$3,0,0,'Données projet'!$E$13+1,1))-AVERAGE(OFFSET($H$3,0,0,'Données projet'!$E$13+1,1))</f>
        <v>197.51452239559433</v>
      </c>
      <c r="CZ44" s="59">
        <f t="shared" si="42"/>
        <v>196.65166921588821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3.7309387972089958</v>
      </c>
      <c r="DG44" s="21">
        <f>EXP(-LN(2)/25)*DG43+(1-EXP(-LN(2)/25))/(LN(2)/25)*Calculateur!DB44*Calculateur!DD44*VLOOKUP('Données projet'!$B$13,Paramètres!$A$1:$I$89,3,0)*0.475*44/12</f>
        <v>5.4601265486984349</v>
      </c>
      <c r="DH44" s="21">
        <f>EXP(-LN(2)/2)*DH43+(1-EXP(-LN(2)/2))/(LN(2)/2)*DB44*DE44*VLOOKUP('Données projet'!$B$13,Paramètres!$A$1:$I$89,3,0)*0.475*44/12</f>
        <v>1.2086695723862013</v>
      </c>
      <c r="DI44" s="22">
        <f t="shared" si="15"/>
        <v>10.399734918293632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4.1025641025641022</v>
      </c>
      <c r="DO44" s="12">
        <f>IF('Données projet'!$A$166&gt;35,DO43+DN44-DW43,IF(A44&lt;'Données projet'!$A$166,$DL$205^A44,IF(A44='Données projet'!$A$166,'Données projet'!$B$166,DO43+DN44-DW43)))</f>
        <v>87.435897435897431</v>
      </c>
      <c r="DP44" s="17">
        <f>DO44*VLOOKUP('Données projet'!$B$14,Paramètres!$A$1:$I$89,3,0)*VLOOKUP('Données projet'!$B$14,Paramètres!$A$1:$I$89,5,0)</f>
        <v>91.388000000000005</v>
      </c>
      <c r="DQ44" s="13">
        <f t="shared" si="43"/>
        <v>24.899678416779619</v>
      </c>
      <c r="DR44" s="20">
        <f t="shared" si="16"/>
        <v>202.53437324255785</v>
      </c>
      <c r="DS44" s="59">
        <f t="shared" si="17"/>
        <v>495.86770657589113</v>
      </c>
      <c r="DT44" s="59">
        <f ca="1">AVERAGE(OFFSET($DS$3,0,0,'Données projet'!$E$14+1,1))-AVERAGE(OFFSET($H$3,0,0,'Données projet'!$E$14+1,1))</f>
        <v>239.26156489359892</v>
      </c>
      <c r="DU44" s="59">
        <f t="shared" si="44"/>
        <v>213.97034450798111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12.613764634498676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12.613764634498676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3.3603333333333336</v>
      </c>
      <c r="EJ44" s="12">
        <f>IF('Données projet'!$A$192&gt;35,EJ43+EI44-ER43,IF(A44&lt;'Données projet'!$A$192,$EG$205^A44,IF(A44='Données projet'!$A$192,'Données projet'!$B$192,EJ43+EI44-ER43)))</f>
        <v>137.77366666666663</v>
      </c>
      <c r="EK44" s="17">
        <f>EJ44*VLOOKUP('Données projet'!$B$15,Paramètres!$A$1:$I$89,3,0)*VLOOKUP('Données projet'!$B$15,Paramètres!$A$1:$I$89,5,0)</f>
        <v>137.55322879999997</v>
      </c>
      <c r="EL44" s="13">
        <f t="shared" si="45"/>
        <v>35.735910690878725</v>
      </c>
      <c r="EM44" s="20">
        <f t="shared" si="19"/>
        <v>301.81191794661373</v>
      </c>
      <c r="EN44" s="59">
        <f t="shared" si="20"/>
        <v>595.14525127994705</v>
      </c>
      <c r="EO44" s="59">
        <f ca="1">AVERAGE(OFFSET($EN$3,0,0,'Données projet'!$E$15+1,1))-AVERAGE(OFFSET($H$3,0,0,'Données projet'!$E$15+1,1))</f>
        <v>525.74725170626471</v>
      </c>
      <c r="EP44" s="59">
        <f t="shared" si="46"/>
        <v>259.19103598192197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3.3603333333333336</v>
      </c>
      <c r="N45" s="13">
        <f>IF('Données projet'!$A$36&gt;35,N44+M45-V44,IF(A45&lt;'Données projet'!$A$36,$K$205^A45,IF(A45='Données projet'!$A$36,'Données projet'!$B$36,N44+M45-V44)))</f>
        <v>141.13399999999996</v>
      </c>
      <c r="O45" s="13">
        <f>N45*VLOOKUP('Données projet'!$B$9,Paramètres!$A$1:$I$89,3,0)*VLOOKUP('Données projet'!$B$9,Paramètres!$A$1:$I$89,5,0)</f>
        <v>143.10987599999996</v>
      </c>
      <c r="P45" s="13">
        <f t="shared" si="33"/>
        <v>37.008520899412304</v>
      </c>
      <c r="Q45" s="20">
        <f t="shared" si="53"/>
        <v>313.70620793314299</v>
      </c>
      <c r="R45" s="59">
        <f t="shared" si="0"/>
        <v>607.03954126647636</v>
      </c>
      <c r="S45" s="59">
        <f ca="1">AVERAGE(OFFSET($R$3,0,0,'Données projet'!$E$9+1,1))-AVERAGE(OFFSET($H$3,0,0,'Données projet'!$E$9+1,1))</f>
        <v>533.26035274112917</v>
      </c>
      <c r="T45" s="59">
        <f t="shared" si="34"/>
        <v>262.58149402282521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4.5856818181818184</v>
      </c>
      <c r="AI45" s="13">
        <f>IF('Données projet'!$A$62&gt;35,AI44+AH45-AQ44,IF(A45&lt;'Données projet'!$A$62,$AF$205^A45,IF(A45='Données projet'!$A$62,'Données projet'!$B$62,AI44+AH45-AQ44)))</f>
        <v>192.59863636363656</v>
      </c>
      <c r="AJ45" s="13">
        <f>AI45*VLOOKUP('Données projet'!$B$10,Paramètres!$A$1:$I$89,3,0)*VLOOKUP('Données projet'!$B$10,Paramètres!$A$1:$I$89,5,0)</f>
        <v>174.26324618181837</v>
      </c>
      <c r="AK45" s="13">
        <f t="shared" si="35"/>
        <v>44.043468145167253</v>
      </c>
      <c r="AL45" s="20">
        <f t="shared" si="4"/>
        <v>380.21752745283328</v>
      </c>
      <c r="AM45" s="59">
        <f t="shared" si="5"/>
        <v>673.5508607861666</v>
      </c>
      <c r="AN45" s="59">
        <f ca="1">AVERAGE(OFFSET($AM$3,0,0,'Données projet'!$E$10+1,1))-AVERAGE(OFFSET($H$3,0,0,'Données projet'!$E$10+1,1))</f>
        <v>482.62991869403385</v>
      </c>
      <c r="AO45" s="59">
        <f t="shared" si="36"/>
        <v>310.43914804089906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9.8000000000000007</v>
      </c>
      <c r="BD45" s="12">
        <f>IF('Données projet'!$A$88&gt;35,BD44+BC45-BL44,IF(A45&lt;'Données projet'!$A$88,$BA$205^A45,IF(A45='Données projet'!$A$88,'Données projet'!$B$88,BD44+BC45-BL44)))</f>
        <v>212.60000000000002</v>
      </c>
      <c r="BE45" s="13">
        <f>BD45*VLOOKUP('Données projet'!$B$11,Paramètres!$A$1:$I$89,3,0)*VLOOKUP('Données projet'!$B$11,Paramètres!$A$1:$I$89,5,0)</f>
        <v>185.72736000000003</v>
      </c>
      <c r="BF45" s="13">
        <f t="shared" si="37"/>
        <v>46.594086043363802</v>
      </c>
      <c r="BG45" s="20">
        <f t="shared" si="7"/>
        <v>404.62651852552534</v>
      </c>
      <c r="BH45" s="59">
        <f t="shared" si="8"/>
        <v>697.95985185885866</v>
      </c>
      <c r="BI45" s="59">
        <f ca="1">AVERAGE(OFFSET($BH$3,0,0,'Données projet'!$E$11+1,1))-AVERAGE(OFFSET($H$3,0,0,'Données projet'!$E$11+1,1))</f>
        <v>384.34044781465661</v>
      </c>
      <c r="BJ45" s="59">
        <f t="shared" si="38"/>
        <v>374.99493809709708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11.734840703842865</v>
      </c>
      <c r="BQ45" s="21">
        <f>EXP(-LN(2)/25)*BQ44+(1-EXP(-LN(2)/25))/(LN(2)/25)*Calculateur!BL45*Calculateur!BN45*VLOOKUP('Données projet'!$B$11,Paramètres!$A$1:$I$89,3,0)*0.475*44/12</f>
        <v>18.230431422365665</v>
      </c>
      <c r="BR45" s="21">
        <f>EXP(-LN(2)/2)*BR44+(1-EXP(-LN(2)/2))/(LN(2)/2)*BL45*BO45*VLOOKUP('Données projet'!$B$11,Paramètres!$A$1:$I$89,3,0)*0.475*44/12</f>
        <v>4.3803496181509027</v>
      </c>
      <c r="BS45" s="22">
        <f t="shared" si="9"/>
        <v>34.345621744359434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4.5856818181818184</v>
      </c>
      <c r="BY45" s="12">
        <f>IF('Données projet'!$A$114&gt;35,BY44+BX45-CG44,IF(A45&lt;'Données projet'!$A$114,$BV$205^A45,IF(A45='Données projet'!$A$114,'Données projet'!$B$114,BY44+BX45-CG44)))</f>
        <v>192.59863636363656</v>
      </c>
      <c r="BZ45" s="13">
        <f>BY45*VLOOKUP('Données projet'!$B$12,Paramètres!$A$1:$I$89,3,0)*VLOOKUP('Données projet'!$B$12,Paramètres!$A$1:$I$89,5,0)</f>
        <v>183.27686236363655</v>
      </c>
      <c r="CA45" s="13">
        <f t="shared" si="39"/>
        <v>46.050460419758849</v>
      </c>
      <c r="CB45" s="20">
        <f t="shared" si="10"/>
        <v>399.41175384774692</v>
      </c>
      <c r="CC45" s="59">
        <f t="shared" si="11"/>
        <v>692.74508718108018</v>
      </c>
      <c r="CD45" s="59">
        <f ca="1">AVERAGE(OFFSET($CC$3,0,0,'Données projet'!$E$12+1,1))-AVERAGE(OFFSET($H$3,0,0,'Données projet'!$E$12+1,1))</f>
        <v>513.14430745499283</v>
      </c>
      <c r="CE45" s="59">
        <f t="shared" si="40"/>
        <v>324.2490378019823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7.1428571428571432</v>
      </c>
      <c r="CT45" s="12">
        <f>IF('Données projet'!$A$140&gt;35,CT44+CS45-DB44,IF(A45&lt;'Données projet'!$A$140,$CQ$205^A45,IF(A45='Données projet'!$A$140,'Données projet'!$B$140,CT44+CS45-DB44)))</f>
        <v>133.15018315018318</v>
      </c>
      <c r="CU45" s="17">
        <f>CT45*VLOOKUP('Données projet'!$B$13,Paramètres!$A$1:$I$89,3,0)*VLOOKUP('Données projet'!$B$13,Paramètres!$A$1:$I$89,5,0)</f>
        <v>103.85714285714289</v>
      </c>
      <c r="CV45" s="13">
        <f t="shared" si="41"/>
        <v>27.878874840299215</v>
      </c>
      <c r="CW45" s="20">
        <f t="shared" si="13"/>
        <v>229.44023082304497</v>
      </c>
      <c r="CX45" s="59">
        <f t="shared" si="14"/>
        <v>522.77356415637826</v>
      </c>
      <c r="CY45" s="59">
        <f ca="1">AVERAGE(OFFSET($CX$3,0,0,'Données projet'!$E$13+1,1))-AVERAGE(OFFSET($H$3,0,0,'Données projet'!$E$13+1,1))</f>
        <v>197.51452239559433</v>
      </c>
      <c r="CZ45" s="59">
        <f t="shared" si="42"/>
        <v>196.65166921588821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3.6577773630436923</v>
      </c>
      <c r="DG45" s="21">
        <f>EXP(-LN(2)/25)*DG44+(1-EXP(-LN(2)/25))/(LN(2)/25)*Calculateur!DB45*Calculateur!DD45*VLOOKUP('Données projet'!$B$13,Paramètres!$A$1:$I$89,3,0)*0.475*44/12</f>
        <v>5.3108191010887005</v>
      </c>
      <c r="DH45" s="21">
        <f>EXP(-LN(2)/2)*DH44+(1-EXP(-LN(2)/2))/(LN(2)/2)*DB45*DE45*VLOOKUP('Données projet'!$B$13,Paramètres!$A$1:$I$89,3,0)*0.475*44/12</f>
        <v>0.85465845084812764</v>
      </c>
      <c r="DI45" s="22">
        <f t="shared" si="15"/>
        <v>9.8232549149805202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4.1025641025641022</v>
      </c>
      <c r="DO45" s="12">
        <f>IF('Données projet'!$A$166&gt;35,DO44+DN45-DW44,IF(A45&lt;'Données projet'!$A$166,$DL$205^A45,IF(A45='Données projet'!$A$166,'Données projet'!$B$166,DO44+DN45-DW44)))</f>
        <v>91.538461538461533</v>
      </c>
      <c r="DP45" s="17">
        <f>DO45*VLOOKUP('Données projet'!$B$14,Paramètres!$A$1:$I$89,3,0)*VLOOKUP('Données projet'!$B$14,Paramètres!$A$1:$I$89,5,0)</f>
        <v>95.676000000000002</v>
      </c>
      <c r="DQ45" s="13">
        <f t="shared" si="43"/>
        <v>25.929229078869259</v>
      </c>
      <c r="DR45" s="20">
        <f t="shared" si="16"/>
        <v>211.79577397903063</v>
      </c>
      <c r="DS45" s="59">
        <f t="shared" si="17"/>
        <v>505.12910731236394</v>
      </c>
      <c r="DT45" s="59">
        <f ca="1">AVERAGE(OFFSET($DS$3,0,0,'Données projet'!$E$14+1,1))-AVERAGE(OFFSET($H$3,0,0,'Données projet'!$E$14+1,1))</f>
        <v>239.26156489359892</v>
      </c>
      <c r="DU45" s="59">
        <f t="shared" si="44"/>
        <v>213.97034450798111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12.268840577239256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12.268840577239256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3.3603333333333336</v>
      </c>
      <c r="EJ45" s="12">
        <f>IF('Données projet'!$A$192&gt;35,EJ44+EI45-ER44,IF(A45&lt;'Données projet'!$A$192,$EG$205^A45,IF(A45='Données projet'!$A$192,'Données projet'!$B$192,EJ44+EI45-ER44)))</f>
        <v>141.13399999999996</v>
      </c>
      <c r="EK45" s="17">
        <f>EJ45*VLOOKUP('Données projet'!$B$15,Paramètres!$A$1:$I$89,3,0)*VLOOKUP('Données projet'!$B$15,Paramètres!$A$1:$I$89,5,0)</f>
        <v>140.90818559999997</v>
      </c>
      <c r="EL45" s="13">
        <f t="shared" si="45"/>
        <v>36.504979702421878</v>
      </c>
      <c r="EM45" s="20">
        <f t="shared" si="19"/>
        <v>308.99459623505135</v>
      </c>
      <c r="EN45" s="59">
        <f t="shared" si="20"/>
        <v>602.32792956838466</v>
      </c>
      <c r="EO45" s="59">
        <f ca="1">AVERAGE(OFFSET($EN$3,0,0,'Données projet'!$E$15+1,1))-AVERAGE(OFFSET($H$3,0,0,'Données projet'!$E$15+1,1))</f>
        <v>525.74725170626471</v>
      </c>
      <c r="EP45" s="59">
        <f t="shared" si="46"/>
        <v>259.19103598192197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3.3603333333333336</v>
      </c>
      <c r="N46" s="13">
        <f>IF('Données projet'!$A$36&gt;35,N45+M46-V45,IF(A46&lt;'Données projet'!$A$36,$K$205^A46,IF(A46='Données projet'!$A$36,'Données projet'!$B$36,N45+M46-V45)))</f>
        <v>144.49433333333329</v>
      </c>
      <c r="O46" s="13">
        <f>N46*VLOOKUP('Données projet'!$B$9,Paramètres!$A$1:$I$89,3,0)*VLOOKUP('Données projet'!$B$9,Paramètres!$A$1:$I$89,5,0)</f>
        <v>146.51725399999995</v>
      </c>
      <c r="P46" s="13">
        <f t="shared" si="33"/>
        <v>37.786040225853256</v>
      </c>
      <c r="Q46" s="20">
        <f t="shared" si="53"/>
        <v>320.99490411002768</v>
      </c>
      <c r="R46" s="59">
        <f t="shared" si="0"/>
        <v>614.32823744336099</v>
      </c>
      <c r="S46" s="59">
        <f ca="1">AVERAGE(OFFSET($R$3,0,0,'Données projet'!$E$9+1,1))-AVERAGE(OFFSET($H$3,0,0,'Données projet'!$E$9+1,1))</f>
        <v>533.26035274112917</v>
      </c>
      <c r="T46" s="59">
        <f t="shared" si="34"/>
        <v>262.58149402282521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4.5856818181818184</v>
      </c>
      <c r="AI46" s="13">
        <f>IF('Données projet'!$A$62&gt;35,AI45+AH46-AQ45,IF(A46&lt;'Données projet'!$A$62,$AF$205^A46,IF(A46='Données projet'!$A$62,'Données projet'!$B$62,AI45+AH46-AQ45)))</f>
        <v>197.18431818181838</v>
      </c>
      <c r="AJ46" s="13">
        <f>AI46*VLOOKUP('Données projet'!$B$10,Paramètres!$A$1:$I$89,3,0)*VLOOKUP('Données projet'!$B$10,Paramètres!$A$1:$I$89,5,0)</f>
        <v>178.41237109090926</v>
      </c>
      <c r="AK46" s="13">
        <f t="shared" si="35"/>
        <v>44.968786068016108</v>
      </c>
      <c r="AL46" s="20">
        <f t="shared" si="4"/>
        <v>389.05551538512827</v>
      </c>
      <c r="AM46" s="59">
        <f t="shared" si="5"/>
        <v>682.38884871846153</v>
      </c>
      <c r="AN46" s="59">
        <f ca="1">AVERAGE(OFFSET($AM$3,0,0,'Données projet'!$E$10+1,1))-AVERAGE(OFFSET($H$3,0,0,'Données projet'!$E$10+1,1))</f>
        <v>482.62991869403385</v>
      </c>
      <c r="AO46" s="59">
        <f t="shared" si="36"/>
        <v>310.43914804089906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9.8000000000000007</v>
      </c>
      <c r="BD46" s="12">
        <f>IF('Données projet'!$A$88&gt;35,BD45+BC46-BL45,IF(A46&lt;'Données projet'!$A$88,$BA$205^A46,IF(A46='Données projet'!$A$88,'Données projet'!$B$88,BD45+BC46-BL45)))</f>
        <v>222.40000000000003</v>
      </c>
      <c r="BE46" s="13">
        <f>BD46*VLOOKUP('Données projet'!$B$11,Paramètres!$A$1:$I$89,3,0)*VLOOKUP('Données projet'!$B$11,Paramètres!$A$1:$I$89,5,0)</f>
        <v>194.28864000000004</v>
      </c>
      <c r="BF46" s="13">
        <f t="shared" si="37"/>
        <v>48.486875029770822</v>
      </c>
      <c r="BG46" s="20">
        <f t="shared" si="7"/>
        <v>422.83402201018424</v>
      </c>
      <c r="BH46" s="59">
        <f t="shared" si="8"/>
        <v>716.16735534351756</v>
      </c>
      <c r="BI46" s="59">
        <f ca="1">AVERAGE(OFFSET($BH$3,0,0,'Données projet'!$E$11+1,1))-AVERAGE(OFFSET($H$3,0,0,'Données projet'!$E$11+1,1))</f>
        <v>384.34044781465661</v>
      </c>
      <c r="BJ46" s="59">
        <f t="shared" si="38"/>
        <v>374.99493809709708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11.504727635186587</v>
      </c>
      <c r="BQ46" s="21">
        <f>EXP(-LN(2)/25)*BQ45+(1-EXP(-LN(2)/25))/(LN(2)/25)*Calculateur!BL46*Calculateur!BN46*VLOOKUP('Données projet'!$B$11,Paramètres!$A$1:$I$89,3,0)*0.475*44/12</f>
        <v>17.731919316424353</v>
      </c>
      <c r="BR46" s="21">
        <f>EXP(-LN(2)/2)*BR45+(1-EXP(-LN(2)/2))/(LN(2)/2)*BL46*BO46*VLOOKUP('Données projet'!$B$11,Paramètres!$A$1:$I$89,3,0)*0.475*44/12</f>
        <v>3.0973749189624078</v>
      </c>
      <c r="BS46" s="22">
        <f t="shared" si="9"/>
        <v>32.334021870573345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4.5856818181818184</v>
      </c>
      <c r="BY46" s="12">
        <f>IF('Données projet'!$A$114&gt;35,BY45+BX46-CG45,IF(A46&lt;'Données projet'!$A$114,$BV$205^A46,IF(A46='Données projet'!$A$114,'Données projet'!$B$114,BY45+BX46-CG45)))</f>
        <v>197.18431818181838</v>
      </c>
      <c r="BZ46" s="13">
        <f>BY46*VLOOKUP('Données projet'!$B$12,Paramètres!$A$1:$I$89,3,0)*VLOOKUP('Données projet'!$B$12,Paramètres!$A$1:$I$89,5,0)</f>
        <v>187.64059718181838</v>
      </c>
      <c r="CA46" s="13">
        <f t="shared" si="39"/>
        <v>47.017943639776888</v>
      </c>
      <c r="CB46" s="20">
        <f t="shared" si="10"/>
        <v>408.69695859761174</v>
      </c>
      <c r="CC46" s="59">
        <f t="shared" si="11"/>
        <v>702.03029193094505</v>
      </c>
      <c r="CD46" s="59">
        <f ca="1">AVERAGE(OFFSET($CC$3,0,0,'Données projet'!$E$12+1,1))-AVERAGE(OFFSET($H$3,0,0,'Données projet'!$E$12+1,1))</f>
        <v>513.14430745499283</v>
      </c>
      <c r="CE46" s="59">
        <f t="shared" si="40"/>
        <v>324.2490378019823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7.1428571428571432</v>
      </c>
      <c r="CT46" s="12">
        <f>IF('Données projet'!$A$140&gt;35,CT45+CS46-DB45,IF(A46&lt;'Données projet'!$A$140,$CQ$205^A46,IF(A46='Données projet'!$A$140,'Données projet'!$B$140,CT45+CS46-DB45)))</f>
        <v>140.29304029304032</v>
      </c>
      <c r="CU46" s="17">
        <f>CT46*VLOOKUP('Données projet'!$B$13,Paramètres!$A$1:$I$89,3,0)*VLOOKUP('Données projet'!$B$13,Paramètres!$A$1:$I$89,5,0)</f>
        <v>109.42857142857146</v>
      </c>
      <c r="CV46" s="13">
        <f t="shared" si="41"/>
        <v>29.196310760611571</v>
      </c>
      <c r="CW46" s="20">
        <f t="shared" si="13"/>
        <v>241.43833647949381</v>
      </c>
      <c r="CX46" s="59">
        <f t="shared" si="14"/>
        <v>534.7716698128271</v>
      </c>
      <c r="CY46" s="59">
        <f ca="1">AVERAGE(OFFSET($CX$3,0,0,'Données projet'!$E$13+1,1))-AVERAGE(OFFSET($H$3,0,0,'Données projet'!$E$13+1,1))</f>
        <v>197.51452239559433</v>
      </c>
      <c r="CZ46" s="59">
        <f t="shared" si="42"/>
        <v>196.65166921588821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3.5860505799783016</v>
      </c>
      <c r="DG46" s="21">
        <f>EXP(-LN(2)/25)*DG45+(1-EXP(-LN(2)/25))/(LN(2)/25)*Calculateur!DB46*Calculateur!DD46*VLOOKUP('Données projet'!$B$13,Paramètres!$A$1:$I$89,3,0)*0.475*44/12</f>
        <v>5.1655944734855916</v>
      </c>
      <c r="DH46" s="21">
        <f>EXP(-LN(2)/2)*DH45+(1-EXP(-LN(2)/2))/(LN(2)/2)*DB46*DE46*VLOOKUP('Données projet'!$B$13,Paramètres!$A$1:$I$89,3,0)*0.475*44/12</f>
        <v>0.60433478619310066</v>
      </c>
      <c r="DI46" s="22">
        <f t="shared" si="15"/>
        <v>9.3559798396569942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4.1025641025641022</v>
      </c>
      <c r="DO46" s="12">
        <f>IF('Données projet'!$A$166&gt;35,DO45+DN46-DW45,IF(A46&lt;'Données projet'!$A$166,$DL$205^A46,IF(A46='Données projet'!$A$166,'Données projet'!$B$166,DO45+DN46-DW45)))</f>
        <v>95.641025641025635</v>
      </c>
      <c r="DP46" s="17">
        <f>DO46*VLOOKUP('Données projet'!$B$14,Paramètres!$A$1:$I$89,3,0)*VLOOKUP('Données projet'!$B$14,Paramètres!$A$1:$I$89,5,0)</f>
        <v>99.963999999999999</v>
      </c>
      <c r="DQ46" s="13">
        <f t="shared" si="43"/>
        <v>26.953420865059858</v>
      </c>
      <c r="DR46" s="20">
        <f t="shared" si="16"/>
        <v>221.04784133997921</v>
      </c>
      <c r="DS46" s="59">
        <f t="shared" si="17"/>
        <v>514.38117467331256</v>
      </c>
      <c r="DT46" s="59">
        <f ca="1">AVERAGE(OFFSET($DS$3,0,0,'Données projet'!$E$14+1,1))-AVERAGE(OFFSET($H$3,0,0,'Données projet'!$E$14+1,1))</f>
        <v>239.26156489359892</v>
      </c>
      <c r="DU46" s="59">
        <f t="shared" si="44"/>
        <v>213.97034450798111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11.933348486464364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11.933348486464364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3.3603333333333336</v>
      </c>
      <c r="EJ46" s="12">
        <f>IF('Données projet'!$A$192&gt;35,EJ45+EI46-ER45,IF(A46&lt;'Données projet'!$A$192,$EG$205^A46,IF(A46='Données projet'!$A$192,'Données projet'!$B$192,EJ45+EI46-ER45)))</f>
        <v>144.49433333333329</v>
      </c>
      <c r="EK46" s="17">
        <f>EJ46*VLOOKUP('Données projet'!$B$15,Paramètres!$A$1:$I$89,3,0)*VLOOKUP('Données projet'!$B$15,Paramètres!$A$1:$I$89,5,0)</f>
        <v>144.26314239999996</v>
      </c>
      <c r="EL46" s="13">
        <f t="shared" si="45"/>
        <v>37.271920032382951</v>
      </c>
      <c r="EM46" s="20">
        <f t="shared" si="19"/>
        <v>316.17356706973356</v>
      </c>
      <c r="EN46" s="59">
        <f t="shared" si="20"/>
        <v>609.50690040306688</v>
      </c>
      <c r="EO46" s="59">
        <f ca="1">AVERAGE(OFFSET($EN$3,0,0,'Données projet'!$E$15+1,1))-AVERAGE(OFFSET($H$3,0,0,'Données projet'!$E$15+1,1))</f>
        <v>525.74725170626471</v>
      </c>
      <c r="EP46" s="59">
        <f t="shared" si="46"/>
        <v>259.19103598192197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3.3603333333333336</v>
      </c>
      <c r="N47" s="13">
        <f>IF('Données projet'!$A$36&gt;35,N46+M47-V46,IF(A47&lt;'Données projet'!$A$36,$K$205^A47,IF(A47='Données projet'!$A$36,'Données projet'!$B$36,N46+M47-V46)))</f>
        <v>147.85466666666662</v>
      </c>
      <c r="O47" s="13">
        <f>N47*VLOOKUP('Données projet'!$B$9,Paramètres!$A$1:$I$89,3,0)*VLOOKUP('Données projet'!$B$9,Paramètres!$A$1:$I$89,5,0)</f>
        <v>149.92463199999995</v>
      </c>
      <c r="P47" s="13">
        <f t="shared" si="33"/>
        <v>38.561457471452059</v>
      </c>
      <c r="Q47" s="20">
        <f t="shared" si="53"/>
        <v>328.27993916277887</v>
      </c>
      <c r="R47" s="59">
        <f t="shared" si="0"/>
        <v>621.61327249611213</v>
      </c>
      <c r="S47" s="59">
        <f ca="1">AVERAGE(OFFSET($R$3,0,0,'Données projet'!$E$9+1,1))-AVERAGE(OFFSET($H$3,0,0,'Données projet'!$E$9+1,1))</f>
        <v>533.26035274112917</v>
      </c>
      <c r="T47" s="59">
        <f t="shared" si="34"/>
        <v>262.58149402282521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201.77</v>
      </c>
      <c r="AG47" s="12">
        <f>VLOOKUP(A47,'Données projet'!$A$61:$I$81,9,0)</f>
        <v>4.5856818181818184</v>
      </c>
      <c r="AH47" s="12">
        <f t="array" ref="AH47">INDEX(AG:AG,MIN(IF(ISNUMBER(AG47:AG243),ROW(AG47:AG243),"")))</f>
        <v>4.5856818181818184</v>
      </c>
      <c r="AI47" s="13">
        <f>IF('Données projet'!$A$62&gt;35,AI46+AH47-AQ46,IF(A47&lt;'Données projet'!$A$62,$AF$205^A47,IF(A47='Données projet'!$A$62,'Données projet'!$B$62,AI46+AH47-AQ46)))</f>
        <v>201.77000000000021</v>
      </c>
      <c r="AJ47" s="13">
        <f>AI47*VLOOKUP('Données projet'!$B$10,Paramètres!$A$1:$I$89,3,0)*VLOOKUP('Données projet'!$B$10,Paramètres!$A$1:$I$89,5,0)</f>
        <v>182.56149600000018</v>
      </c>
      <c r="AK47" s="13">
        <f t="shared" si="35"/>
        <v>45.891602325617114</v>
      </c>
      <c r="AL47" s="20">
        <f t="shared" si="4"/>
        <v>397.8891462504501</v>
      </c>
      <c r="AM47" s="59">
        <f t="shared" si="5"/>
        <v>691.22247958378341</v>
      </c>
      <c r="AN47" s="59">
        <f ca="1">AVERAGE(OFFSET($AM$3,0,0,'Données projet'!$E$10+1,1))-AVERAGE(OFFSET($H$3,0,0,'Données projet'!$E$10+1,1))</f>
        <v>482.62991869403385</v>
      </c>
      <c r="AO47" s="59">
        <f t="shared" si="36"/>
        <v>310.43914804089906</v>
      </c>
      <c r="AP47" s="15">
        <f>IF(ISNA(VLOOKUP(A47,'Données projet'!$A$61:$I$81,3,0)),0,VLOOKUP(A47,'Données projet'!$A$61:$I$81,3,0))</f>
        <v>1</v>
      </c>
      <c r="AQ47" s="15">
        <f>IF(ISNA(VLOOKUP(A47,'Données projet'!$A$61:$I$81,4,0)),0,VLOOKUP(A47,'Données projet'!$A$61:$I$81,4,0))</f>
        <v>76.680000000000007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0.34400000000000003</v>
      </c>
      <c r="AT47" s="16">
        <f>IF(ISNA(VLOOKUP(A47,'Données projet'!$A$61:$I$81,7,0)),0%,VLOOKUP(A47,'Données projet'!$A$61:$I$81,7,0))</f>
        <v>0.2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26.280092586651165</v>
      </c>
      <c r="AW47" s="21">
        <f>EXP(-LN(2)/2)*AW46+(1-EXP(-LN(2)/2))/(LN(2)/2)*AQ47*AT47*VLOOKUP('Données projet'!$B$10,Paramètres!$A$1:$I$89,3,0)*0.475*44/12</f>
        <v>13.092391544208875</v>
      </c>
      <c r="AX47" s="21">
        <f t="shared" si="6"/>
        <v>39.372484130860038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9.8000000000000007</v>
      </c>
      <c r="BD47" s="12">
        <f>IF('Données projet'!$A$88&gt;35,BD46+BC47-BL46,IF(A47&lt;'Données projet'!$A$88,$BA$205^A47,IF(A47='Données projet'!$A$88,'Données projet'!$B$88,BD46+BC47-BL46)))</f>
        <v>232.20000000000005</v>
      </c>
      <c r="BE47" s="13">
        <f>BD47*VLOOKUP('Données projet'!$B$11,Paramètres!$A$1:$I$89,3,0)*VLOOKUP('Données projet'!$B$11,Paramètres!$A$1:$I$89,5,0)</f>
        <v>202.84992000000005</v>
      </c>
      <c r="BF47" s="13">
        <f t="shared" si="37"/>
        <v>50.369977187686075</v>
      </c>
      <c r="BG47" s="20">
        <f t="shared" si="7"/>
        <v>441.02465426855332</v>
      </c>
      <c r="BH47" s="59">
        <f t="shared" si="8"/>
        <v>734.35798760188663</v>
      </c>
      <c r="BI47" s="59">
        <f ca="1">AVERAGE(OFFSET($BH$3,0,0,'Données projet'!$E$11+1,1))-AVERAGE(OFFSET($H$3,0,0,'Données projet'!$E$11+1,1))</f>
        <v>384.34044781465661</v>
      </c>
      <c r="BJ47" s="59">
        <f t="shared" si="38"/>
        <v>374.99493809709708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11.279126943451546</v>
      </c>
      <c r="BQ47" s="21">
        <f>EXP(-LN(2)/25)*BQ46+(1-EXP(-LN(2)/25))/(LN(2)/25)*Calculateur!BL47*Calculateur!BN47*VLOOKUP('Données projet'!$B$11,Paramètres!$A$1:$I$89,3,0)*0.475*44/12</f>
        <v>17.247039050235617</v>
      </c>
      <c r="BR47" s="21">
        <f>EXP(-LN(2)/2)*BR46+(1-EXP(-LN(2)/2))/(LN(2)/2)*BL47*BO47*VLOOKUP('Données projet'!$B$11,Paramètres!$A$1:$I$89,3,0)*0.475*44/12</f>
        <v>2.1901748090754518</v>
      </c>
      <c r="BS47" s="22">
        <f t="shared" si="9"/>
        <v>30.716340802762616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201.77</v>
      </c>
      <c r="BW47" s="12">
        <f>VLOOKUP(A47,'Données projet'!$A$113:$I$133,9,0)</f>
        <v>4.5856818181818184</v>
      </c>
      <c r="BX47" s="12">
        <f t="array" ref="BX47">INDEX(BW:BW,MIN(IF(ISNUMBER(BW47:BW243),ROW(BW47:BW243),"")))</f>
        <v>4.5856818181818184</v>
      </c>
      <c r="BY47" s="12">
        <f>IF('Données projet'!$A$114&gt;35,BY46+BX47-CG46,IF(A47&lt;'Données projet'!$A$114,$BV$205^A47,IF(A47='Données projet'!$A$114,'Données projet'!$B$114,BY46+BX47-CG46)))</f>
        <v>201.77000000000021</v>
      </c>
      <c r="BZ47" s="13">
        <f>BY47*VLOOKUP('Données projet'!$B$12,Paramètres!$A$1:$I$89,3,0)*VLOOKUP('Données projet'!$B$12,Paramètres!$A$1:$I$89,5,0)</f>
        <v>192.0043320000002</v>
      </c>
      <c r="CA47" s="13">
        <f t="shared" si="39"/>
        <v>47.982811197556352</v>
      </c>
      <c r="CB47" s="20">
        <f t="shared" si="10"/>
        <v>417.97760773574436</v>
      </c>
      <c r="CC47" s="59">
        <f t="shared" si="11"/>
        <v>711.31094106907767</v>
      </c>
      <c r="CD47" s="59">
        <f ca="1">AVERAGE(OFFSET($CC$3,0,0,'Données projet'!$E$12+1,1))-AVERAGE(OFFSET($H$3,0,0,'Données projet'!$E$12+1,1))</f>
        <v>513.14430745499283</v>
      </c>
      <c r="CE47" s="59">
        <f t="shared" si="40"/>
        <v>324.2490378019823</v>
      </c>
      <c r="CF47" s="15">
        <f>IF(ISNA(VLOOKUP(A47,'Données projet'!$A$113:$I$133,3,0)),0,VLOOKUP(A47,'Données projet'!$A$113:$I$133,3,0))</f>
        <v>1</v>
      </c>
      <c r="CG47" s="15">
        <f>IF(ISNA(VLOOKUP(A47,'Données projet'!$A$113:$I$133,4,0)),0,VLOOKUP(A47,'Données projet'!$A$113:$I$133,4,0))</f>
        <v>76.680000000000007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0.34400000000000003</v>
      </c>
      <c r="CJ47" s="16">
        <f>IF(ISNA(VLOOKUP(A47,'Données projet'!$A$113:$I$133,7,0)),0%,VLOOKUP(A47,'Données projet'!$A$113:$I$133,7,0))</f>
        <v>0.2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27.639407720443469</v>
      </c>
      <c r="CM47" s="21">
        <f>EXP(-LN(2)/2)*CM46+(1-EXP(-LN(2)/2))/(LN(2)/2)*CG47*CJ47*VLOOKUP('Données projet'!$B$12,Paramètres!$A$1:$I$89,3,0)*0.475*44/12</f>
        <v>13.769584210288643</v>
      </c>
      <c r="CN47" s="22">
        <f t="shared" si="12"/>
        <v>41.408991930732114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147.43589743589743</v>
      </c>
      <c r="CR47" s="12">
        <f>VLOOKUP(A47,'Données projet'!$A$139:$I$159,9,0)</f>
        <v>7.1428571428571432</v>
      </c>
      <c r="CS47" s="12">
        <f t="array" ref="CS47">INDEX(CR:CR,MIN(IF(ISNUMBER(CR47:CR243),ROW(CR47:CR243),"")))</f>
        <v>7.1428571428571432</v>
      </c>
      <c r="CT47" s="12">
        <f>IF('Données projet'!$A$140&gt;35,CT46+CS47-DB46,IF(A47&lt;'Données projet'!$A$140,$CQ$205^A47,IF(A47='Données projet'!$A$140,'Données projet'!$B$140,CT46+CS47-DB46)))</f>
        <v>147.43589743589746</v>
      </c>
      <c r="CU47" s="17">
        <f>CT47*VLOOKUP('Données projet'!$B$13,Paramètres!$A$1:$I$89,3,0)*VLOOKUP('Données projet'!$B$13,Paramètres!$A$1:$I$89,5,0)</f>
        <v>115.00000000000003</v>
      </c>
      <c r="CV47" s="13">
        <f t="shared" si="41"/>
        <v>30.505958604729159</v>
      </c>
      <c r="CW47" s="20">
        <f t="shared" si="13"/>
        <v>253.42287790323667</v>
      </c>
      <c r="CX47" s="59">
        <f t="shared" si="14"/>
        <v>546.75621123656992</v>
      </c>
      <c r="CY47" s="59">
        <f ca="1">AVERAGE(OFFSET($CX$3,0,0,'Données projet'!$E$13+1,1))-AVERAGE(OFFSET($H$3,0,0,'Données projet'!$E$13+1,1))</f>
        <v>197.51452239559433</v>
      </c>
      <c r="CZ47" s="59">
        <f t="shared" si="42"/>
        <v>196.65166921588821</v>
      </c>
      <c r="DA47" s="15">
        <f>IF(ISNA(VLOOKUP(A47,'Données projet'!$A$139:$I$159,3,0)),0,VLOOKUP(A47,'Données projet'!$A$139:$I$159,3,0))</f>
        <v>6</v>
      </c>
      <c r="DB47" s="15">
        <f>IF(ISNA(VLOOKUP(A47,'Données projet'!$A$139:$I$159,4,0)),0,VLOOKUP(A47,'Données projet'!$A$139:$I$159,4,0))</f>
        <v>27.564102564102562</v>
      </c>
      <c r="DC47" s="16">
        <f>IF(ISNA(VLOOKUP(A47,'Données projet'!$A$139:$I$159,5,0)),0%,VLOOKUP(A47,'Données projet'!$A$139:$I$159,5,0)*VLOOKUP('Données projet'!$B$13,Paramètres!$A$1:$I$89,7,0))</f>
        <v>0.1075</v>
      </c>
      <c r="DD47" s="16">
        <f>IF(ISNA(VLOOKUP(A47,'Données projet'!$A$139:$I$159,6,0)),0%,VLOOKUP(A47,'Données projet'!$A$139:$I$159,6,0)*VLOOKUP('Données projet'!$B$13,Paramètres!$A$1:$I$89,7,0))</f>
        <v>0.1075</v>
      </c>
      <c r="DE47" s="16">
        <f>IF(ISNA(VLOOKUP(A47,'Données projet'!$A$139:$I$159,7,0)),0%,VLOOKUP(A47,'Données projet'!$A$139:$I$159,7,0))</f>
        <v>0.25</v>
      </c>
      <c r="DF47" s="21">
        <f>EXP(-LN(2)/35)*DF46+(1-EXP(-LN(2)/35))/(LN(2)/35)*DB47*DC47*VLOOKUP('Données projet'!$B$13,Paramètres!$A$1:$I$89,3,0)*0.475*44/12</f>
        <v>6.0707487300753362</v>
      </c>
      <c r="DG47" s="21">
        <f>EXP(-LN(2)/25)*DG46+(1-EXP(-LN(2)/25))/(LN(2)/25)*Calculateur!DB47*Calculateur!DD47*VLOOKUP('Données projet'!$B$13,Paramètres!$A$1:$I$89,3,0)*0.475*44/12</f>
        <v>7.5692993546198561</v>
      </c>
      <c r="DH47" s="21">
        <f>EXP(-LN(2)/2)*DH46+(1-EXP(-LN(2)/2))/(LN(2)/2)*DB47*DE47*VLOOKUP('Données projet'!$B$13,Paramètres!$A$1:$I$89,3,0)*0.475*44/12</f>
        <v>5.4987863914280251</v>
      </c>
      <c r="DI47" s="22">
        <f t="shared" si="15"/>
        <v>19.138834476123215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4.1025641025641022</v>
      </c>
      <c r="DO47" s="12">
        <f>IF('Données projet'!$A$166&gt;35,DO46+DN47-DW46,IF(A47&lt;'Données projet'!$A$166,$DL$205^A47,IF(A47='Données projet'!$A$166,'Données projet'!$B$166,DO46+DN47-DW46)))</f>
        <v>99.743589743589737</v>
      </c>
      <c r="DP47" s="17">
        <f>DO47*VLOOKUP('Données projet'!$B$14,Paramètres!$A$1:$I$89,3,0)*VLOOKUP('Données projet'!$B$14,Paramètres!$A$1:$I$89,5,0)</f>
        <v>104.252</v>
      </c>
      <c r="DQ47" s="13">
        <f t="shared" si="43"/>
        <v>27.972509924429268</v>
      </c>
      <c r="DR47" s="20">
        <f t="shared" si="16"/>
        <v>230.2910214517143</v>
      </c>
      <c r="DS47" s="59">
        <f t="shared" si="17"/>
        <v>523.62435478504767</v>
      </c>
      <c r="DT47" s="59">
        <f ca="1">AVERAGE(OFFSET($DS$3,0,0,'Données projet'!$E$14+1,1))-AVERAGE(OFFSET($H$3,0,0,'Données projet'!$E$14+1,1))</f>
        <v>239.26156489359892</v>
      </c>
      <c r="DU47" s="59">
        <f t="shared" si="44"/>
        <v>213.97034450798111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11.607030444554473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11.607030444554473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3.3603333333333336</v>
      </c>
      <c r="EJ47" s="12">
        <f>IF('Données projet'!$A$192&gt;35,EJ46+EI47-ER46,IF(A47&lt;'Données projet'!$A$192,$EG$205^A47,IF(A47='Données projet'!$A$192,'Données projet'!$B$192,EJ46+EI47-ER46)))</f>
        <v>147.85466666666662</v>
      </c>
      <c r="EK47" s="17">
        <f>EJ47*VLOOKUP('Données projet'!$B$15,Paramètres!$A$1:$I$89,3,0)*VLOOKUP('Données projet'!$B$15,Paramètres!$A$1:$I$89,5,0)</f>
        <v>147.61809919999996</v>
      </c>
      <c r="EL47" s="13">
        <f t="shared" si="45"/>
        <v>38.036786882599102</v>
      </c>
      <c r="EM47" s="20">
        <f t="shared" si="19"/>
        <v>323.34892659386003</v>
      </c>
      <c r="EN47" s="59">
        <f t="shared" si="20"/>
        <v>616.6822599271934</v>
      </c>
      <c r="EO47" s="59">
        <f ca="1">AVERAGE(OFFSET($EN$3,0,0,'Données projet'!$E$15+1,1))-AVERAGE(OFFSET($H$3,0,0,'Données projet'!$E$15+1,1))</f>
        <v>525.74725170626471</v>
      </c>
      <c r="EP47" s="59">
        <f t="shared" si="46"/>
        <v>259.19103598192197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3.3603333333333336</v>
      </c>
      <c r="N48" s="13">
        <f>IF('Données projet'!$A$36&gt;35,N47+M48-V47,IF(A48&lt;'Données projet'!$A$36,$K$205^A48,IF(A48='Données projet'!$A$36,'Données projet'!$B$36,N47+M48-V47)))</f>
        <v>151.21499999999995</v>
      </c>
      <c r="O48" s="13">
        <f>N48*VLOOKUP('Données projet'!$B$9,Paramètres!$A$1:$I$89,3,0)*VLOOKUP('Données projet'!$B$9,Paramètres!$A$1:$I$89,5,0)</f>
        <v>153.33200999999997</v>
      </c>
      <c r="P48" s="13">
        <f t="shared" si="33"/>
        <v>39.334825910514574</v>
      </c>
      <c r="Q48" s="20">
        <f t="shared" si="53"/>
        <v>335.5614058774795</v>
      </c>
      <c r="R48" s="59">
        <f t="shared" si="0"/>
        <v>628.89473921081276</v>
      </c>
      <c r="S48" s="59">
        <f ca="1">AVERAGE(OFFSET($R$3,0,0,'Données projet'!$E$9+1,1))-AVERAGE(OFFSET($H$3,0,0,'Données projet'!$E$9+1,1))</f>
        <v>533.26035274112917</v>
      </c>
      <c r="T48" s="59">
        <f t="shared" si="34"/>
        <v>262.58149402282521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9.6799999999999979</v>
      </c>
      <c r="AI48" s="13">
        <f>IF('Données projet'!$A$62&gt;35,AI47+AH48-AQ47,IF(A48&lt;'Données projet'!$A$62,$AF$205^A48,IF(A48='Données projet'!$A$62,'Données projet'!$B$62,AI47+AH48-AQ47)))</f>
        <v>134.77000000000021</v>
      </c>
      <c r="AJ48" s="13">
        <f>AI48*VLOOKUP('Données projet'!$B$10,Paramètres!$A$1:$I$89,3,0)*VLOOKUP('Données projet'!$B$10,Paramètres!$A$1:$I$89,5,0)</f>
        <v>121.93989600000019</v>
      </c>
      <c r="AK48" s="13">
        <f t="shared" si="35"/>
        <v>32.127025032251971</v>
      </c>
      <c r="AL48" s="20">
        <f t="shared" si="4"/>
        <v>268.3332207978392</v>
      </c>
      <c r="AM48" s="59">
        <f t="shared" si="5"/>
        <v>561.66655413117246</v>
      </c>
      <c r="AN48" s="59">
        <f ca="1">AVERAGE(OFFSET($AM$3,0,0,'Données projet'!$E$10+1,1))-AVERAGE(OFFSET($H$3,0,0,'Données projet'!$E$10+1,1))</f>
        <v>482.62991869403385</v>
      </c>
      <c r="AO48" s="59">
        <f t="shared" si="36"/>
        <v>310.43914804089906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25.561462072859182</v>
      </c>
      <c r="AW48" s="21">
        <f>EXP(-LN(2)/2)*AW47+(1-EXP(-LN(2)/2))/(LN(2)/2)*AQ48*AT48*VLOOKUP('Données projet'!$B$10,Paramètres!$A$1:$I$89,3,0)*0.475*44/12</f>
        <v>9.2577188428595107</v>
      </c>
      <c r="AX48" s="21">
        <f t="shared" si="6"/>
        <v>34.81918091571869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242</v>
      </c>
      <c r="BB48" s="12">
        <f>VLOOKUP(A48,'Données projet'!$A$87:$I$107,9,0)</f>
        <v>9.8000000000000007</v>
      </c>
      <c r="BC48" s="12">
        <f t="array" ref="BC48">INDEX(BB:BB,MIN(IF(ISNUMBER(BB48:BB244),ROW(BB48:BB244),"")))</f>
        <v>9.8000000000000007</v>
      </c>
      <c r="BD48" s="12">
        <f>IF('Données projet'!$A$88&gt;35,BD47+BC48-BL47,IF(A48&lt;'Données projet'!$A$88,$BA$205^A48,IF(A48='Données projet'!$A$88,'Données projet'!$B$88,BD47+BC48-BL47)))</f>
        <v>242.00000000000006</v>
      </c>
      <c r="BE48" s="13">
        <f>BD48*VLOOKUP('Données projet'!$B$11,Paramètres!$A$1:$I$89,3,0)*VLOOKUP('Données projet'!$B$11,Paramètres!$A$1:$I$89,5,0)</f>
        <v>211.41120000000006</v>
      </c>
      <c r="BF48" s="13">
        <f t="shared" si="37"/>
        <v>52.243848094411156</v>
      </c>
      <c r="BG48" s="20">
        <f t="shared" si="7"/>
        <v>459.19920876443285</v>
      </c>
      <c r="BH48" s="59">
        <f t="shared" si="8"/>
        <v>752.53254209776617</v>
      </c>
      <c r="BI48" s="59">
        <f ca="1">AVERAGE(OFFSET($BH$3,0,0,'Données projet'!$E$11+1,1))-AVERAGE(OFFSET($H$3,0,0,'Données projet'!$E$11+1,1))</f>
        <v>384.34044781465661</v>
      </c>
      <c r="BJ48" s="59">
        <f t="shared" si="38"/>
        <v>374.99493809709708</v>
      </c>
      <c r="BK48" s="15">
        <f>IF(ISNA(VLOOKUP(A48,'Données projet'!$A$87:$I$107,3,0)),0,VLOOKUP(A48,'Données projet'!$A$87:$I$107,3,0))</f>
        <v>7</v>
      </c>
      <c r="BL48" s="15">
        <f>IF(ISNA(VLOOKUP(A48,'Données projet'!$A$87:$I$107,4,0)),0,VLOOKUP(A48,'Données projet'!$A$87:$I$107,4,0))</f>
        <v>24</v>
      </c>
      <c r="BM48" s="16">
        <f>IF(ISNA(VLOOKUP(A48,'Données projet'!$A$87:$I$107,5,0)),0%,VLOOKUP(A48,'Données projet'!$A$87:$I$107,5,0)*VLOOKUP('Données projet'!$B$11,Paramètres!$A$1:$I$89,7,0))</f>
        <v>0.13250000000000001</v>
      </c>
      <c r="BN48" s="16">
        <f>IF(ISNA(VLOOKUP(A48,'Données projet'!$A$87:$I$107,6,0)),0%,VLOOKUP(A48,'Données projet'!$A$87:$I$107,6,0)*VLOOKUP('Données projet'!$B$11,Paramètres!$A$1:$I$89,7,0))</f>
        <v>0.13250000000000001</v>
      </c>
      <c r="BO48" s="16">
        <f>IF(ISNA(VLOOKUP(A48,'Données projet'!$A$87:$I$107,7,0)),0%,VLOOKUP(A48,'Données projet'!$A$87:$I$107,7,0))</f>
        <v>0.25</v>
      </c>
      <c r="BP48" s="21">
        <f>EXP(-LN(2)/35)*BP47+(1-EXP(-LN(2)/35))/(LN(2)/35)*BL48*BM48*VLOOKUP('Données projet'!$B$11,Paramètres!$A$1:$I$89,3,0)*0.475*44/12</f>
        <v>14.128999920599348</v>
      </c>
      <c r="BQ48" s="21">
        <f>EXP(-LN(2)/25)*BQ47+(1-EXP(-LN(2)/25))/(LN(2)/25)*Calculateur!BL48*Calculateur!BN48*VLOOKUP('Données projet'!$B$11,Paramètres!$A$1:$I$89,3,0)*0.475*44/12</f>
        <v>19.834375744211872</v>
      </c>
      <c r="BR48" s="21">
        <f>EXP(-LN(2)/2)*BR47+(1-EXP(-LN(2)/2))/(LN(2)/2)*BL48*BO48*VLOOKUP('Données projet'!$B$11,Paramètres!$A$1:$I$89,3,0)*0.475*44/12</f>
        <v>6.494278135076808</v>
      </c>
      <c r="BS48" s="22">
        <f t="shared" si="9"/>
        <v>40.457653799888035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9.6799999999999979</v>
      </c>
      <c r="BY48" s="12">
        <f>IF('Données projet'!$A$114&gt;35,BY47+BX48-CG47,IF(A48&lt;'Données projet'!$A$114,$BV$205^A48,IF(A48='Données projet'!$A$114,'Données projet'!$B$114,BY47+BX48-CG47)))</f>
        <v>134.77000000000021</v>
      </c>
      <c r="BZ48" s="13">
        <f>BY48*VLOOKUP('Données projet'!$B$12,Paramètres!$A$1:$I$89,3,0)*VLOOKUP('Données projet'!$B$12,Paramètres!$A$1:$I$89,5,0)</f>
        <v>128.24713200000019</v>
      </c>
      <c r="CA48" s="13">
        <f t="shared" si="39"/>
        <v>33.591003546224123</v>
      </c>
      <c r="CB48" s="20">
        <f t="shared" si="10"/>
        <v>281.86808607634066</v>
      </c>
      <c r="CC48" s="59">
        <f t="shared" si="11"/>
        <v>575.20141940967392</v>
      </c>
      <c r="CD48" s="59">
        <f ca="1">AVERAGE(OFFSET($CC$3,0,0,'Données projet'!$E$12+1,1))-AVERAGE(OFFSET($H$3,0,0,'Données projet'!$E$12+1,1))</f>
        <v>513.14430745499283</v>
      </c>
      <c r="CE48" s="59">
        <f t="shared" si="40"/>
        <v>324.2490378019823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26.883606662834662</v>
      </c>
      <c r="CM48" s="21">
        <f>EXP(-LN(2)/2)*CM47+(1-EXP(-LN(2)/2))/(LN(2)/2)*CG48*CJ48*VLOOKUP('Données projet'!$B$12,Paramètres!$A$1:$I$89,3,0)*0.475*44/12</f>
        <v>9.7365663692143123</v>
      </c>
      <c r="CN48" s="22">
        <f t="shared" si="12"/>
        <v>36.620173032048974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6.6506410256410255</v>
      </c>
      <c r="CT48" s="12">
        <f>IF('Données projet'!$A$140&gt;35,CT47+CS48-DB47,IF(A48&lt;'Données projet'!$A$140,$CQ$205^A48,IF(A48='Données projet'!$A$140,'Données projet'!$B$140,CT47+CS48-DB47)))</f>
        <v>126.52243589743591</v>
      </c>
      <c r="CU48" s="17">
        <f>CT48*VLOOKUP('Données projet'!$B$13,Paramètres!$A$1:$I$89,3,0)*VLOOKUP('Données projet'!$B$13,Paramètres!$A$1:$I$89,5,0)</f>
        <v>98.687500000000014</v>
      </c>
      <c r="CV48" s="13">
        <f t="shared" si="41"/>
        <v>26.649072495226527</v>
      </c>
      <c r="CW48" s="20">
        <f t="shared" si="13"/>
        <v>218.29453042918621</v>
      </c>
      <c r="CX48" s="59">
        <f t="shared" si="14"/>
        <v>511.6278637625195</v>
      </c>
      <c r="CY48" s="59">
        <f ca="1">AVERAGE(OFFSET($CX$3,0,0,'Données projet'!$E$13+1,1))-AVERAGE(OFFSET($H$3,0,0,'Données projet'!$E$13+1,1))</f>
        <v>197.51452239559433</v>
      </c>
      <c r="CZ48" s="59">
        <f t="shared" si="42"/>
        <v>196.65166921588821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5.9517050502696636</v>
      </c>
      <c r="DG48" s="21">
        <f>EXP(-LN(2)/25)*DG47+(1-EXP(-LN(2)/25))/(LN(2)/25)*Calculateur!DB48*Calculateur!DD48*VLOOKUP('Données projet'!$B$13,Paramètres!$A$1:$I$89,3,0)*0.475*44/12</f>
        <v>7.3623164657156233</v>
      </c>
      <c r="DH48" s="21">
        <f>EXP(-LN(2)/2)*DH47+(1-EXP(-LN(2)/2))/(LN(2)/2)*DB48*DE48*VLOOKUP('Données projet'!$B$13,Paramètres!$A$1:$I$89,3,0)*0.475*44/12</f>
        <v>3.8882291456750622</v>
      </c>
      <c r="DI48" s="22">
        <f t="shared" si="15"/>
        <v>17.202250661660351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103.84615384615384</v>
      </c>
      <c r="DM48" s="12">
        <f>VLOOKUP(A48,'Données projet'!$A$165:$I$185,9,0)</f>
        <v>4.1025641025641022</v>
      </c>
      <c r="DN48" s="12">
        <f t="array" ref="DN48">INDEX(DM:DM,MIN(IF(ISNUMBER(DM48:DM244),ROW(DM48:DM244),"")))</f>
        <v>4.1025641025641022</v>
      </c>
      <c r="DO48" s="12">
        <f>IF('Données projet'!$A$166&gt;35,DO47+DN48-DW47,IF(A48&lt;'Données projet'!$A$166,$DL$205^A48,IF(A48='Données projet'!$A$166,'Données projet'!$B$166,DO47+DN48-DW47)))</f>
        <v>103.84615384615384</v>
      </c>
      <c r="DP48" s="17">
        <f>DO48*VLOOKUP('Données projet'!$B$14,Paramètres!$A$1:$I$89,3,0)*VLOOKUP('Données projet'!$B$14,Paramètres!$A$1:$I$89,5,0)</f>
        <v>108.54</v>
      </c>
      <c r="DQ48" s="13">
        <f t="shared" si="43"/>
        <v>28.986730142355373</v>
      </c>
      <c r="DR48" s="20">
        <f t="shared" si="16"/>
        <v>239.52572166460229</v>
      </c>
      <c r="DS48" s="59">
        <f t="shared" si="17"/>
        <v>532.85905499793557</v>
      </c>
      <c r="DT48" s="59">
        <f ca="1">AVERAGE(OFFSET($DS$3,0,0,'Données projet'!$E$14+1,1))-AVERAGE(OFFSET($H$3,0,0,'Données projet'!$E$14+1,1))</f>
        <v>239.26156489359892</v>
      </c>
      <c r="DU48" s="59">
        <f t="shared" si="44"/>
        <v>213.97034450798111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12.179487179487179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0.215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14.303339734332848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14.303339734332848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3.3603333333333336</v>
      </c>
      <c r="EJ48" s="12">
        <f>IF('Données projet'!$A$192&gt;35,EJ47+EI48-ER47,IF(A48&lt;'Données projet'!$A$192,$EG$205^A48,IF(A48='Données projet'!$A$192,'Données projet'!$B$192,EJ47+EI48-ER47)))</f>
        <v>151.21499999999995</v>
      </c>
      <c r="EK48" s="17">
        <f>EJ48*VLOOKUP('Données projet'!$B$15,Paramètres!$A$1:$I$89,3,0)*VLOOKUP('Données projet'!$B$15,Paramètres!$A$1:$I$89,5,0)</f>
        <v>150.97305599999996</v>
      </c>
      <c r="EL48" s="13">
        <f t="shared" si="45"/>
        <v>38.799632802521302</v>
      </c>
      <c r="EM48" s="20">
        <f t="shared" si="19"/>
        <v>330.52076633105781</v>
      </c>
      <c r="EN48" s="59">
        <f t="shared" si="20"/>
        <v>623.85409966439113</v>
      </c>
      <c r="EO48" s="59">
        <f ca="1">AVERAGE(OFFSET($EN$3,0,0,'Données projet'!$E$15+1,1))-AVERAGE(OFFSET($H$3,0,0,'Données projet'!$E$15+1,1))</f>
        <v>525.74725170626471</v>
      </c>
      <c r="EP48" s="59">
        <f t="shared" si="46"/>
        <v>259.19103598192197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3.3603333333333336</v>
      </c>
      <c r="N49" s="13">
        <f>IF('Données projet'!$A$36&gt;35,N48+M49-V48,IF(A49&lt;'Données projet'!$A$36,$K$205^A49,IF(A49='Données projet'!$A$36,'Données projet'!$B$36,N48+M49-V48)))</f>
        <v>154.57533333333328</v>
      </c>
      <c r="O49" s="13">
        <f>N49*VLOOKUP('Données projet'!$B$9,Paramètres!$A$1:$I$89,3,0)*VLOOKUP('Données projet'!$B$9,Paramètres!$A$1:$I$89,5,0)</f>
        <v>156.73938799999993</v>
      </c>
      <c r="P49" s="13">
        <f t="shared" si="33"/>
        <v>40.106196314415328</v>
      </c>
      <c r="Q49" s="20">
        <f t="shared" si="53"/>
        <v>342.83939268093991</v>
      </c>
      <c r="R49" s="59">
        <f t="shared" si="0"/>
        <v>636.17272601427317</v>
      </c>
      <c r="S49" s="59">
        <f ca="1">AVERAGE(OFFSET($R$3,0,0,'Données projet'!$E$9+1,1))-AVERAGE(OFFSET($H$3,0,0,'Données projet'!$E$9+1,1))</f>
        <v>533.26035274112917</v>
      </c>
      <c r="T49" s="59">
        <f t="shared" si="34"/>
        <v>262.58149402282521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9.6799999999999979</v>
      </c>
      <c r="AI49" s="13">
        <f>IF('Données projet'!$A$62&gt;35,AI48+AH49-AQ48,IF(A49&lt;'Données projet'!$A$62,$AF$205^A49,IF(A49='Données projet'!$A$62,'Données projet'!$B$62,AI48+AH49-AQ48)))</f>
        <v>144.45000000000022</v>
      </c>
      <c r="AJ49" s="13">
        <f>AI49*VLOOKUP('Données projet'!$B$10,Paramètres!$A$1:$I$89,3,0)*VLOOKUP('Données projet'!$B$10,Paramètres!$A$1:$I$89,5,0)</f>
        <v>130.69836000000018</v>
      </c>
      <c r="AK49" s="13">
        <f t="shared" si="35"/>
        <v>34.157679472020803</v>
      </c>
      <c r="AL49" s="20">
        <f t="shared" si="4"/>
        <v>287.12426874710326</v>
      </c>
      <c r="AM49" s="59">
        <f t="shared" si="5"/>
        <v>580.45760208043657</v>
      </c>
      <c r="AN49" s="59">
        <f ca="1">AVERAGE(OFFSET($AM$3,0,0,'Données projet'!$E$10+1,1))-AVERAGE(OFFSET($H$3,0,0,'Données projet'!$E$10+1,1))</f>
        <v>482.62991869403385</v>
      </c>
      <c r="AO49" s="59">
        <f t="shared" si="36"/>
        <v>310.43914804089906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24.862482548257979</v>
      </c>
      <c r="AW49" s="21">
        <f>EXP(-LN(2)/2)*AW48+(1-EXP(-LN(2)/2))/(LN(2)/2)*AQ49*AT49*VLOOKUP('Données projet'!$B$10,Paramètres!$A$1:$I$89,3,0)*0.475*44/12</f>
        <v>6.5461957721044381</v>
      </c>
      <c r="AX49" s="21">
        <f t="shared" si="6"/>
        <v>31.408678320362419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8.6</v>
      </c>
      <c r="BD49" s="12">
        <f>IF('Données projet'!$A$88&gt;35,BD48+BC49-BL48,IF(A49&lt;'Données projet'!$A$88,$BA$205^A49,IF(A49='Données projet'!$A$88,'Données projet'!$B$88,BD48+BC49-BL48)))</f>
        <v>226.60000000000005</v>
      </c>
      <c r="BE49" s="13">
        <f>BD49*VLOOKUP('Données projet'!$B$11,Paramètres!$A$1:$I$89,3,0)*VLOOKUP('Données projet'!$B$11,Paramètres!$A$1:$I$89,5,0)</f>
        <v>197.95776000000006</v>
      </c>
      <c r="BF49" s="13">
        <f t="shared" si="37"/>
        <v>49.295077435194649</v>
      </c>
      <c r="BG49" s="20">
        <f t="shared" si="7"/>
        <v>430.63202519963079</v>
      </c>
      <c r="BH49" s="59">
        <f t="shared" si="8"/>
        <v>723.96535853296405</v>
      </c>
      <c r="BI49" s="59">
        <f ca="1">AVERAGE(OFFSET($BH$3,0,0,'Données projet'!$E$11+1,1))-AVERAGE(OFFSET($H$3,0,0,'Données projet'!$E$11+1,1))</f>
        <v>384.34044781465661</v>
      </c>
      <c r="BJ49" s="59">
        <f t="shared" si="38"/>
        <v>374.99493809709708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13.851938849995406</v>
      </c>
      <c r="BQ49" s="21">
        <f>EXP(-LN(2)/25)*BQ48+(1-EXP(-LN(2)/25))/(LN(2)/25)*Calculateur!BL49*Calculateur!BN49*VLOOKUP('Données projet'!$B$11,Paramètres!$A$1:$I$89,3,0)*0.475*44/12</f>
        <v>19.29200369644191</v>
      </c>
      <c r="BR49" s="21">
        <f>EXP(-LN(2)/2)*BR48+(1-EXP(-LN(2)/2))/(LN(2)/2)*BL49*BO49*VLOOKUP('Données projet'!$B$11,Paramètres!$A$1:$I$89,3,0)*0.475*44/12</f>
        <v>4.5921481082243369</v>
      </c>
      <c r="BS49" s="22">
        <f t="shared" si="9"/>
        <v>37.736090654661652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9.6799999999999979</v>
      </c>
      <c r="BY49" s="12">
        <f>IF('Données projet'!$A$114&gt;35,BY48+BX49-CG48,IF(A49&lt;'Données projet'!$A$114,$BV$205^A49,IF(A49='Données projet'!$A$114,'Données projet'!$B$114,BY48+BX49-CG48)))</f>
        <v>144.45000000000022</v>
      </c>
      <c r="BZ49" s="13">
        <f>BY49*VLOOKUP('Données projet'!$B$12,Paramètres!$A$1:$I$89,3,0)*VLOOKUP('Données projet'!$B$12,Paramètres!$A$1:$I$89,5,0)</f>
        <v>137.45862000000022</v>
      </c>
      <c r="CA49" s="13">
        <f t="shared" si="39"/>
        <v>35.714191747402218</v>
      </c>
      <c r="CB49" s="20">
        <f t="shared" si="10"/>
        <v>301.60931379339257</v>
      </c>
      <c r="CC49" s="59">
        <f t="shared" si="11"/>
        <v>594.94264712672589</v>
      </c>
      <c r="CD49" s="59">
        <f ca="1">AVERAGE(OFFSET($CC$3,0,0,'Données projet'!$E$12+1,1))-AVERAGE(OFFSET($H$3,0,0,'Données projet'!$E$12+1,1))</f>
        <v>513.14430745499283</v>
      </c>
      <c r="CE49" s="59">
        <f t="shared" si="40"/>
        <v>324.2490378019823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26.148473024892017</v>
      </c>
      <c r="CM49" s="21">
        <f>EXP(-LN(2)/2)*CM48+(1-EXP(-LN(2)/2))/(LN(2)/2)*CG49*CJ49*VLOOKUP('Données projet'!$B$12,Paramètres!$A$1:$I$89,3,0)*0.475*44/12</f>
        <v>6.8847921051443226</v>
      </c>
      <c r="CN49" s="22">
        <f t="shared" si="12"/>
        <v>33.033265130036341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6.6506410256410255</v>
      </c>
      <c r="CT49" s="12">
        <f>IF('Données projet'!$A$140&gt;35,CT48+CS49-DB48,IF(A49&lt;'Données projet'!$A$140,$CQ$205^A49,IF(A49='Données projet'!$A$140,'Données projet'!$B$140,CT48+CS49-DB48)))</f>
        <v>133.17307692307693</v>
      </c>
      <c r="CU49" s="17">
        <f>CT49*VLOOKUP('Données projet'!$B$13,Paramètres!$A$1:$I$89,3,0)*VLOOKUP('Données projet'!$B$13,Paramètres!$A$1:$I$89,5,0)</f>
        <v>103.87500000000001</v>
      </c>
      <c r="CV49" s="13">
        <f t="shared" si="41"/>
        <v>27.883110316110333</v>
      </c>
      <c r="CW49" s="20">
        <f t="shared" si="13"/>
        <v>229.47870880055882</v>
      </c>
      <c r="CX49" s="59">
        <f t="shared" si="14"/>
        <v>522.81204213389219</v>
      </c>
      <c r="CY49" s="59">
        <f ca="1">AVERAGE(OFFSET($CX$3,0,0,'Données projet'!$E$13+1,1))-AVERAGE(OFFSET($H$3,0,0,'Données projet'!$E$13+1,1))</f>
        <v>197.51452239559433</v>
      </c>
      <c r="CZ49" s="59">
        <f t="shared" si="42"/>
        <v>196.65166921588821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5.8349957444155054</v>
      </c>
      <c r="DG49" s="21">
        <f>EXP(-LN(2)/25)*DG48+(1-EXP(-LN(2)/25))/(LN(2)/25)*Calculateur!DB49*Calculateur!DD49*VLOOKUP('Données projet'!$B$13,Paramètres!$A$1:$I$89,3,0)*0.475*44/12</f>
        <v>7.1609935347932332</v>
      </c>
      <c r="DH49" s="21">
        <f>EXP(-LN(2)/2)*DH48+(1-EXP(-LN(2)/2))/(LN(2)/2)*DB49*DE49*VLOOKUP('Données projet'!$B$13,Paramètres!$A$1:$I$89,3,0)*0.475*44/12</f>
        <v>2.749393195714013</v>
      </c>
      <c r="DI49" s="22">
        <f t="shared" si="15"/>
        <v>15.745382474922753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3.8461538461538454</v>
      </c>
      <c r="DO49" s="12">
        <f>IF('Données projet'!$A$166&gt;35,DO48+DN49-DW48,IF(A49&lt;'Données projet'!$A$166,$DL$205^A49,IF(A49='Données projet'!$A$166,'Données projet'!$B$166,DO48+DN49-DW48)))</f>
        <v>95.512820512820497</v>
      </c>
      <c r="DP49" s="17">
        <f>DO49*VLOOKUP('Données projet'!$B$14,Paramètres!$A$1:$I$89,3,0)*VLOOKUP('Données projet'!$B$14,Paramètres!$A$1:$I$89,5,0)</f>
        <v>99.83</v>
      </c>
      <c r="DQ49" s="13">
        <f t="shared" si="43"/>
        <v>26.92149338297099</v>
      </c>
      <c r="DR49" s="20">
        <f t="shared" si="16"/>
        <v>220.75885097534115</v>
      </c>
      <c r="DS49" s="59">
        <f t="shared" si="17"/>
        <v>514.0921843086744</v>
      </c>
      <c r="DT49" s="59">
        <f ca="1">AVERAGE(OFFSET($DS$3,0,0,'Données projet'!$E$14+1,1))-AVERAGE(OFFSET($H$3,0,0,'Données projet'!$E$14+1,1))</f>
        <v>239.26156489359892</v>
      </c>
      <c r="DU49" s="59">
        <f t="shared" si="44"/>
        <v>213.97034450798111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13.912214157117571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13.912214157117571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3.3603333333333336</v>
      </c>
      <c r="EJ49" s="12">
        <f>IF('Données projet'!$A$192&gt;35,EJ48+EI49-ER48,IF(A49&lt;'Données projet'!$A$192,$EG$205^A49,IF(A49='Données projet'!$A$192,'Données projet'!$B$192,EJ48+EI49-ER48)))</f>
        <v>154.57533333333328</v>
      </c>
      <c r="EK49" s="17">
        <f>EJ49*VLOOKUP('Données projet'!$B$15,Paramètres!$A$1:$I$89,3,0)*VLOOKUP('Données projet'!$B$15,Paramètres!$A$1:$I$89,5,0)</f>
        <v>154.32801279999995</v>
      </c>
      <c r="EL49" s="13">
        <f t="shared" si="45"/>
        <v>39.560507872724209</v>
      </c>
      <c r="EM49" s="20">
        <f t="shared" si="19"/>
        <v>337.68917350499459</v>
      </c>
      <c r="EN49" s="59">
        <f t="shared" si="20"/>
        <v>631.0225068383279</v>
      </c>
      <c r="EO49" s="59">
        <f ca="1">AVERAGE(OFFSET($EN$3,0,0,'Données projet'!$E$15+1,1))-AVERAGE(OFFSET($H$3,0,0,'Données projet'!$E$15+1,1))</f>
        <v>525.74725170626471</v>
      </c>
      <c r="EP49" s="59">
        <f t="shared" si="46"/>
        <v>259.19103598192197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3.3603333333333336</v>
      </c>
      <c r="N50" s="13">
        <f>IF('Données projet'!$A$36&gt;35,N49+M50-V49,IF(A50&lt;'Données projet'!$A$36,$K$205^A50,IF(A50='Données projet'!$A$36,'Données projet'!$B$36,N49+M50-V49)))</f>
        <v>157.93566666666661</v>
      </c>
      <c r="O50" s="13">
        <f>N50*VLOOKUP('Données projet'!$B$9,Paramètres!$A$1:$I$89,3,0)*VLOOKUP('Données projet'!$B$9,Paramètres!$A$1:$I$89,5,0)</f>
        <v>160.14676599999996</v>
      </c>
      <c r="P50" s="13">
        <f t="shared" si="33"/>
        <v>40.875617121004808</v>
      </c>
      <c r="Q50" s="20">
        <f t="shared" si="53"/>
        <v>350.11398393574996</v>
      </c>
      <c r="R50" s="59">
        <f t="shared" si="0"/>
        <v>643.44731726908321</v>
      </c>
      <c r="S50" s="59">
        <f ca="1">AVERAGE(OFFSET($R$3,0,0,'Données projet'!$E$9+1,1))-AVERAGE(OFFSET($H$3,0,0,'Données projet'!$E$9+1,1))</f>
        <v>533.26035274112917</v>
      </c>
      <c r="T50" s="59">
        <f t="shared" si="34"/>
        <v>262.58149402282521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9.6799999999999979</v>
      </c>
      <c r="AI50" s="13">
        <f>IF('Données projet'!$A$62&gt;35,AI49+AH50-AQ49,IF(A50&lt;'Données projet'!$A$62,$AF$205^A50,IF(A50='Données projet'!$A$62,'Données projet'!$B$62,AI49+AH50-AQ49)))</f>
        <v>154.13000000000022</v>
      </c>
      <c r="AJ50" s="13">
        <f>AI50*VLOOKUP('Données projet'!$B$10,Paramètres!$A$1:$I$89,3,0)*VLOOKUP('Données projet'!$B$10,Paramètres!$A$1:$I$89,5,0)</f>
        <v>139.45682400000021</v>
      </c>
      <c r="AK50" s="13">
        <f t="shared" si="35"/>
        <v>36.172543362339141</v>
      </c>
      <c r="AL50" s="20">
        <f t="shared" si="4"/>
        <v>305.88781482274101</v>
      </c>
      <c r="AM50" s="59">
        <f t="shared" si="5"/>
        <v>599.22114815607438</v>
      </c>
      <c r="AN50" s="59">
        <f ca="1">AVERAGE(OFFSET($AM$3,0,0,'Données projet'!$E$10+1,1))-AVERAGE(OFFSET($H$3,0,0,'Données projet'!$E$10+1,1))</f>
        <v>482.62991869403385</v>
      </c>
      <c r="AO50" s="59">
        <f t="shared" si="36"/>
        <v>310.43914804089906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24.182616655514732</v>
      </c>
      <c r="AW50" s="21">
        <f>EXP(-LN(2)/2)*AW49+(1-EXP(-LN(2)/2))/(LN(2)/2)*AQ50*AT50*VLOOKUP('Données projet'!$B$10,Paramètres!$A$1:$I$89,3,0)*0.475*44/12</f>
        <v>4.6288594214297554</v>
      </c>
      <c r="AX50" s="21">
        <f t="shared" si="6"/>
        <v>28.811476076944487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8.6</v>
      </c>
      <c r="BD50" s="12">
        <f>IF('Données projet'!$A$88&gt;35,BD49+BC50-BL49,IF(A50&lt;'Données projet'!$A$88,$BA$205^A50,IF(A50='Données projet'!$A$88,'Données projet'!$B$88,BD49+BC50-BL49)))</f>
        <v>235.20000000000005</v>
      </c>
      <c r="BE50" s="13">
        <f>BD50*VLOOKUP('Données projet'!$B$11,Paramètres!$A$1:$I$89,3,0)*VLOOKUP('Données projet'!$B$11,Paramètres!$A$1:$I$89,5,0)</f>
        <v>205.47072000000009</v>
      </c>
      <c r="BF50" s="13">
        <f t="shared" si="37"/>
        <v>50.944571570352757</v>
      </c>
      <c r="BG50" s="20">
        <f t="shared" si="7"/>
        <v>446.58996615169781</v>
      </c>
      <c r="BH50" s="59">
        <f t="shared" si="8"/>
        <v>739.92329948503107</v>
      </c>
      <c r="BI50" s="59">
        <f ca="1">AVERAGE(OFFSET($BH$3,0,0,'Données projet'!$E$11+1,1))-AVERAGE(OFFSET($H$3,0,0,'Données projet'!$E$11+1,1))</f>
        <v>384.34044781465661</v>
      </c>
      <c r="BJ50" s="59">
        <f t="shared" si="38"/>
        <v>374.99493809709708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13.58031077799544</v>
      </c>
      <c r="BQ50" s="21">
        <f>EXP(-LN(2)/25)*BQ49+(1-EXP(-LN(2)/25))/(LN(2)/25)*Calculateur!BL50*Calculateur!BN50*VLOOKUP('Données projet'!$B$11,Paramètres!$A$1:$I$89,3,0)*0.475*44/12</f>
        <v>18.764462840840324</v>
      </c>
      <c r="BR50" s="21">
        <f>EXP(-LN(2)/2)*BR49+(1-EXP(-LN(2)/2))/(LN(2)/2)*BL50*BO50*VLOOKUP('Données projet'!$B$11,Paramètres!$A$1:$I$89,3,0)*0.475*44/12</f>
        <v>3.2471390675384044</v>
      </c>
      <c r="BS50" s="22">
        <f t="shared" si="9"/>
        <v>35.591912686374165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9.6799999999999979</v>
      </c>
      <c r="BY50" s="12">
        <f>IF('Données projet'!$A$114&gt;35,BY49+BX50-CG49,IF(A50&lt;'Données projet'!$A$114,$BV$205^A50,IF(A50='Données projet'!$A$114,'Données projet'!$B$114,BY49+BX50-CG49)))</f>
        <v>154.13000000000022</v>
      </c>
      <c r="BZ50" s="13">
        <f>BY50*VLOOKUP('Données projet'!$B$12,Paramètres!$A$1:$I$89,3,0)*VLOOKUP('Données projet'!$B$12,Paramètres!$A$1:$I$89,5,0)</f>
        <v>146.6701080000002</v>
      </c>
      <c r="CA50" s="13">
        <f t="shared" si="39"/>
        <v>37.820869848374734</v>
      </c>
      <c r="CB50" s="20">
        <f t="shared" si="10"/>
        <v>321.32178641925299</v>
      </c>
      <c r="CC50" s="59">
        <f t="shared" si="11"/>
        <v>614.6551197525863</v>
      </c>
      <c r="CD50" s="59">
        <f ca="1">AVERAGE(OFFSET($CC$3,0,0,'Données projet'!$E$12+1,1))-AVERAGE(OFFSET($H$3,0,0,'Données projet'!$E$12+1,1))</f>
        <v>513.14430745499283</v>
      </c>
      <c r="CE50" s="59">
        <f t="shared" si="40"/>
        <v>324.2490378019823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25.433441654937912</v>
      </c>
      <c r="CM50" s="21">
        <f>EXP(-LN(2)/2)*CM49+(1-EXP(-LN(2)/2))/(LN(2)/2)*CG50*CJ50*VLOOKUP('Données projet'!$B$12,Paramètres!$A$1:$I$89,3,0)*0.475*44/12</f>
        <v>4.868283184607157</v>
      </c>
      <c r="CN50" s="22">
        <f t="shared" si="12"/>
        <v>30.30172483954507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6.6506410256410255</v>
      </c>
      <c r="CT50" s="12">
        <f>IF('Données projet'!$A$140&gt;35,CT49+CS50-DB49,IF(A50&lt;'Données projet'!$A$140,$CQ$205^A50,IF(A50='Données projet'!$A$140,'Données projet'!$B$140,CT49+CS50-DB49)))</f>
        <v>139.82371794871796</v>
      </c>
      <c r="CU50" s="17">
        <f>CT50*VLOOKUP('Données projet'!$B$13,Paramètres!$A$1:$I$89,3,0)*VLOOKUP('Données projet'!$B$13,Paramètres!$A$1:$I$89,5,0)</f>
        <v>109.06250000000001</v>
      </c>
      <c r="CV50" s="13">
        <f t="shared" si="41"/>
        <v>29.10999234861896</v>
      </c>
      <c r="CW50" s="20">
        <f t="shared" si="13"/>
        <v>240.6504241738447</v>
      </c>
      <c r="CX50" s="59">
        <f t="shared" si="14"/>
        <v>533.98375750717798</v>
      </c>
      <c r="CY50" s="59">
        <f ca="1">AVERAGE(OFFSET($CX$3,0,0,'Données projet'!$E$13+1,1))-AVERAGE(OFFSET($H$3,0,0,'Données projet'!$E$13+1,1))</f>
        <v>197.51452239559433</v>
      </c>
      <c r="CZ50" s="59">
        <f t="shared" si="42"/>
        <v>196.65166921588821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5.7205750368635</v>
      </c>
      <c r="DG50" s="21">
        <f>EXP(-LN(2)/25)*DG49+(1-EXP(-LN(2)/25))/(LN(2)/25)*Calculateur!DB50*Calculateur!DD50*VLOOKUP('Données projet'!$B$13,Paramètres!$A$1:$I$89,3,0)*0.475*44/12</f>
        <v>6.9651757900040288</v>
      </c>
      <c r="DH50" s="21">
        <f>EXP(-LN(2)/2)*DH49+(1-EXP(-LN(2)/2))/(LN(2)/2)*DB50*DE50*VLOOKUP('Données projet'!$B$13,Paramètres!$A$1:$I$89,3,0)*0.475*44/12</f>
        <v>1.9441145728375313</v>
      </c>
      <c r="DI50" s="22">
        <f t="shared" si="15"/>
        <v>14.629865399705061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3.8461538461538454</v>
      </c>
      <c r="DO50" s="12">
        <f>IF('Données projet'!$A$166&gt;35,DO49+DN50-DW49,IF(A50&lt;'Données projet'!$A$166,$DL$205^A50,IF(A50='Données projet'!$A$166,'Données projet'!$B$166,DO49+DN50-DW49)))</f>
        <v>99.358974358974336</v>
      </c>
      <c r="DP50" s="17">
        <f>DO50*VLOOKUP('Données projet'!$B$14,Paramètres!$A$1:$I$89,3,0)*VLOOKUP('Données projet'!$B$14,Paramètres!$A$1:$I$89,5,0)</f>
        <v>103.84999999999998</v>
      </c>
      <c r="DQ50" s="13">
        <f t="shared" si="43"/>
        <v>27.877180626240445</v>
      </c>
      <c r="DR50" s="20">
        <f t="shared" si="16"/>
        <v>229.42483959070205</v>
      </c>
      <c r="DS50" s="59">
        <f t="shared" si="17"/>
        <v>522.75817292403531</v>
      </c>
      <c r="DT50" s="59">
        <f ca="1">AVERAGE(OFFSET($DS$3,0,0,'Données projet'!$E$14+1,1))-AVERAGE(OFFSET($H$3,0,0,'Données projet'!$E$14+1,1))</f>
        <v>239.26156489359892</v>
      </c>
      <c r="DU50" s="59">
        <f t="shared" si="44"/>
        <v>213.97034450798111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13.531783929379646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13.531783929379646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3.3603333333333336</v>
      </c>
      <c r="EJ50" s="12">
        <f>IF('Données projet'!$A$192&gt;35,EJ49+EI50-ER49,IF(A50&lt;'Données projet'!$A$192,$EG$205^A50,IF(A50='Données projet'!$A$192,'Données projet'!$B$192,EJ49+EI50-ER49)))</f>
        <v>157.93566666666661</v>
      </c>
      <c r="EK50" s="17">
        <f>EJ50*VLOOKUP('Données projet'!$B$15,Paramètres!$A$1:$I$89,3,0)*VLOOKUP('Données projet'!$B$15,Paramètres!$A$1:$I$89,5,0)</f>
        <v>157.68296959999995</v>
      </c>
      <c r="EL50" s="13">
        <f t="shared" si="45"/>
        <v>40.319459872008672</v>
      </c>
      <c r="EM50" s="20">
        <f t="shared" si="19"/>
        <v>344.85423133041496</v>
      </c>
      <c r="EN50" s="59">
        <f t="shared" si="20"/>
        <v>638.18756466374828</v>
      </c>
      <c r="EO50" s="59">
        <f ca="1">AVERAGE(OFFSET($EN$3,0,0,'Données projet'!$E$15+1,1))-AVERAGE(OFFSET($H$3,0,0,'Données projet'!$E$15+1,1))</f>
        <v>525.74725170626471</v>
      </c>
      <c r="EP50" s="59">
        <f t="shared" si="46"/>
        <v>259.19103598192197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3.3603333333333336</v>
      </c>
      <c r="N51" s="13">
        <f>IF('Données projet'!$A$36&gt;35,N50+M51-V50,IF(A51&lt;'Données projet'!$A$36,$K$205^A51,IF(A51='Données projet'!$A$36,'Données projet'!$B$36,N50+M51-V50)))</f>
        <v>161.29599999999994</v>
      </c>
      <c r="O51" s="13">
        <f>N51*VLOOKUP('Données projet'!$B$9,Paramètres!$A$1:$I$89,3,0)*VLOOKUP('Données projet'!$B$9,Paramètres!$A$1:$I$89,5,0)</f>
        <v>163.55414399999992</v>
      </c>
      <c r="P51" s="13">
        <f t="shared" si="33"/>
        <v>41.64313458919235</v>
      </c>
      <c r="Q51" s="20">
        <f t="shared" si="53"/>
        <v>357.38526020950985</v>
      </c>
      <c r="R51" s="59">
        <f t="shared" si="0"/>
        <v>650.71859354284311</v>
      </c>
      <c r="S51" s="59">
        <f ca="1">AVERAGE(OFFSET($R$3,0,0,'Données projet'!$E$9+1,1))-AVERAGE(OFFSET($H$3,0,0,'Données projet'!$E$9+1,1))</f>
        <v>533.26035274112917</v>
      </c>
      <c r="T51" s="59">
        <f t="shared" si="34"/>
        <v>262.58149402282521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9.6799999999999979</v>
      </c>
      <c r="AI51" s="13">
        <f>IF('Données projet'!$A$62&gt;35,AI50+AH51-AQ50,IF(A51&lt;'Données projet'!$A$62,$AF$205^A51,IF(A51='Données projet'!$A$62,'Données projet'!$B$62,AI50+AH51-AQ50)))</f>
        <v>163.81000000000023</v>
      </c>
      <c r="AJ51" s="13">
        <f>AI51*VLOOKUP('Données projet'!$B$10,Paramètres!$A$1:$I$89,3,0)*VLOOKUP('Données projet'!$B$10,Paramètres!$A$1:$I$89,5,0)</f>
        <v>148.21528800000021</v>
      </c>
      <c r="AK51" s="13">
        <f t="shared" si="35"/>
        <v>38.172721310443634</v>
      </c>
      <c r="AL51" s="20">
        <f t="shared" si="4"/>
        <v>324.62578288235642</v>
      </c>
      <c r="AM51" s="59">
        <f t="shared" si="5"/>
        <v>617.95911621568973</v>
      </c>
      <c r="AN51" s="59">
        <f ca="1">AVERAGE(OFFSET($AM$3,0,0,'Données projet'!$E$10+1,1))-AVERAGE(OFFSET($H$3,0,0,'Données projet'!$E$10+1,1))</f>
        <v>482.62991869403385</v>
      </c>
      <c r="AO51" s="59">
        <f t="shared" si="36"/>
        <v>310.43914804089906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23.52134173136114</v>
      </c>
      <c r="AW51" s="21">
        <f>EXP(-LN(2)/2)*AW50+(1-EXP(-LN(2)/2))/(LN(2)/2)*AQ51*AT51*VLOOKUP('Données projet'!$B$10,Paramètres!$A$1:$I$89,3,0)*0.475*44/12</f>
        <v>3.2730978860522191</v>
      </c>
      <c r="AX51" s="21">
        <f t="shared" si="6"/>
        <v>26.79443961741336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8.6</v>
      </c>
      <c r="BD51" s="12">
        <f>IF('Données projet'!$A$88&gt;35,BD50+BC51-BL50,IF(A51&lt;'Données projet'!$A$88,$BA$205^A51,IF(A51='Données projet'!$A$88,'Données projet'!$B$88,BD50+BC51-BL50)))</f>
        <v>243.80000000000004</v>
      </c>
      <c r="BE51" s="13">
        <f>BD51*VLOOKUP('Données projet'!$B$11,Paramètres!$A$1:$I$89,3,0)*VLOOKUP('Données projet'!$B$11,Paramètres!$A$1:$I$89,5,0)</f>
        <v>212.98368000000008</v>
      </c>
      <c r="BF51" s="13">
        <f t="shared" si="37"/>
        <v>52.587058525970363</v>
      </c>
      <c r="BG51" s="20">
        <f t="shared" si="7"/>
        <v>462.53570293273191</v>
      </c>
      <c r="BH51" s="59">
        <f t="shared" si="8"/>
        <v>755.86903626606522</v>
      </c>
      <c r="BI51" s="59">
        <f ca="1">AVERAGE(OFFSET($BH$3,0,0,'Données projet'!$E$11+1,1))-AVERAGE(OFFSET($H$3,0,0,'Données projet'!$E$11+1,1))</f>
        <v>384.34044781465661</v>
      </c>
      <c r="BJ51" s="59">
        <f t="shared" si="38"/>
        <v>374.99493809709708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13.314009166810628</v>
      </c>
      <c r="BQ51" s="21">
        <f>EXP(-LN(2)/25)*BQ50+(1-EXP(-LN(2)/25))/(LN(2)/25)*Calculateur!BL51*Calculateur!BN51*VLOOKUP('Données projet'!$B$11,Paramètres!$A$1:$I$89,3,0)*0.475*44/12</f>
        <v>18.251347617677332</v>
      </c>
      <c r="BR51" s="21">
        <f>EXP(-LN(2)/2)*BR50+(1-EXP(-LN(2)/2))/(LN(2)/2)*BL51*BO51*VLOOKUP('Données projet'!$B$11,Paramètres!$A$1:$I$89,3,0)*0.475*44/12</f>
        <v>2.2960740541121685</v>
      </c>
      <c r="BS51" s="22">
        <f t="shared" si="9"/>
        <v>33.861430838600128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9.6799999999999979</v>
      </c>
      <c r="BY51" s="12">
        <f>IF('Données projet'!$A$114&gt;35,BY50+BX51-CG50,IF(A51&lt;'Données projet'!$A$114,$BV$205^A51,IF(A51='Données projet'!$A$114,'Données projet'!$B$114,BY50+BX51-CG50)))</f>
        <v>163.81000000000023</v>
      </c>
      <c r="BZ51" s="13">
        <f>BY51*VLOOKUP('Données projet'!$B$12,Paramètres!$A$1:$I$89,3,0)*VLOOKUP('Données projet'!$B$12,Paramètres!$A$1:$I$89,5,0)</f>
        <v>155.88159600000023</v>
      </c>
      <c r="CA51" s="13">
        <f t="shared" si="39"/>
        <v>39.912192791610465</v>
      </c>
      <c r="CB51" s="20">
        <f t="shared" si="10"/>
        <v>341.00751547872193</v>
      </c>
      <c r="CC51" s="59">
        <f t="shared" si="11"/>
        <v>634.34084881205524</v>
      </c>
      <c r="CD51" s="59">
        <f ca="1">AVERAGE(OFFSET($CC$3,0,0,'Données projet'!$E$12+1,1))-AVERAGE(OFFSET($H$3,0,0,'Données projet'!$E$12+1,1))</f>
        <v>513.14430745499283</v>
      </c>
      <c r="CE51" s="59">
        <f t="shared" si="40"/>
        <v>324.2490378019823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24.737962855397068</v>
      </c>
      <c r="CM51" s="21">
        <f>EXP(-LN(2)/2)*CM50+(1-EXP(-LN(2)/2))/(LN(2)/2)*CG51*CJ51*VLOOKUP('Données projet'!$B$12,Paramètres!$A$1:$I$89,3,0)*0.475*44/12</f>
        <v>3.4423960525721622</v>
      </c>
      <c r="CN51" s="22">
        <f t="shared" si="12"/>
        <v>28.180358907969229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6.6506410256410255</v>
      </c>
      <c r="CT51" s="12">
        <f>IF('Données projet'!$A$140&gt;35,CT50+CS51-DB50,IF(A51&lt;'Données projet'!$A$140,$CQ$205^A51,IF(A51='Données projet'!$A$140,'Données projet'!$B$140,CT50+CS51-DB50)))</f>
        <v>146.47435897435898</v>
      </c>
      <c r="CU51" s="17">
        <f>CT51*VLOOKUP('Données projet'!$B$13,Paramètres!$A$1:$I$89,3,0)*VLOOKUP('Données projet'!$B$13,Paramètres!$A$1:$I$89,5,0)</f>
        <v>114.25</v>
      </c>
      <c r="CV51" s="13">
        <f t="shared" si="41"/>
        <v>30.330097814653229</v>
      </c>
      <c r="CW51" s="20">
        <f t="shared" si="13"/>
        <v>251.81033702718767</v>
      </c>
      <c r="CX51" s="59">
        <f t="shared" si="14"/>
        <v>545.14367036052101</v>
      </c>
      <c r="CY51" s="59">
        <f ca="1">AVERAGE(OFFSET($CX$3,0,0,'Données projet'!$E$13+1,1))-AVERAGE(OFFSET($H$3,0,0,'Données projet'!$E$13+1,1))</f>
        <v>197.51452239559433</v>
      </c>
      <c r="CZ51" s="59">
        <f t="shared" si="42"/>
        <v>196.65166921588821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5.6083980495968486</v>
      </c>
      <c r="DG51" s="21">
        <f>EXP(-LN(2)/25)*DG50+(1-EXP(-LN(2)/25))/(LN(2)/25)*Calculateur!DB51*Calculateur!DD51*VLOOKUP('Données projet'!$B$13,Paramètres!$A$1:$I$89,3,0)*0.475*44/12</f>
        <v>6.7747126917436926</v>
      </c>
      <c r="DH51" s="21">
        <f>EXP(-LN(2)/2)*DH50+(1-EXP(-LN(2)/2))/(LN(2)/2)*DB51*DE51*VLOOKUP('Données projet'!$B$13,Paramètres!$A$1:$I$89,3,0)*0.475*44/12</f>
        <v>1.3746965978570067</v>
      </c>
      <c r="DI51" s="22">
        <f t="shared" si="15"/>
        <v>13.757807339197548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3.8461538461538454</v>
      </c>
      <c r="DO51" s="12">
        <f>IF('Données projet'!$A$166&gt;35,DO50+DN51-DW50,IF(A51&lt;'Données projet'!$A$166,$DL$205^A51,IF(A51='Données projet'!$A$166,'Données projet'!$B$166,DO50+DN51-DW50)))</f>
        <v>103.20512820512818</v>
      </c>
      <c r="DP51" s="17">
        <f>DO51*VLOOKUP('Données projet'!$B$14,Paramètres!$A$1:$I$89,3,0)*VLOOKUP('Données projet'!$B$14,Paramètres!$A$1:$I$89,5,0)</f>
        <v>107.86999999999998</v>
      </c>
      <c r="DQ51" s="13">
        <f t="shared" si="43"/>
        <v>28.828570280930691</v>
      </c>
      <c r="DR51" s="20">
        <f t="shared" si="16"/>
        <v>238.08334323928753</v>
      </c>
      <c r="DS51" s="59">
        <f t="shared" si="17"/>
        <v>531.41667657262087</v>
      </c>
      <c r="DT51" s="59">
        <f ca="1">AVERAGE(OFFSET($DS$3,0,0,'Données projet'!$E$14+1,1))-AVERAGE(OFFSET($H$3,0,0,'Données projet'!$E$14+1,1))</f>
        <v>239.26156489359892</v>
      </c>
      <c r="DU51" s="59">
        <f t="shared" si="44"/>
        <v>213.97034450798111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13.16175658622517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13.16175658622517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3.3603333333333336</v>
      </c>
      <c r="EJ51" s="12">
        <f>IF('Données projet'!$A$192&gt;35,EJ50+EI51-ER50,IF(A51&lt;'Données projet'!$A$192,$EG$205^A51,IF(A51='Données projet'!$A$192,'Données projet'!$B$192,EJ50+EI51-ER50)))</f>
        <v>161.29599999999994</v>
      </c>
      <c r="EK51" s="17">
        <f>EJ51*VLOOKUP('Données projet'!$B$15,Paramètres!$A$1:$I$89,3,0)*VLOOKUP('Données projet'!$B$15,Paramètres!$A$1:$I$89,5,0)</f>
        <v>161.03792639999995</v>
      </c>
      <c r="EL51" s="13">
        <f t="shared" si="45"/>
        <v>41.076534429881214</v>
      </c>
      <c r="EM51" s="20">
        <f t="shared" si="19"/>
        <v>352.01601927870962</v>
      </c>
      <c r="EN51" s="59">
        <f t="shared" si="20"/>
        <v>645.34935261204294</v>
      </c>
      <c r="EO51" s="59">
        <f ca="1">AVERAGE(OFFSET($EN$3,0,0,'Données projet'!$E$15+1,1))-AVERAGE(OFFSET($H$3,0,0,'Données projet'!$E$15+1,1))</f>
        <v>525.74725170626471</v>
      </c>
      <c r="EP51" s="59">
        <f t="shared" si="46"/>
        <v>259.19103598192197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3.3603333333333336</v>
      </c>
      <c r="N52" s="13">
        <f>IF('Données projet'!$A$36&gt;35,N51+M52-V51,IF(A52&lt;'Données projet'!$A$36,$K$205^A52,IF(A52='Données projet'!$A$36,'Données projet'!$B$36,N51+M52-V51)))</f>
        <v>164.65633333333327</v>
      </c>
      <c r="O52" s="13">
        <f>N52*VLOOKUP('Données projet'!$B$9,Paramètres!$A$1:$I$89,3,0)*VLOOKUP('Données projet'!$B$9,Paramètres!$A$1:$I$89,5,0)</f>
        <v>166.96152199999995</v>
      </c>
      <c r="P52" s="13">
        <f t="shared" si="33"/>
        <v>42.408792940283384</v>
      </c>
      <c r="Q52" s="20">
        <f t="shared" si="53"/>
        <v>364.65329852099347</v>
      </c>
      <c r="R52" s="59">
        <f t="shared" si="0"/>
        <v>657.98663185432679</v>
      </c>
      <c r="S52" s="59">
        <f ca="1">AVERAGE(OFFSET($R$3,0,0,'Données projet'!$E$9+1,1))-AVERAGE(OFFSET($H$3,0,0,'Données projet'!$E$9+1,1))</f>
        <v>533.26035274112917</v>
      </c>
      <c r="T52" s="59">
        <f t="shared" si="34"/>
        <v>262.58149402282521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9.6799999999999979</v>
      </c>
      <c r="AI52" s="13">
        <f>IF('Données projet'!$A$62&gt;35,AI51+AH52-AQ51,IF(A52&lt;'Données projet'!$A$62,$AF$205^A52,IF(A52='Données projet'!$A$62,'Données projet'!$B$62,AI51+AH52-AQ51)))</f>
        <v>173.49000000000024</v>
      </c>
      <c r="AJ52" s="13">
        <f>AI52*VLOOKUP('Données projet'!$B$10,Paramètres!$A$1:$I$89,3,0)*VLOOKUP('Données projet'!$B$10,Paramètres!$A$1:$I$89,5,0)</f>
        <v>156.97375200000022</v>
      </c>
      <c r="AK52" s="13">
        <f t="shared" si="35"/>
        <v>40.159179999786943</v>
      </c>
      <c r="AL52" s="20">
        <f t="shared" si="4"/>
        <v>343.33985656629596</v>
      </c>
      <c r="AM52" s="59">
        <f t="shared" si="5"/>
        <v>636.67318989962928</v>
      </c>
      <c r="AN52" s="59">
        <f ca="1">AVERAGE(OFFSET($AM$3,0,0,'Données projet'!$E$10+1,1))-AVERAGE(OFFSET($H$3,0,0,'Données projet'!$E$10+1,1))</f>
        <v>482.62991869403385</v>
      </c>
      <c r="AO52" s="59">
        <f t="shared" si="36"/>
        <v>310.43914804089906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22.878149404783468</v>
      </c>
      <c r="AW52" s="21">
        <f>EXP(-LN(2)/2)*AW51+(1-EXP(-LN(2)/2))/(LN(2)/2)*AQ52*AT52*VLOOKUP('Données projet'!$B$10,Paramètres!$A$1:$I$89,3,0)*0.475*44/12</f>
        <v>2.3144297107148777</v>
      </c>
      <c r="AX52" s="21">
        <f t="shared" si="6"/>
        <v>25.192579115498347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8.6</v>
      </c>
      <c r="BD52" s="12">
        <f>IF('Données projet'!$A$88&gt;35,BD51+BC52-BL51,IF(A52&lt;'Données projet'!$A$88,$BA$205^A52,IF(A52='Données projet'!$A$88,'Données projet'!$B$88,BD51+BC52-BL51)))</f>
        <v>252.40000000000003</v>
      </c>
      <c r="BE52" s="13">
        <f>BD52*VLOOKUP('Données projet'!$B$11,Paramètres!$A$1:$I$89,3,0)*VLOOKUP('Données projet'!$B$11,Paramètres!$A$1:$I$89,5,0)</f>
        <v>220.49664000000004</v>
      </c>
      <c r="BF52" s="13">
        <f t="shared" si="37"/>
        <v>54.222813800824916</v>
      </c>
      <c r="BG52" s="20">
        <f t="shared" si="7"/>
        <v>478.46971536977009</v>
      </c>
      <c r="BH52" s="59">
        <f t="shared" si="8"/>
        <v>771.8030487031034</v>
      </c>
      <c r="BI52" s="59">
        <f ca="1">AVERAGE(OFFSET($BH$3,0,0,'Données projet'!$E$11+1,1))-AVERAGE(OFFSET($H$3,0,0,'Données projet'!$E$11+1,1))</f>
        <v>384.34044781465661</v>
      </c>
      <c r="BJ52" s="59">
        <f t="shared" si="38"/>
        <v>374.99493809709708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13.052929567793207</v>
      </c>
      <c r="BQ52" s="21">
        <f>EXP(-LN(2)/25)*BQ51+(1-EXP(-LN(2)/25))/(LN(2)/25)*Calculateur!BL52*Calculateur!BN52*VLOOKUP('Données projet'!$B$11,Paramètres!$A$1:$I$89,3,0)*0.475*44/12</f>
        <v>17.752263557275288</v>
      </c>
      <c r="BR52" s="21">
        <f>EXP(-LN(2)/2)*BR51+(1-EXP(-LN(2)/2))/(LN(2)/2)*BL52*BO52*VLOOKUP('Données projet'!$B$11,Paramètres!$A$1:$I$89,3,0)*0.475*44/12</f>
        <v>1.6235695337692022</v>
      </c>
      <c r="BS52" s="22">
        <f t="shared" si="9"/>
        <v>32.428762658837698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9.6799999999999979</v>
      </c>
      <c r="BY52" s="12">
        <f>IF('Données projet'!$A$114&gt;35,BY51+BX52-CG51,IF(A52&lt;'Données projet'!$A$114,$BV$205^A52,IF(A52='Données projet'!$A$114,'Données projet'!$B$114,BY51+BX52-CG51)))</f>
        <v>173.49000000000024</v>
      </c>
      <c r="BZ52" s="13">
        <f>BY52*VLOOKUP('Données projet'!$B$12,Paramètres!$A$1:$I$89,3,0)*VLOOKUP('Données projet'!$B$12,Paramètres!$A$1:$I$89,5,0)</f>
        <v>165.09308400000023</v>
      </c>
      <c r="CA52" s="13">
        <f t="shared" si="39"/>
        <v>41.989171310822087</v>
      </c>
      <c r="CB52" s="20">
        <f t="shared" si="10"/>
        <v>360.66826133301555</v>
      </c>
      <c r="CC52" s="59">
        <f t="shared" si="11"/>
        <v>654.00159466634886</v>
      </c>
      <c r="CD52" s="59">
        <f ca="1">AVERAGE(OFFSET($CC$3,0,0,'Données projet'!$E$12+1,1))-AVERAGE(OFFSET($H$3,0,0,'Données projet'!$E$12+1,1))</f>
        <v>513.14430745499283</v>
      </c>
      <c r="CE52" s="59">
        <f t="shared" si="40"/>
        <v>324.2490378019823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24.061501960203309</v>
      </c>
      <c r="CM52" s="21">
        <f>EXP(-LN(2)/2)*CM51+(1-EXP(-LN(2)/2))/(LN(2)/2)*CG52*CJ52*VLOOKUP('Données projet'!$B$12,Paramètres!$A$1:$I$89,3,0)*0.475*44/12</f>
        <v>2.434141592303579</v>
      </c>
      <c r="CN52" s="22">
        <f t="shared" si="12"/>
        <v>26.495643552506888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6.6506410256410255</v>
      </c>
      <c r="CT52" s="12">
        <f>IF('Données projet'!$A$140&gt;35,CT51+CS52-DB51,IF(A52&lt;'Données projet'!$A$140,$CQ$205^A52,IF(A52='Données projet'!$A$140,'Données projet'!$B$140,CT51+CS52-DB51)))</f>
        <v>153.125</v>
      </c>
      <c r="CU52" s="17">
        <f>CT52*VLOOKUP('Données projet'!$B$13,Paramètres!$A$1:$I$89,3,0)*VLOOKUP('Données projet'!$B$13,Paramètres!$A$1:$I$89,5,0)</f>
        <v>119.4375</v>
      </c>
      <c r="CV52" s="13">
        <f t="shared" si="41"/>
        <v>31.5437695525004</v>
      </c>
      <c r="CW52" s="20">
        <f t="shared" si="13"/>
        <v>262.95904447060485</v>
      </c>
      <c r="CX52" s="59">
        <f t="shared" si="14"/>
        <v>556.29237780393817</v>
      </c>
      <c r="CY52" s="59">
        <f ca="1">AVERAGE(OFFSET($CX$3,0,0,'Données projet'!$E$13+1,1))-AVERAGE(OFFSET($H$3,0,0,'Données projet'!$E$13+1,1))</f>
        <v>197.51452239559433</v>
      </c>
      <c r="CZ52" s="59">
        <f t="shared" si="42"/>
        <v>196.65166921588821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5.4984207846292898</v>
      </c>
      <c r="DG52" s="21">
        <f>EXP(-LN(2)/25)*DG51+(1-EXP(-LN(2)/25))/(LN(2)/25)*Calculateur!DB52*Calculateur!DD52*VLOOKUP('Données projet'!$B$13,Paramètres!$A$1:$I$89,3,0)*0.475*44/12</f>
        <v>6.5894578169213043</v>
      </c>
      <c r="DH52" s="21">
        <f>EXP(-LN(2)/2)*DH51+(1-EXP(-LN(2)/2))/(LN(2)/2)*DB52*DE52*VLOOKUP('Données projet'!$B$13,Paramètres!$A$1:$I$89,3,0)*0.475*44/12</f>
        <v>0.97205728641876588</v>
      </c>
      <c r="DI52" s="22">
        <f t="shared" si="15"/>
        <v>13.05993588796936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3.8461538461538454</v>
      </c>
      <c r="DO52" s="12">
        <f>IF('Données projet'!$A$166&gt;35,DO51+DN52-DW51,IF(A52&lt;'Données projet'!$A$166,$DL$205^A52,IF(A52='Données projet'!$A$166,'Données projet'!$B$166,DO51+DN52-DW51)))</f>
        <v>107.05128205128202</v>
      </c>
      <c r="DP52" s="17">
        <f>DO52*VLOOKUP('Données projet'!$B$14,Paramètres!$A$1:$I$89,3,0)*VLOOKUP('Données projet'!$B$14,Paramètres!$A$1:$I$89,5,0)</f>
        <v>111.88999999999997</v>
      </c>
      <c r="DQ52" s="13">
        <f t="shared" si="43"/>
        <v>29.775840844916228</v>
      </c>
      <c r="DR52" s="20">
        <f t="shared" si="16"/>
        <v>246.73467280489569</v>
      </c>
      <c r="DS52" s="59">
        <f t="shared" si="17"/>
        <v>540.06800613822907</v>
      </c>
      <c r="DT52" s="59">
        <f ca="1">AVERAGE(OFFSET($DS$3,0,0,'Données projet'!$E$14+1,1))-AVERAGE(OFFSET($H$3,0,0,'Données projet'!$E$14+1,1))</f>
        <v>239.26156489359892</v>
      </c>
      <c r="DU52" s="59">
        <f t="shared" si="44"/>
        <v>213.97034450798111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12.801847660228146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12.801847660228146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3.3603333333333336</v>
      </c>
      <c r="EJ52" s="12">
        <f>IF('Données projet'!$A$192&gt;35,EJ51+EI52-ER51,IF(A52&lt;'Données projet'!$A$192,$EG$205^A52,IF(A52='Données projet'!$A$192,'Données projet'!$B$192,EJ51+EI52-ER51)))</f>
        <v>164.65633333333327</v>
      </c>
      <c r="EK52" s="17">
        <f>EJ52*VLOOKUP('Données projet'!$B$15,Paramètres!$A$1:$I$89,3,0)*VLOOKUP('Données projet'!$B$15,Paramètres!$A$1:$I$89,5,0)</f>
        <v>164.39288319999994</v>
      </c>
      <c r="EL52" s="13">
        <f t="shared" si="45"/>
        <v>41.831775165968338</v>
      </c>
      <c r="EM52" s="20">
        <f t="shared" si="19"/>
        <v>359.17461332072804</v>
      </c>
      <c r="EN52" s="59">
        <f t="shared" si="20"/>
        <v>652.50794665406136</v>
      </c>
      <c r="EO52" s="59">
        <f ca="1">AVERAGE(OFFSET($EN$3,0,0,'Données projet'!$E$15+1,1))-AVERAGE(OFFSET($H$3,0,0,'Données projet'!$E$15+1,1))</f>
        <v>525.74725170626471</v>
      </c>
      <c r="EP52" s="59">
        <f t="shared" si="46"/>
        <v>259.19103598192197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3.3603333333333336</v>
      </c>
      <c r="N53" s="13">
        <f>IF('Données projet'!$A$36&gt;35,N52+M53-V52,IF(A53&lt;'Données projet'!$A$36,$K$205^A53,IF(A53='Données projet'!$A$36,'Données projet'!$B$36,N52+M53-V52)))</f>
        <v>168.01666666666659</v>
      </c>
      <c r="O53" s="13">
        <f>N53*VLOOKUP('Données projet'!$B$9,Paramètres!$A$1:$I$89,3,0)*VLOOKUP('Données projet'!$B$9,Paramètres!$A$1:$I$89,5,0)</f>
        <v>170.36889999999994</v>
      </c>
      <c r="P53" s="13">
        <f t="shared" si="33"/>
        <v>43.172634487453415</v>
      </c>
      <c r="Q53" s="20">
        <f t="shared" si="53"/>
        <v>371.91817256564792</v>
      </c>
      <c r="R53" s="59">
        <f t="shared" si="0"/>
        <v>665.25150589898124</v>
      </c>
      <c r="S53" s="59">
        <f ca="1">AVERAGE(OFFSET($R$3,0,0,'Données projet'!$E$9+1,1))-AVERAGE(OFFSET($H$3,0,0,'Données projet'!$E$9+1,1))</f>
        <v>533.26035274112917</v>
      </c>
      <c r="T53" s="59">
        <f t="shared" si="34"/>
        <v>262.58149402282521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9.6799999999999979</v>
      </c>
      <c r="AI53" s="13">
        <f>IF('Données projet'!$A$62&gt;35,AI52+AH53-AQ52,IF(A53&lt;'Données projet'!$A$62,$AF$205^A53,IF(A53='Données projet'!$A$62,'Données projet'!$B$62,AI52+AH53-AQ52)))</f>
        <v>183.17000000000024</v>
      </c>
      <c r="AJ53" s="13">
        <f>AI53*VLOOKUP('Données projet'!$B$10,Paramètres!$A$1:$I$89,3,0)*VLOOKUP('Données projet'!$B$10,Paramètres!$A$1:$I$89,5,0)</f>
        <v>165.73221600000022</v>
      </c>
      <c r="AK53" s="13">
        <f t="shared" si="35"/>
        <v>42.132772147585847</v>
      </c>
      <c r="AL53" s="20">
        <f t="shared" si="4"/>
        <v>362.0315210237124</v>
      </c>
      <c r="AM53" s="59">
        <f t="shared" si="5"/>
        <v>655.36485435704572</v>
      </c>
      <c r="AN53" s="59">
        <f ca="1">AVERAGE(OFFSET($AM$3,0,0,'Données projet'!$E$10+1,1))-AVERAGE(OFFSET($H$3,0,0,'Données projet'!$E$10+1,1))</f>
        <v>482.62991869403385</v>
      </c>
      <c r="AO53" s="59">
        <f t="shared" si="36"/>
        <v>310.43914804089906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22.252545206200075</v>
      </c>
      <c r="AW53" s="21">
        <f>EXP(-LN(2)/2)*AW52+(1-EXP(-LN(2)/2))/(LN(2)/2)*AQ53*AT53*VLOOKUP('Données projet'!$B$10,Paramètres!$A$1:$I$89,3,0)*0.475*44/12</f>
        <v>1.6365489430261095</v>
      </c>
      <c r="AX53" s="21">
        <f t="shared" si="6"/>
        <v>23.889094149226185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261</v>
      </c>
      <c r="BB53" s="12">
        <f>VLOOKUP(A53,'Données projet'!$A$87:$I$107,9,0)</f>
        <v>8.6</v>
      </c>
      <c r="BC53" s="12">
        <f t="array" ref="BC53">INDEX(BB:BB,MIN(IF(ISNUMBER(BB53:BB249),ROW(BB53:BB249),"")))</f>
        <v>8.6</v>
      </c>
      <c r="BD53" s="12">
        <f>IF('Données projet'!$A$88&gt;35,BD52+BC53-BL52,IF(A53&lt;'Données projet'!$A$88,$BA$205^A53,IF(A53='Données projet'!$A$88,'Données projet'!$B$88,BD52+BC53-BL52)))</f>
        <v>261.00000000000006</v>
      </c>
      <c r="BE53" s="13">
        <f>BD53*VLOOKUP('Données projet'!$B$11,Paramètres!$A$1:$I$89,3,0)*VLOOKUP('Données projet'!$B$11,Paramètres!$A$1:$I$89,5,0)</f>
        <v>228.00960000000009</v>
      </c>
      <c r="BF53" s="13">
        <f t="shared" si="37"/>
        <v>55.852093054619878</v>
      </c>
      <c r="BG53" s="20">
        <f t="shared" si="7"/>
        <v>494.3924487367965</v>
      </c>
      <c r="BH53" s="59">
        <f t="shared" si="8"/>
        <v>787.72578207012975</v>
      </c>
      <c r="BI53" s="59">
        <f ca="1">AVERAGE(OFFSET($BH$3,0,0,'Données projet'!$E$11+1,1))-AVERAGE(OFFSET($H$3,0,0,'Données projet'!$E$11+1,1))</f>
        <v>384.34044781465661</v>
      </c>
      <c r="BJ53" s="59">
        <f t="shared" si="38"/>
        <v>374.99493809709708</v>
      </c>
      <c r="BK53" s="15">
        <f>IF(ISNA(VLOOKUP(A53,'Données projet'!$A$87:$I$107,3,0)),0,VLOOKUP(A53,'Données projet'!$A$87:$I$107,3,0))</f>
        <v>8</v>
      </c>
      <c r="BL53" s="15">
        <f>IF(ISNA(VLOOKUP(A53,'Données projet'!$A$87:$I$107,4,0)),0,VLOOKUP(A53,'Données projet'!$A$87:$I$107,4,0))</f>
        <v>19</v>
      </c>
      <c r="BM53" s="16">
        <f>IF(ISNA(VLOOKUP(A53,'Données projet'!$A$87:$I$107,5,0)),0%,VLOOKUP(A53,'Données projet'!$A$87:$I$107,5,0)*VLOOKUP('Données projet'!$B$11,Paramètres!$A$1:$I$89,7,0))</f>
        <v>0.13250000000000001</v>
      </c>
      <c r="BN53" s="16">
        <f>IF(ISNA(VLOOKUP(A53,'Données projet'!$A$87:$I$107,6,0)),0%,VLOOKUP(A53,'Données projet'!$A$87:$I$107,6,0)*VLOOKUP('Données projet'!$B$11,Paramètres!$A$1:$I$89,7,0))</f>
        <v>0.13250000000000001</v>
      </c>
      <c r="BO53" s="16">
        <f>IF(ISNA(VLOOKUP(A53,'Données projet'!$A$87:$I$107,7,0)),0%,VLOOKUP(A53,'Données projet'!$A$87:$I$107,7,0))</f>
        <v>0.25</v>
      </c>
      <c r="BP53" s="21">
        <f>EXP(-LN(2)/35)*BP52+(1-EXP(-LN(2)/35))/(LN(2)/35)*BL53*BM53*VLOOKUP('Données projet'!$B$11,Paramètres!$A$1:$I$89,3,0)*0.475*44/12</f>
        <v>15.228217320531948</v>
      </c>
      <c r="BQ53" s="21">
        <f>EXP(-LN(2)/25)*BQ52+(1-EXP(-LN(2)/25))/(LN(2)/25)*Calculateur!BL53*Calculateur!BN53*VLOOKUP('Données projet'!$B$11,Paramètres!$A$1:$I$89,3,0)*0.475*44/12</f>
        <v>19.68850196808225</v>
      </c>
      <c r="BR53" s="21">
        <f>EXP(-LN(2)/2)*BR52+(1-EXP(-LN(2)/2))/(LN(2)/2)*BL53*BO53*VLOOKUP('Données projet'!$B$11,Paramètres!$A$1:$I$89,3,0)*0.475*44/12</f>
        <v>5.0632963119026035</v>
      </c>
      <c r="BS53" s="22">
        <f t="shared" si="9"/>
        <v>39.980015600516801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9.6799999999999979</v>
      </c>
      <c r="BY53" s="12">
        <f>IF('Données projet'!$A$114&gt;35,BY52+BX53-CG52,IF(A53&lt;'Données projet'!$A$114,$BV$205^A53,IF(A53='Données projet'!$A$114,'Données projet'!$B$114,BY52+BX53-CG52)))</f>
        <v>183.17000000000024</v>
      </c>
      <c r="BZ53" s="13">
        <f>BY53*VLOOKUP('Données projet'!$B$12,Paramètres!$A$1:$I$89,3,0)*VLOOKUP('Données projet'!$B$12,Paramètres!$A$1:$I$89,5,0)</f>
        <v>174.30457200000023</v>
      </c>
      <c r="CA53" s="13">
        <f t="shared" si="39"/>
        <v>44.052696980222194</v>
      </c>
      <c r="CB53" s="20">
        <f t="shared" si="10"/>
        <v>380.3055768072208</v>
      </c>
      <c r="CC53" s="59">
        <f t="shared" si="11"/>
        <v>673.63891014055412</v>
      </c>
      <c r="CD53" s="59">
        <f ca="1">AVERAGE(OFFSET($CC$3,0,0,'Données projet'!$E$12+1,1))-AVERAGE(OFFSET($H$3,0,0,'Données projet'!$E$12+1,1))</f>
        <v>513.14430745499283</v>
      </c>
      <c r="CE53" s="59">
        <f t="shared" si="40"/>
        <v>324.2490378019823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23.403538923762156</v>
      </c>
      <c r="CM53" s="21">
        <f>EXP(-LN(2)/2)*CM52+(1-EXP(-LN(2)/2))/(LN(2)/2)*CG53*CJ53*VLOOKUP('Données projet'!$B$12,Paramètres!$A$1:$I$89,3,0)*0.475*44/12</f>
        <v>1.7211980262860813</v>
      </c>
      <c r="CN53" s="22">
        <f t="shared" si="12"/>
        <v>25.124736950048238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6.6506410256410255</v>
      </c>
      <c r="CT53" s="12">
        <f>IF('Données projet'!$A$140&gt;35,CT52+CS53-DB52,IF(A53&lt;'Données projet'!$A$140,$CQ$205^A53,IF(A53='Données projet'!$A$140,'Données projet'!$B$140,CT52+CS53-DB52)))</f>
        <v>159.77564102564102</v>
      </c>
      <c r="CU53" s="17">
        <f>CT53*VLOOKUP('Données projet'!$B$13,Paramètres!$A$1:$I$89,3,0)*VLOOKUP('Données projet'!$B$13,Paramètres!$A$1:$I$89,5,0)</f>
        <v>124.625</v>
      </c>
      <c r="CV53" s="13">
        <f t="shared" si="41"/>
        <v>32.751318935498368</v>
      </c>
      <c r="CW53" s="20">
        <f t="shared" si="13"/>
        <v>274.09708881265965</v>
      </c>
      <c r="CX53" s="59">
        <f t="shared" si="14"/>
        <v>567.43042214599291</v>
      </c>
      <c r="CY53" s="59">
        <f ca="1">AVERAGE(OFFSET($CX$3,0,0,'Données projet'!$E$13+1,1))-AVERAGE(OFFSET($H$3,0,0,'Données projet'!$E$13+1,1))</f>
        <v>197.51452239559433</v>
      </c>
      <c r="CZ53" s="59">
        <f t="shared" si="42"/>
        <v>196.65166921588821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5.390600106748237</v>
      </c>
      <c r="DG53" s="21">
        <f>EXP(-LN(2)/25)*DG52+(1-EXP(-LN(2)/25))/(LN(2)/25)*Calculateur!DB53*Calculateur!DD53*VLOOKUP('Données projet'!$B$13,Paramètres!$A$1:$I$89,3,0)*0.475*44/12</f>
        <v>6.4092687463930647</v>
      </c>
      <c r="DH53" s="21">
        <f>EXP(-LN(2)/2)*DH52+(1-EXP(-LN(2)/2))/(LN(2)/2)*DB53*DE53*VLOOKUP('Données projet'!$B$13,Paramètres!$A$1:$I$89,3,0)*0.475*44/12</f>
        <v>0.68734829892850346</v>
      </c>
      <c r="DI53" s="22">
        <f t="shared" si="15"/>
        <v>12.487217152069805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110.89743589743588</v>
      </c>
      <c r="DM53" s="12">
        <f>VLOOKUP(A53,'Données projet'!$A$165:$I$185,9,0)</f>
        <v>3.8461538461538454</v>
      </c>
      <c r="DN53" s="12">
        <f t="array" ref="DN53">INDEX(DM:DM,MIN(IF(ISNUMBER(DM53:DM249),ROW(DM53:DM249),"")))</f>
        <v>3.8461538461538454</v>
      </c>
      <c r="DO53" s="12">
        <f>IF('Données projet'!$A$166&gt;35,DO52+DN53-DW52,IF(A53&lt;'Données projet'!$A$166,$DL$205^A53,IF(A53='Données projet'!$A$166,'Données projet'!$B$166,DO52+DN53-DW52)))</f>
        <v>110.89743589743586</v>
      </c>
      <c r="DP53" s="17">
        <f>DO53*VLOOKUP('Données projet'!$B$14,Paramètres!$A$1:$I$89,3,0)*VLOOKUP('Données projet'!$B$14,Paramètres!$A$1:$I$89,5,0)</f>
        <v>115.90999999999997</v>
      </c>
      <c r="DQ53" s="13">
        <f t="shared" si="43"/>
        <v>30.719157262842881</v>
      </c>
      <c r="DR53" s="20">
        <f t="shared" si="16"/>
        <v>255.37911556611792</v>
      </c>
      <c r="DS53" s="59">
        <f t="shared" si="17"/>
        <v>548.71244889945126</v>
      </c>
      <c r="DT53" s="59">
        <f ca="1">AVERAGE(OFFSET($DS$3,0,0,'Données projet'!$E$14+1,1))-AVERAGE(OFFSET($H$3,0,0,'Données projet'!$E$14+1,1))</f>
        <v>239.26156489359892</v>
      </c>
      <c r="DU53" s="59">
        <f t="shared" si="44"/>
        <v>213.97034450798111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11.538461538461538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0.215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15.306868602639014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15.306868602639014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3.3603333333333336</v>
      </c>
      <c r="EJ53" s="12">
        <f>IF('Données projet'!$A$192&gt;35,EJ52+EI53-ER52,IF(A53&lt;'Données projet'!$A$192,$EG$205^A53,IF(A53='Données projet'!$A$192,'Données projet'!$B$192,EJ52+EI53-ER52)))</f>
        <v>168.01666666666659</v>
      </c>
      <c r="EK53" s="17">
        <f>EJ53*VLOOKUP('Données projet'!$B$15,Paramètres!$A$1:$I$89,3,0)*VLOOKUP('Données projet'!$B$15,Paramètres!$A$1:$I$89,5,0)</f>
        <v>167.74783999999994</v>
      </c>
      <c r="EL53" s="13">
        <f t="shared" si="45"/>
        <v>42.585223817728732</v>
      </c>
      <c r="EM53" s="20">
        <f t="shared" si="19"/>
        <v>366.33008614921073</v>
      </c>
      <c r="EN53" s="59">
        <f t="shared" si="20"/>
        <v>659.66341948254399</v>
      </c>
      <c r="EO53" s="59">
        <f ca="1">AVERAGE(OFFSET($EN$3,0,0,'Données projet'!$E$15+1,1))-AVERAGE(OFFSET($H$3,0,0,'Données projet'!$E$15+1,1))</f>
        <v>525.74725170626471</v>
      </c>
      <c r="EP53" s="59">
        <f t="shared" si="46"/>
        <v>259.19103598192197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3.3603333333333336</v>
      </c>
      <c r="N54" s="13">
        <f>IF('Données projet'!$A$36&gt;35,N53+M54-V53,IF(A54&lt;'Données projet'!$A$36,$K$205^A54,IF(A54='Données projet'!$A$36,'Données projet'!$B$36,N53+M54-V53)))</f>
        <v>171.37699999999992</v>
      </c>
      <c r="O54" s="13">
        <f>N54*VLOOKUP('Données projet'!$B$9,Paramètres!$A$1:$I$89,3,0)*VLOOKUP('Données projet'!$B$9,Paramètres!$A$1:$I$89,5,0)</f>
        <v>173.77627799999993</v>
      </c>
      <c r="P54" s="13">
        <f t="shared" si="33"/>
        <v>43.934699754571064</v>
      </c>
      <c r="Q54" s="20">
        <f t="shared" si="53"/>
        <v>379.17995292254449</v>
      </c>
      <c r="R54" s="59">
        <f t="shared" si="0"/>
        <v>672.5132862558778</v>
      </c>
      <c r="S54" s="59">
        <f ca="1">AVERAGE(OFFSET($R$3,0,0,'Données projet'!$E$9+1,1))-AVERAGE(OFFSET($H$3,0,0,'Données projet'!$E$9+1,1))</f>
        <v>533.26035274112917</v>
      </c>
      <c r="T54" s="59">
        <f t="shared" si="34"/>
        <v>262.58149402282521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192.85</v>
      </c>
      <c r="AG54" s="12">
        <f>VLOOKUP(A54,'Données projet'!$A$61:$I$81,9,0)</f>
        <v>9.6799999999999979</v>
      </c>
      <c r="AH54" s="12">
        <f t="array" ref="AH54">INDEX(AG:AG,MIN(IF(ISNUMBER(AG54:AG250),ROW(AG54:AG250),"")))</f>
        <v>9.6799999999999979</v>
      </c>
      <c r="AI54" s="13">
        <f>IF('Données projet'!$A$62&gt;35,AI53+AH54-AQ53,IF(A54&lt;'Données projet'!$A$62,$AF$205^A54,IF(A54='Données projet'!$A$62,'Données projet'!$B$62,AI53+AH54-AQ53)))</f>
        <v>192.85000000000025</v>
      </c>
      <c r="AJ54" s="13">
        <f>AI54*VLOOKUP('Données projet'!$B$10,Paramètres!$A$1:$I$89,3,0)*VLOOKUP('Données projet'!$B$10,Paramètres!$A$1:$I$89,5,0)</f>
        <v>174.49068000000022</v>
      </c>
      <c r="AK54" s="13">
        <f t="shared" si="35"/>
        <v>44.094255253499121</v>
      </c>
      <c r="AL54" s="20">
        <f t="shared" si="4"/>
        <v>380.70209556651133</v>
      </c>
      <c r="AM54" s="59">
        <f t="shared" si="5"/>
        <v>674.03542889984465</v>
      </c>
      <c r="AN54" s="59">
        <f ca="1">AVERAGE(OFFSET($AM$3,0,0,'Données projet'!$E$10+1,1))-AVERAGE(OFFSET($H$3,0,0,'Données projet'!$E$10+1,1))</f>
        <v>482.62991869403385</v>
      </c>
      <c r="AO54" s="59">
        <f t="shared" si="36"/>
        <v>310.43914804089906</v>
      </c>
      <c r="AP54" s="15">
        <f>IF(ISNA(VLOOKUP(A54,'Données projet'!$A$61:$I$81,3,0)),0,VLOOKUP(A54,'Données projet'!$A$61:$I$81,3,0))</f>
        <v>2</v>
      </c>
      <c r="AQ54" s="15">
        <f>IF(ISNA(VLOOKUP(A54,'Données projet'!$A$61:$I$81,4,0)),0,VLOOKUP(A54,'Données projet'!$A$61:$I$81,4,0))</f>
        <v>48.769999999999982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0.34400000000000003</v>
      </c>
      <c r="AT54" s="16">
        <f>IF(ISNA(VLOOKUP(A54,'Données projet'!$A$61:$I$81,7,0)),0%,VLOOKUP(A54,'Données projet'!$A$61:$I$81,7,0))</f>
        <v>0.2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38.358708013238626</v>
      </c>
      <c r="AW54" s="21">
        <f>EXP(-LN(2)/2)*AW53+(1-EXP(-LN(2)/2))/(LN(2)/2)*AQ54*AT54*VLOOKUP('Données projet'!$B$10,Paramètres!$A$1:$I$89,3,0)*0.475*44/12</f>
        <v>9.4842354032325886</v>
      </c>
      <c r="AX54" s="21">
        <f t="shared" si="6"/>
        <v>47.842943416471215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7.4</v>
      </c>
      <c r="BD54" s="12">
        <f>IF('Données projet'!$A$88&gt;35,BD53+BC54-BL53,IF(A54&lt;'Données projet'!$A$88,$BA$205^A54,IF(A54='Données projet'!$A$88,'Données projet'!$B$88,BD53+BC54-BL53)))</f>
        <v>249.40000000000003</v>
      </c>
      <c r="BE54" s="13">
        <f>BD54*VLOOKUP('Données projet'!$B$11,Paramètres!$A$1:$I$89,3,0)*VLOOKUP('Données projet'!$B$11,Paramètres!$A$1:$I$89,5,0)</f>
        <v>217.87584000000007</v>
      </c>
      <c r="BF54" s="13">
        <f t="shared" si="37"/>
        <v>53.652949670124926</v>
      </c>
      <c r="BG54" s="20">
        <f t="shared" si="7"/>
        <v>472.91264200880101</v>
      </c>
      <c r="BH54" s="59">
        <f t="shared" si="8"/>
        <v>766.24597534213433</v>
      </c>
      <c r="BI54" s="59">
        <f ca="1">AVERAGE(OFFSET($BH$3,0,0,'Données projet'!$E$11+1,1))-AVERAGE(OFFSET($H$3,0,0,'Données projet'!$E$11+1,1))</f>
        <v>384.34044781465661</v>
      </c>
      <c r="BJ54" s="59">
        <f t="shared" si="38"/>
        <v>374.99493809709708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14.929601267171739</v>
      </c>
      <c r="BQ54" s="21">
        <f>EXP(-LN(2)/25)*BQ53+(1-EXP(-LN(2)/25))/(LN(2)/25)*Calculateur!BL54*Calculateur!BN54*VLOOKUP('Données projet'!$B$11,Paramètres!$A$1:$I$89,3,0)*0.475*44/12</f>
        <v>19.15011884639172</v>
      </c>
      <c r="BR54" s="21">
        <f>EXP(-LN(2)/2)*BR53+(1-EXP(-LN(2)/2))/(LN(2)/2)*BL54*BO54*VLOOKUP('Données projet'!$B$11,Paramètres!$A$1:$I$89,3,0)*0.475*44/12</f>
        <v>3.5802911573031677</v>
      </c>
      <c r="BS54" s="22">
        <f t="shared" si="9"/>
        <v>37.660011270866626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>
        <f>VLOOKUP(A54,'Données projet'!$A$113:$I$133,2,0)</f>
        <v>192.85</v>
      </c>
      <c r="BW54" s="12">
        <f>VLOOKUP(A54,'Données projet'!$A$113:$I$133,9,0)</f>
        <v>9.6799999999999979</v>
      </c>
      <c r="BX54" s="12">
        <f t="array" ref="BX54">INDEX(BW:BW,MIN(IF(ISNUMBER(BW54:BW250),ROW(BW54:BW250),"")))</f>
        <v>9.6799999999999979</v>
      </c>
      <c r="BY54" s="12">
        <f>IF('Données projet'!$A$114&gt;35,BY53+BX54-CG53,IF(A54&lt;'Données projet'!$A$114,$BV$205^A54,IF(A54='Données projet'!$A$114,'Données projet'!$B$114,BY53+BX54-CG53)))</f>
        <v>192.85000000000025</v>
      </c>
      <c r="BZ54" s="13">
        <f>BY54*VLOOKUP('Données projet'!$B$12,Paramètres!$A$1:$I$89,3,0)*VLOOKUP('Données projet'!$B$12,Paramètres!$A$1:$I$89,5,0)</f>
        <v>183.51606000000024</v>
      </c>
      <c r="CA54" s="13">
        <f t="shared" si="39"/>
        <v>46.10356181754986</v>
      </c>
      <c r="CB54" s="20">
        <f t="shared" si="10"/>
        <v>399.92084133223307</v>
      </c>
      <c r="CC54" s="59">
        <f t="shared" si="11"/>
        <v>693.25417466556632</v>
      </c>
      <c r="CD54" s="59">
        <f ca="1">AVERAGE(OFFSET($CC$3,0,0,'Données projet'!$E$12+1,1))-AVERAGE(OFFSET($H$3,0,0,'Données projet'!$E$12+1,1))</f>
        <v>513.14430745499283</v>
      </c>
      <c r="CE54" s="59">
        <f t="shared" si="40"/>
        <v>324.2490378019823</v>
      </c>
      <c r="CF54" s="15">
        <f>IF(ISNA(VLOOKUP(A54,'Données projet'!$A$113:$I$133,3,0)),0,VLOOKUP(A54,'Données projet'!$A$113:$I$133,3,0))</f>
        <v>2</v>
      </c>
      <c r="CG54" s="15">
        <f>IF(ISNA(VLOOKUP(A54,'Données projet'!$A$113:$I$133,4,0)),0,VLOOKUP(A54,'Données projet'!$A$113:$I$133,4,0))</f>
        <v>48.769999999999982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0.34400000000000003</v>
      </c>
      <c r="CJ54" s="16">
        <f>IF(ISNA(VLOOKUP(A54,'Données projet'!$A$113:$I$133,7,0)),0%,VLOOKUP(A54,'Données projet'!$A$113:$I$133,7,0))</f>
        <v>0.2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40.342779117371663</v>
      </c>
      <c r="CM54" s="21">
        <f>EXP(-LN(2)/2)*CM53+(1-EXP(-LN(2)/2))/(LN(2)/2)*CG54*CJ54*VLOOKUP('Données projet'!$B$12,Paramètres!$A$1:$I$89,3,0)*0.475*44/12</f>
        <v>9.9747993033997933</v>
      </c>
      <c r="CN54" s="22">
        <f t="shared" si="12"/>
        <v>50.317578420771454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6.6506410256410255</v>
      </c>
      <c r="CT54" s="12">
        <f>IF('Données projet'!$A$140&gt;35,CT53+CS54-DB53,IF(A54&lt;'Données projet'!$A$140,$CQ$205^A54,IF(A54='Données projet'!$A$140,'Données projet'!$B$140,CT53+CS54-DB53)))</f>
        <v>166.42628205128204</v>
      </c>
      <c r="CU54" s="17">
        <f>CT54*VLOOKUP('Données projet'!$B$13,Paramètres!$A$1:$I$89,3,0)*VLOOKUP('Données projet'!$B$13,Paramètres!$A$1:$I$89,5,0)</f>
        <v>129.8125</v>
      </c>
      <c r="CV54" s="13">
        <f t="shared" si="41"/>
        <v>33.953029948668728</v>
      </c>
      <c r="CW54" s="20">
        <f t="shared" si="13"/>
        <v>285.224964660598</v>
      </c>
      <c r="CX54" s="59">
        <f t="shared" si="14"/>
        <v>578.55829799393132</v>
      </c>
      <c r="CY54" s="59">
        <f ca="1">AVERAGE(OFFSET($CX$3,0,0,'Données projet'!$E$13+1,1))-AVERAGE(OFFSET($H$3,0,0,'Données projet'!$E$13+1,1))</f>
        <v>197.51452239559433</v>
      </c>
      <c r="CZ54" s="59">
        <f t="shared" si="42"/>
        <v>196.65166921588821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5.2848937265963123</v>
      </c>
      <c r="DG54" s="21">
        <f>EXP(-LN(2)/25)*DG53+(1-EXP(-LN(2)/25))/(LN(2)/25)*Calculateur!DB54*Calculateur!DD54*VLOOKUP('Données projet'!$B$13,Paramètres!$A$1:$I$89,3,0)*0.475*44/12</f>
        <v>6.2340069554741513</v>
      </c>
      <c r="DH54" s="21">
        <f>EXP(-LN(2)/2)*DH53+(1-EXP(-LN(2)/2))/(LN(2)/2)*DB54*DE54*VLOOKUP('Données projet'!$B$13,Paramètres!$A$1:$I$89,3,0)*0.475*44/12</f>
        <v>0.48602864320938299</v>
      </c>
      <c r="DI54" s="22">
        <f t="shared" si="15"/>
        <v>12.004929325279846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3.3333333333333344</v>
      </c>
      <c r="DO54" s="12">
        <f>IF('Données projet'!$A$166&gt;35,DO53+DN54-DW53,IF(A54&lt;'Données projet'!$A$166,$DL$205^A54,IF(A54='Données projet'!$A$166,'Données projet'!$B$166,DO53+DN54-DW53)))</f>
        <v>102.69230769230765</v>
      </c>
      <c r="DP54" s="17">
        <f>DO54*VLOOKUP('Données projet'!$B$14,Paramètres!$A$1:$I$89,3,0)*VLOOKUP('Données projet'!$B$14,Paramètres!$A$1:$I$89,5,0)</f>
        <v>107.33399999999996</v>
      </c>
      <c r="DQ54" s="13">
        <f t="shared" si="43"/>
        <v>28.701960070059993</v>
      </c>
      <c r="DR54" s="20">
        <f t="shared" si="16"/>
        <v>236.9292971220211</v>
      </c>
      <c r="DS54" s="59">
        <f t="shared" si="17"/>
        <v>530.26263045535438</v>
      </c>
      <c r="DT54" s="59">
        <f ca="1">AVERAGE(OFFSET($DS$3,0,0,'Données projet'!$E$14+1,1))-AVERAGE(OFFSET($H$3,0,0,'Données projet'!$E$14+1,1))</f>
        <v>239.26156489359892</v>
      </c>
      <c r="DU54" s="59">
        <f t="shared" si="44"/>
        <v>213.97034450798111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14.888301475746614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14.888301475746614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3.3603333333333336</v>
      </c>
      <c r="EJ54" s="12">
        <f>IF('Données projet'!$A$192&gt;35,EJ53+EI54-ER53,IF(A54&lt;'Données projet'!$A$192,$EG$205^A54,IF(A54='Données projet'!$A$192,'Données projet'!$B$192,EJ53+EI54-ER53)))</f>
        <v>171.37699999999992</v>
      </c>
      <c r="EK54" s="17">
        <f>EJ54*VLOOKUP('Données projet'!$B$15,Paramètres!$A$1:$I$89,3,0)*VLOOKUP('Données projet'!$B$15,Paramètres!$A$1:$I$89,5,0)</f>
        <v>171.10279679999994</v>
      </c>
      <c r="EL54" s="13">
        <f t="shared" si="45"/>
        <v>43.336920357659722</v>
      </c>
      <c r="EM54" s="20">
        <f t="shared" si="19"/>
        <v>373.48250738292387</v>
      </c>
      <c r="EN54" s="59">
        <f t="shared" si="20"/>
        <v>666.81584071625718</v>
      </c>
      <c r="EO54" s="59">
        <f ca="1">AVERAGE(OFFSET($EN$3,0,0,'Données projet'!$E$15+1,1))-AVERAGE(OFFSET($H$3,0,0,'Données projet'!$E$15+1,1))</f>
        <v>525.74725170626471</v>
      </c>
      <c r="EP54" s="59">
        <f t="shared" si="46"/>
        <v>259.19103598192197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3.3603333333333336</v>
      </c>
      <c r="N55" s="13">
        <f>IF('Données projet'!$A$36&gt;35,N54+M55-V54,IF(A55&lt;'Données projet'!$A$36,$K$205^A55,IF(A55='Données projet'!$A$36,'Données projet'!$B$36,N54+M55-V54)))</f>
        <v>174.73733333333325</v>
      </c>
      <c r="O55" s="13">
        <f>N55*VLOOKUP('Données projet'!$B$9,Paramètres!$A$1:$I$89,3,0)*VLOOKUP('Données projet'!$B$9,Paramètres!$A$1:$I$89,5,0)</f>
        <v>177.18365599999993</v>
      </c>
      <c r="P55" s="13">
        <f t="shared" si="33"/>
        <v>44.695027585438865</v>
      </c>
      <c r="Q55" s="20">
        <f t="shared" si="53"/>
        <v>386.43870724463926</v>
      </c>
      <c r="R55" s="59">
        <f t="shared" si="0"/>
        <v>679.77204057797258</v>
      </c>
      <c r="S55" s="59">
        <f ca="1">AVERAGE(OFFSET($R$3,0,0,'Données projet'!$E$9+1,1))-AVERAGE(OFFSET($H$3,0,0,'Données projet'!$E$9+1,1))</f>
        <v>533.26035274112917</v>
      </c>
      <c r="T55" s="59">
        <f t="shared" si="34"/>
        <v>262.58149402282521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9.1524999999999999</v>
      </c>
      <c r="AI55" s="13">
        <f>IF('Données projet'!$A$62&gt;35,AI54+AH55-AQ54,IF(A55&lt;'Données projet'!$A$62,$AF$205^A55,IF(A55='Données projet'!$A$62,'Données projet'!$B$62,AI54+AH55-AQ54)))</f>
        <v>153.23250000000027</v>
      </c>
      <c r="AJ55" s="13">
        <f>AI55*VLOOKUP('Données projet'!$B$10,Paramètres!$A$1:$I$89,3,0)*VLOOKUP('Données projet'!$B$10,Paramètres!$A$1:$I$89,5,0)</f>
        <v>138.64476600000023</v>
      </c>
      <c r="AK55" s="13">
        <f t="shared" si="35"/>
        <v>35.986364870124042</v>
      </c>
      <c r="AL55" s="20">
        <f t="shared" si="4"/>
        <v>304.14921959879979</v>
      </c>
      <c r="AM55" s="59">
        <f t="shared" si="5"/>
        <v>597.4825529321331</v>
      </c>
      <c r="AN55" s="59">
        <f ca="1">AVERAGE(OFFSET($AM$3,0,0,'Données projet'!$E$10+1,1))-AVERAGE(OFFSET($H$3,0,0,'Données projet'!$E$10+1,1))</f>
        <v>482.62991869403385</v>
      </c>
      <c r="AO55" s="59">
        <f t="shared" si="36"/>
        <v>310.43914804089906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37.309787125419831</v>
      </c>
      <c r="AW55" s="21">
        <f>EXP(-LN(2)/2)*AW54+(1-EXP(-LN(2)/2))/(LN(2)/2)*AQ55*AT55*VLOOKUP('Données projet'!$B$10,Paramètres!$A$1:$I$89,3,0)*0.475*44/12</f>
        <v>6.7063671679952934</v>
      </c>
      <c r="AX55" s="21">
        <f t="shared" si="6"/>
        <v>44.016154293415127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7.4</v>
      </c>
      <c r="BD55" s="12">
        <f>IF('Données projet'!$A$88&gt;35,BD54+BC55-BL54,IF(A55&lt;'Données projet'!$A$88,$BA$205^A55,IF(A55='Données projet'!$A$88,'Données projet'!$B$88,BD54+BC55-BL54)))</f>
        <v>256.8</v>
      </c>
      <c r="BE55" s="13">
        <f>BD55*VLOOKUP('Données projet'!$B$11,Paramètres!$A$1:$I$89,3,0)*VLOOKUP('Données projet'!$B$11,Paramètres!$A$1:$I$89,5,0)</f>
        <v>224.34048000000004</v>
      </c>
      <c r="BF55" s="13">
        <f t="shared" si="37"/>
        <v>55.057192232003722</v>
      </c>
      <c r="BG55" s="20">
        <f t="shared" si="7"/>
        <v>486.61761247073986</v>
      </c>
      <c r="BH55" s="59">
        <f t="shared" si="8"/>
        <v>779.95094580407317</v>
      </c>
      <c r="BI55" s="59">
        <f ca="1">AVERAGE(OFFSET($BH$3,0,0,'Données projet'!$E$11+1,1))-AVERAGE(OFFSET($H$3,0,0,'Données projet'!$E$11+1,1))</f>
        <v>384.34044781465661</v>
      </c>
      <c r="BJ55" s="59">
        <f t="shared" si="38"/>
        <v>374.99493809709708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14.636840892480116</v>
      </c>
      <c r="BQ55" s="21">
        <f>EXP(-LN(2)/25)*BQ54+(1-EXP(-LN(2)/25))/(LN(2)/25)*Calculateur!BL55*Calculateur!BN55*VLOOKUP('Données projet'!$B$11,Paramètres!$A$1:$I$89,3,0)*0.475*44/12</f>
        <v>18.626457839476156</v>
      </c>
      <c r="BR55" s="21">
        <f>EXP(-LN(2)/2)*BR54+(1-EXP(-LN(2)/2))/(LN(2)/2)*BL55*BO55*VLOOKUP('Données projet'!$B$11,Paramètres!$A$1:$I$89,3,0)*0.475*44/12</f>
        <v>2.5316481559513022</v>
      </c>
      <c r="BS55" s="22">
        <f t="shared" si="9"/>
        <v>35.794946887907571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9.1524999999999999</v>
      </c>
      <c r="BY55" s="12">
        <f>IF('Données projet'!$A$114&gt;35,BY54+BX55-CG54,IF(A55&lt;'Données projet'!$A$114,$BV$205^A55,IF(A55='Données projet'!$A$114,'Données projet'!$B$114,BY54+BX55-CG54)))</f>
        <v>153.23250000000027</v>
      </c>
      <c r="BZ55" s="13">
        <f>BY55*VLOOKUP('Données projet'!$B$12,Paramètres!$A$1:$I$89,3,0)*VLOOKUP('Données projet'!$B$12,Paramètres!$A$1:$I$89,5,0)</f>
        <v>145.81604700000025</v>
      </c>
      <c r="CA55" s="13">
        <f t="shared" si="39"/>
        <v>37.626207492120187</v>
      </c>
      <c r="CB55" s="20">
        <f t="shared" si="10"/>
        <v>319.49525990710976</v>
      </c>
      <c r="CC55" s="59">
        <f t="shared" si="11"/>
        <v>612.82859324044307</v>
      </c>
      <c r="CD55" s="59">
        <f ca="1">AVERAGE(OFFSET($CC$3,0,0,'Données projet'!$E$12+1,1))-AVERAGE(OFFSET($H$3,0,0,'Données projet'!$E$12+1,1))</f>
        <v>513.14430745499283</v>
      </c>
      <c r="CE55" s="59">
        <f t="shared" si="40"/>
        <v>324.2490378019823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39.239603700872586</v>
      </c>
      <c r="CM55" s="21">
        <f>EXP(-LN(2)/2)*CM54+(1-EXP(-LN(2)/2))/(LN(2)/2)*CG55*CJ55*VLOOKUP('Données projet'!$B$12,Paramètres!$A$1:$I$89,3,0)*0.475*44/12</f>
        <v>7.0532482284088447</v>
      </c>
      <c r="CN55" s="22">
        <f t="shared" si="12"/>
        <v>46.292851929281433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>
        <f>VLOOKUP(A55,'Données projet'!$A$139:$I$159,2,0)</f>
        <v>173.07692307692307</v>
      </c>
      <c r="CR55" s="12">
        <f>VLOOKUP(A55,'Données projet'!$A$139:$I$159,9,0)</f>
        <v>6.6506410256410255</v>
      </c>
      <c r="CS55" s="12">
        <f t="array" ref="CS55">INDEX(CR:CR,MIN(IF(ISNUMBER(CR55:CR251),ROW(CR55:CR251),"")))</f>
        <v>6.6506410256410255</v>
      </c>
      <c r="CT55" s="12">
        <f>IF('Données projet'!$A$140&gt;35,CT54+CS55-DB54,IF(A55&lt;'Données projet'!$A$140,$CQ$205^A55,IF(A55='Données projet'!$A$140,'Données projet'!$B$140,CT54+CS55-DB54)))</f>
        <v>173.07692307692307</v>
      </c>
      <c r="CU55" s="17">
        <f>CT55*VLOOKUP('Données projet'!$B$13,Paramètres!$A$1:$I$89,3,0)*VLOOKUP('Données projet'!$B$13,Paramètres!$A$1:$I$89,5,0)</f>
        <v>135</v>
      </c>
      <c r="CV55" s="13">
        <f t="shared" si="41"/>
        <v>35.149162595374243</v>
      </c>
      <c r="CW55" s="20">
        <f t="shared" si="13"/>
        <v>296.34312485361016</v>
      </c>
      <c r="CX55" s="59">
        <f t="shared" si="14"/>
        <v>589.67645818694348</v>
      </c>
      <c r="CY55" s="59">
        <f ca="1">AVERAGE(OFFSET($CX$3,0,0,'Données projet'!$E$13+1,1))-AVERAGE(OFFSET($H$3,0,0,'Données projet'!$E$13+1,1))</f>
        <v>197.51452239559433</v>
      </c>
      <c r="CZ55" s="59">
        <f t="shared" si="42"/>
        <v>196.65166921588821</v>
      </c>
      <c r="DA55" s="15">
        <f>IF(ISNA(VLOOKUP(A55,'Données projet'!$A$139:$I$159,3,0)),0,VLOOKUP(A55,'Données projet'!$A$139:$I$159,3,0))</f>
        <v>7</v>
      </c>
      <c r="DB55" s="15">
        <f>IF(ISNA(VLOOKUP(A55,'Données projet'!$A$139:$I$159,4,0)),0,VLOOKUP(A55,'Données projet'!$A$139:$I$159,4,0))</f>
        <v>30.769230769230766</v>
      </c>
      <c r="DC55" s="16">
        <f>IF(ISNA(VLOOKUP(A55,'Données projet'!$A$139:$I$159,5,0)),0%,VLOOKUP(A55,'Données projet'!$A$139:$I$159,5,0)*VLOOKUP('Données projet'!$B$13,Paramètres!$A$1:$I$89,7,0))</f>
        <v>0.1075</v>
      </c>
      <c r="DD55" s="16">
        <f>IF(ISNA(VLOOKUP(A55,'Données projet'!$A$139:$I$159,6,0)),0%,VLOOKUP(A55,'Données projet'!$A$139:$I$159,6,0)*VLOOKUP('Données projet'!$B$13,Paramètres!$A$1:$I$89,7,0))</f>
        <v>0.1075</v>
      </c>
      <c r="DE55" s="16">
        <f>IF(ISNA(VLOOKUP(A55,'Données projet'!$A$139:$I$159,7,0)),0%,VLOOKUP(A55,'Données projet'!$A$139:$I$159,7,0))</f>
        <v>0.25</v>
      </c>
      <c r="DF55" s="21">
        <f>EXP(-LN(2)/35)*DF54+(1-EXP(-LN(2)/35))/(LN(2)/35)*DB55*DC55*VLOOKUP('Données projet'!$B$13,Paramètres!$A$1:$I$89,3,0)*0.475*44/12</f>
        <v>8.033373763279652</v>
      </c>
      <c r="DG55" s="21">
        <f>EXP(-LN(2)/25)*DG54+(1-EXP(-LN(2)/25))/(LN(2)/25)*Calculateur!DB55*Calculateur!DD55*VLOOKUP('Données projet'!$B$13,Paramètres!$A$1:$I$89,3,0)*0.475*44/12</f>
        <v>8.9044214287377805</v>
      </c>
      <c r="DH55" s="21">
        <f>EXP(-LN(2)/2)*DH54+(1-EXP(-LN(2)/2))/(LN(2)/2)*DB55*DE55*VLOOKUP('Données projet'!$B$13,Paramètres!$A$1:$I$89,3,0)*0.475*44/12</f>
        <v>6.0048356370965799</v>
      </c>
      <c r="DI55" s="22">
        <f t="shared" si="15"/>
        <v>22.942630829114012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3.3333333333333344</v>
      </c>
      <c r="DO55" s="12">
        <f>IF('Données projet'!$A$166&gt;35,DO54+DN55-DW54,IF(A55&lt;'Données projet'!$A$166,$DL$205^A55,IF(A55='Données projet'!$A$166,'Données projet'!$B$166,DO54+DN55-DW54)))</f>
        <v>106.02564102564098</v>
      </c>
      <c r="DP55" s="17">
        <f>DO55*VLOOKUP('Données projet'!$B$14,Paramètres!$A$1:$I$89,3,0)*VLOOKUP('Données projet'!$B$14,Paramètres!$A$1:$I$89,5,0)</f>
        <v>110.81799999999996</v>
      </c>
      <c r="DQ55" s="13">
        <f t="shared" si="43"/>
        <v>29.523628571023192</v>
      </c>
      <c r="DR55" s="20">
        <f t="shared" si="16"/>
        <v>244.42833642786528</v>
      </c>
      <c r="DS55" s="59">
        <f t="shared" si="17"/>
        <v>537.76166976119862</v>
      </c>
      <c r="DT55" s="59">
        <f ca="1">AVERAGE(OFFSET($DS$3,0,0,'Données projet'!$E$14+1,1))-AVERAGE(OFFSET($H$3,0,0,'Données projet'!$E$14+1,1))</f>
        <v>239.26156489359892</v>
      </c>
      <c r="DU55" s="59">
        <f t="shared" si="44"/>
        <v>213.97034450798111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14.481180088950575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14.481180088950575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3.3603333333333336</v>
      </c>
      <c r="EJ55" s="12">
        <f>IF('Données projet'!$A$192&gt;35,EJ54+EI55-ER54,IF(A55&lt;'Données projet'!$A$192,$EG$205^A55,IF(A55='Données projet'!$A$192,'Données projet'!$B$192,EJ54+EI55-ER54)))</f>
        <v>174.73733333333325</v>
      </c>
      <c r="EK55" s="17">
        <f>EJ55*VLOOKUP('Données projet'!$B$15,Paramètres!$A$1:$I$89,3,0)*VLOOKUP('Données projet'!$B$15,Paramètres!$A$1:$I$89,5,0)</f>
        <v>174.45775359999993</v>
      </c>
      <c r="EL55" s="13">
        <f t="shared" si="45"/>
        <v>44.086903101051526</v>
      </c>
      <c r="EM55" s="20">
        <f t="shared" si="19"/>
        <v>380.63194375433119</v>
      </c>
      <c r="EN55" s="59">
        <f t="shared" si="20"/>
        <v>673.9652770876645</v>
      </c>
      <c r="EO55" s="59">
        <f ca="1">AVERAGE(OFFSET($EN$3,0,0,'Données projet'!$E$15+1,1))-AVERAGE(OFFSET($H$3,0,0,'Données projet'!$E$15+1,1))</f>
        <v>525.74725170626471</v>
      </c>
      <c r="EP55" s="59">
        <f t="shared" si="46"/>
        <v>259.19103598192197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3.3603333333333336</v>
      </c>
      <c r="N56" s="13">
        <f>IF('Données projet'!$A$36&gt;35,N55+M56-V55,IF(A56&lt;'Données projet'!$A$36,$K$205^A56,IF(A56='Données projet'!$A$36,'Données projet'!$B$36,N55+M56-V55)))</f>
        <v>178.09766666666658</v>
      </c>
      <c r="O56" s="13">
        <f>N56*VLOOKUP('Données projet'!$B$9,Paramètres!$A$1:$I$89,3,0)*VLOOKUP('Données projet'!$B$9,Paramètres!$A$1:$I$89,5,0)</f>
        <v>180.59103399999992</v>
      </c>
      <c r="P56" s="13">
        <f t="shared" si="33"/>
        <v>45.453655244392749</v>
      </c>
      <c r="Q56" s="20">
        <f t="shared" si="53"/>
        <v>393.69450043398388</v>
      </c>
      <c r="R56" s="59">
        <f t="shared" si="0"/>
        <v>687.02783376731713</v>
      </c>
      <c r="S56" s="59">
        <f ca="1">AVERAGE(OFFSET($R$3,0,0,'Données projet'!$E$9+1,1))-AVERAGE(OFFSET($H$3,0,0,'Données projet'!$E$9+1,1))</f>
        <v>533.26035274112917</v>
      </c>
      <c r="T56" s="59">
        <f t="shared" si="34"/>
        <v>262.58149402282521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9.1524999999999999</v>
      </c>
      <c r="AI56" s="13">
        <f>IF('Données projet'!$A$62&gt;35,AI55+AH56-AQ55,IF(A56&lt;'Données projet'!$A$62,$AF$205^A56,IF(A56='Données projet'!$A$62,'Données projet'!$B$62,AI55+AH56-AQ55)))</f>
        <v>162.38500000000028</v>
      </c>
      <c r="AJ56" s="13">
        <f>AI56*VLOOKUP('Données projet'!$B$10,Paramètres!$A$1:$I$89,3,0)*VLOOKUP('Données projet'!$B$10,Paramètres!$A$1:$I$89,5,0)</f>
        <v>146.92594800000026</v>
      </c>
      <c r="AK56" s="13">
        <f t="shared" si="35"/>
        <v>37.879156618717644</v>
      </c>
      <c r="AL56" s="20">
        <f t="shared" si="4"/>
        <v>321.868890544267</v>
      </c>
      <c r="AM56" s="59">
        <f t="shared" si="5"/>
        <v>615.20222387760032</v>
      </c>
      <c r="AN56" s="59">
        <f ca="1">AVERAGE(OFFSET($AM$3,0,0,'Données projet'!$E$10+1,1))-AVERAGE(OFFSET($H$3,0,0,'Données projet'!$E$10+1,1))</f>
        <v>482.62991869403385</v>
      </c>
      <c r="AO56" s="59">
        <f t="shared" si="36"/>
        <v>310.43914804089906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36.289549034438792</v>
      </c>
      <c r="AW56" s="21">
        <f>EXP(-LN(2)/2)*AW55+(1-EXP(-LN(2)/2))/(LN(2)/2)*AQ56*AT56*VLOOKUP('Données projet'!$B$10,Paramètres!$A$1:$I$89,3,0)*0.475*44/12</f>
        <v>4.7421177016162943</v>
      </c>
      <c r="AX56" s="21">
        <f t="shared" si="6"/>
        <v>41.031666736055087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7.4</v>
      </c>
      <c r="BD56" s="12">
        <f>IF('Données projet'!$A$88&gt;35,BD55+BC56-BL55,IF(A56&lt;'Données projet'!$A$88,$BA$205^A56,IF(A56='Données projet'!$A$88,'Données projet'!$B$88,BD55+BC56-BL55)))</f>
        <v>264.2</v>
      </c>
      <c r="BE56" s="13">
        <f>BD56*VLOOKUP('Données projet'!$B$11,Paramètres!$A$1:$I$89,3,0)*VLOOKUP('Données projet'!$B$11,Paramètres!$A$1:$I$89,5,0)</f>
        <v>230.80512000000002</v>
      </c>
      <c r="BF56" s="13">
        <f t="shared" si="37"/>
        <v>56.456731878408327</v>
      </c>
      <c r="BG56" s="20">
        <f t="shared" si="7"/>
        <v>500.3143920215611</v>
      </c>
      <c r="BH56" s="59">
        <f t="shared" si="8"/>
        <v>793.64772535489442</v>
      </c>
      <c r="BI56" s="59">
        <f ca="1">AVERAGE(OFFSET($BH$3,0,0,'Données projet'!$E$11+1,1))-AVERAGE(OFFSET($H$3,0,0,'Données projet'!$E$11+1,1))</f>
        <v>384.34044781465661</v>
      </c>
      <c r="BJ56" s="59">
        <f t="shared" si="38"/>
        <v>374.99493809709708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14.349821370169998</v>
      </c>
      <c r="BQ56" s="21">
        <f>EXP(-LN(2)/25)*BQ55+(1-EXP(-LN(2)/25))/(LN(2)/25)*Calculateur!BL56*Calculateur!BN56*VLOOKUP('Données projet'!$B$11,Paramètres!$A$1:$I$89,3,0)*0.475*44/12</f>
        <v>18.117116370332834</v>
      </c>
      <c r="BR56" s="21">
        <f>EXP(-LN(2)/2)*BR55+(1-EXP(-LN(2)/2))/(LN(2)/2)*BL56*BO56*VLOOKUP('Données projet'!$B$11,Paramètres!$A$1:$I$89,3,0)*0.475*44/12</f>
        <v>1.7901455786515841</v>
      </c>
      <c r="BS56" s="22">
        <f t="shared" si="9"/>
        <v>34.257083319154411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9.1524999999999999</v>
      </c>
      <c r="BY56" s="12">
        <f>IF('Données projet'!$A$114&gt;35,BY55+BX56-CG55,IF(A56&lt;'Données projet'!$A$114,$BV$205^A56,IF(A56='Données projet'!$A$114,'Données projet'!$B$114,BY55+BX56-CG55)))</f>
        <v>162.38500000000028</v>
      </c>
      <c r="BZ56" s="13">
        <f>BY56*VLOOKUP('Données projet'!$B$12,Paramètres!$A$1:$I$89,3,0)*VLOOKUP('Données projet'!$B$12,Paramètres!$A$1:$I$89,5,0)</f>
        <v>154.52556600000028</v>
      </c>
      <c r="CA56" s="13">
        <f t="shared" si="39"/>
        <v>39.605250813916783</v>
      </c>
      <c r="CB56" s="20">
        <f t="shared" si="10"/>
        <v>338.11117261757227</v>
      </c>
      <c r="CC56" s="59">
        <f t="shared" si="11"/>
        <v>631.44450595090552</v>
      </c>
      <c r="CD56" s="59">
        <f ca="1">AVERAGE(OFFSET($CC$3,0,0,'Données projet'!$E$12+1,1))-AVERAGE(OFFSET($H$3,0,0,'Données projet'!$E$12+1,1))</f>
        <v>513.14430745499283</v>
      </c>
      <c r="CE56" s="59">
        <f t="shared" si="40"/>
        <v>324.2490378019823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38.166594674151149</v>
      </c>
      <c r="CM56" s="21">
        <f>EXP(-LN(2)/2)*CM55+(1-EXP(-LN(2)/2))/(LN(2)/2)*CG56*CJ56*VLOOKUP('Données projet'!$B$12,Paramètres!$A$1:$I$89,3,0)*0.475*44/12</f>
        <v>4.9873996516998975</v>
      </c>
      <c r="CN56" s="22">
        <f t="shared" si="12"/>
        <v>43.153994325851045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6.0096153846153868</v>
      </c>
      <c r="CT56" s="12">
        <f>IF('Données projet'!$A$140&gt;35,CT55+CS56-DB55,IF(A56&lt;'Données projet'!$A$140,$CQ$205^A56,IF(A56='Données projet'!$A$140,'Données projet'!$B$140,CT55+CS56-DB55)))</f>
        <v>148.31730769230768</v>
      </c>
      <c r="CU56" s="17">
        <f>CT56*VLOOKUP('Données projet'!$B$13,Paramètres!$A$1:$I$89,3,0)*VLOOKUP('Données projet'!$B$13,Paramètres!$A$1:$I$89,5,0)</f>
        <v>115.6875</v>
      </c>
      <c r="CV56" s="13">
        <f t="shared" si="41"/>
        <v>30.667047071789558</v>
      </c>
      <c r="CW56" s="20">
        <f t="shared" si="13"/>
        <v>254.90083615003348</v>
      </c>
      <c r="CX56" s="59">
        <f t="shared" si="14"/>
        <v>548.23416948336683</v>
      </c>
      <c r="CY56" s="59">
        <f ca="1">AVERAGE(OFFSET($CX$3,0,0,'Données projet'!$E$13+1,1))-AVERAGE(OFFSET($H$3,0,0,'Données projet'!$E$13+1,1))</f>
        <v>197.51452239559433</v>
      </c>
      <c r="CZ56" s="59">
        <f t="shared" si="42"/>
        <v>196.65166921588821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7.8758442036559115</v>
      </c>
      <c r="DG56" s="21">
        <f>EXP(-LN(2)/25)*DG55+(1-EXP(-LN(2)/25))/(LN(2)/25)*Calculateur!DB56*Calculateur!DD56*VLOOKUP('Données projet'!$B$13,Paramètres!$A$1:$I$89,3,0)*0.475*44/12</f>
        <v>8.6609295565057742</v>
      </c>
      <c r="DH56" s="21">
        <f>EXP(-LN(2)/2)*DH55+(1-EXP(-LN(2)/2))/(LN(2)/2)*DB56*DE56*VLOOKUP('Données projet'!$B$13,Paramètres!$A$1:$I$89,3,0)*0.475*44/12</f>
        <v>4.2460599989016341</v>
      </c>
      <c r="DI56" s="22">
        <f t="shared" si="15"/>
        <v>20.782833759063323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3.3333333333333344</v>
      </c>
      <c r="DO56" s="12">
        <f>IF('Données projet'!$A$166&gt;35,DO55+DN56-DW55,IF(A56&lt;'Données projet'!$A$166,$DL$205^A56,IF(A56='Données projet'!$A$166,'Données projet'!$B$166,DO55+DN56-DW55)))</f>
        <v>109.35897435897431</v>
      </c>
      <c r="DP56" s="17">
        <f>DO56*VLOOKUP('Données projet'!$B$14,Paramètres!$A$1:$I$89,3,0)*VLOOKUP('Données projet'!$B$14,Paramètres!$A$1:$I$89,5,0)</f>
        <v>114.30199999999996</v>
      </c>
      <c r="DQ56" s="13">
        <f t="shared" si="43"/>
        <v>30.342295155235718</v>
      </c>
      <c r="DR56" s="20">
        <f t="shared" si="16"/>
        <v>251.9221473953688</v>
      </c>
      <c r="DS56" s="59">
        <f t="shared" si="17"/>
        <v>545.25548072870208</v>
      </c>
      <c r="DT56" s="59">
        <f ca="1">AVERAGE(OFFSET($DS$3,0,0,'Données projet'!$E$14+1,1))-AVERAGE(OFFSET($H$3,0,0,'Données projet'!$E$14+1,1))</f>
        <v>239.26156489359892</v>
      </c>
      <c r="DU56" s="59">
        <f t="shared" si="44"/>
        <v>213.97034450798111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14.085191457886058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14.085191457886058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3.3603333333333336</v>
      </c>
      <c r="EJ56" s="12">
        <f>IF('Données projet'!$A$192&gt;35,EJ55+EI56-ER55,IF(A56&lt;'Données projet'!$A$192,$EG$205^A56,IF(A56='Données projet'!$A$192,'Données projet'!$B$192,EJ55+EI56-ER55)))</f>
        <v>178.09766666666658</v>
      </c>
      <c r="EK56" s="17">
        <f>EJ56*VLOOKUP('Données projet'!$B$15,Paramètres!$A$1:$I$89,3,0)*VLOOKUP('Données projet'!$B$15,Paramètres!$A$1:$I$89,5,0)</f>
        <v>177.81271039999993</v>
      </c>
      <c r="EL56" s="13">
        <f t="shared" si="45"/>
        <v>44.835208805218343</v>
      </c>
      <c r="EM56" s="20">
        <f t="shared" si="19"/>
        <v>387.77845928242181</v>
      </c>
      <c r="EN56" s="59">
        <f t="shared" si="20"/>
        <v>681.11179261575512</v>
      </c>
      <c r="EO56" s="59">
        <f ca="1">AVERAGE(OFFSET($EN$3,0,0,'Données projet'!$E$15+1,1))-AVERAGE(OFFSET($H$3,0,0,'Données projet'!$E$15+1,1))</f>
        <v>525.74725170626471</v>
      </c>
      <c r="EP56" s="59">
        <f t="shared" si="46"/>
        <v>259.19103598192197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3.3603333333333336</v>
      </c>
      <c r="N57" s="13">
        <f>IF('Données projet'!$A$36&gt;35,N56+M57-V56,IF(A57&lt;'Données projet'!$A$36,$K$205^A57,IF(A57='Données projet'!$A$36,'Données projet'!$B$36,N56+M57-V56)))</f>
        <v>181.45799999999991</v>
      </c>
      <c r="O57" s="13">
        <f>N57*VLOOKUP('Données projet'!$B$9,Paramètres!$A$1:$I$89,3,0)*VLOOKUP('Données projet'!$B$9,Paramètres!$A$1:$I$89,5,0)</f>
        <v>183.99841199999992</v>
      </c>
      <c r="P57" s="13">
        <f t="shared" si="33"/>
        <v>46.210618509095013</v>
      </c>
      <c r="Q57" s="20">
        <f t="shared" si="53"/>
        <v>400.94739480334033</v>
      </c>
      <c r="R57" s="59">
        <f t="shared" si="0"/>
        <v>694.28072813667359</v>
      </c>
      <c r="S57" s="59">
        <f ca="1">AVERAGE(OFFSET($R$3,0,0,'Données projet'!$E$9+1,1))-AVERAGE(OFFSET($H$3,0,0,'Données projet'!$E$9+1,1))</f>
        <v>533.26035274112917</v>
      </c>
      <c r="T57" s="59">
        <f t="shared" si="34"/>
        <v>262.58149402282521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9.1524999999999999</v>
      </c>
      <c r="AI57" s="13">
        <f>IF('Données projet'!$A$62&gt;35,AI56+AH57-AQ56,IF(A57&lt;'Données projet'!$A$62,$AF$205^A57,IF(A57='Données projet'!$A$62,'Données projet'!$B$62,AI56+AH57-AQ56)))</f>
        <v>171.53750000000028</v>
      </c>
      <c r="AJ57" s="13">
        <f>AI57*VLOOKUP('Données projet'!$B$10,Paramètres!$A$1:$I$89,3,0)*VLOOKUP('Données projet'!$B$10,Paramètres!$A$1:$I$89,5,0)</f>
        <v>155.20713000000023</v>
      </c>
      <c r="AK57" s="13">
        <f t="shared" si="35"/>
        <v>39.759564149610455</v>
      </c>
      <c r="AL57" s="20">
        <f t="shared" si="4"/>
        <v>339.56699231057195</v>
      </c>
      <c r="AM57" s="59">
        <f t="shared" si="5"/>
        <v>632.90032564390526</v>
      </c>
      <c r="AN57" s="59">
        <f ca="1">AVERAGE(OFFSET($AM$3,0,0,'Données projet'!$E$10+1,1))-AVERAGE(OFFSET($H$3,0,0,'Données projet'!$E$10+1,1))</f>
        <v>482.62991869403385</v>
      </c>
      <c r="AO57" s="59">
        <f t="shared" si="36"/>
        <v>310.43914804089906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35.297209407707619</v>
      </c>
      <c r="AW57" s="21">
        <f>EXP(-LN(2)/2)*AW56+(1-EXP(-LN(2)/2))/(LN(2)/2)*AQ57*AT57*VLOOKUP('Données projet'!$B$10,Paramètres!$A$1:$I$89,3,0)*0.475*44/12</f>
        <v>3.3531835839976467</v>
      </c>
      <c r="AX57" s="21">
        <f t="shared" si="6"/>
        <v>38.650392991705267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7.4</v>
      </c>
      <c r="BD57" s="12">
        <f>IF('Données projet'!$A$88&gt;35,BD56+BC57-BL56,IF(A57&lt;'Données projet'!$A$88,$BA$205^A57,IF(A57='Données projet'!$A$88,'Données projet'!$B$88,BD56+BC57-BL56)))</f>
        <v>271.59999999999997</v>
      </c>
      <c r="BE57" s="13">
        <f>BD57*VLOOKUP('Données projet'!$B$11,Paramètres!$A$1:$I$89,3,0)*VLOOKUP('Données projet'!$B$11,Paramètres!$A$1:$I$89,5,0)</f>
        <v>237.26976000000002</v>
      </c>
      <c r="BF57" s="13">
        <f t="shared" si="37"/>
        <v>57.851715465847946</v>
      </c>
      <c r="BG57" s="20">
        <f t="shared" si="7"/>
        <v>514.00323643635181</v>
      </c>
      <c r="BH57" s="59">
        <f t="shared" si="8"/>
        <v>807.33656976968518</v>
      </c>
      <c r="BI57" s="59">
        <f ca="1">AVERAGE(OFFSET($BH$3,0,0,'Données projet'!$E$11+1,1))-AVERAGE(OFFSET($H$3,0,0,'Données projet'!$E$11+1,1))</f>
        <v>384.34044781465661</v>
      </c>
      <c r="BJ57" s="59">
        <f t="shared" si="38"/>
        <v>374.99493809709708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14.06843012562776</v>
      </c>
      <c r="BQ57" s="21">
        <f>EXP(-LN(2)/25)*BQ56+(1-EXP(-LN(2)/25))/(LN(2)/25)*Calculateur!BL57*Calculateur!BN57*VLOOKUP('Données projet'!$B$11,Paramètres!$A$1:$I$89,3,0)*0.475*44/12</f>
        <v>17.621702870448338</v>
      </c>
      <c r="BR57" s="21">
        <f>EXP(-LN(2)/2)*BR56+(1-EXP(-LN(2)/2))/(LN(2)/2)*BL57*BO57*VLOOKUP('Données projet'!$B$11,Paramètres!$A$1:$I$89,3,0)*0.475*44/12</f>
        <v>1.2658240779756513</v>
      </c>
      <c r="BS57" s="22">
        <f t="shared" si="9"/>
        <v>32.955957074051753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9.1524999999999999</v>
      </c>
      <c r="BY57" s="12">
        <f>IF('Données projet'!$A$114&gt;35,BY56+BX57-CG56,IF(A57&lt;'Données projet'!$A$114,$BV$205^A57,IF(A57='Données projet'!$A$114,'Données projet'!$B$114,BY56+BX57-CG56)))</f>
        <v>171.53750000000028</v>
      </c>
      <c r="BZ57" s="13">
        <f>BY57*VLOOKUP('Données projet'!$B$12,Paramètres!$A$1:$I$89,3,0)*VLOOKUP('Données projet'!$B$12,Paramètres!$A$1:$I$89,5,0)</f>
        <v>163.23508500000025</v>
      </c>
      <c r="CA57" s="13">
        <f t="shared" si="39"/>
        <v>41.571345588492321</v>
      </c>
      <c r="CB57" s="20">
        <f t="shared" si="10"/>
        <v>356.70453327495784</v>
      </c>
      <c r="CC57" s="59">
        <f t="shared" si="11"/>
        <v>650.0378666082911</v>
      </c>
      <c r="CD57" s="59">
        <f ca="1">AVERAGE(OFFSET($CC$3,0,0,'Données projet'!$E$12+1,1))-AVERAGE(OFFSET($H$3,0,0,'Données projet'!$E$12+1,1))</f>
        <v>513.14430745499283</v>
      </c>
      <c r="CE57" s="59">
        <f t="shared" si="40"/>
        <v>324.2490378019823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37.1229271356925</v>
      </c>
      <c r="CM57" s="21">
        <f>EXP(-LN(2)/2)*CM56+(1-EXP(-LN(2)/2))/(LN(2)/2)*CG57*CJ57*VLOOKUP('Données projet'!$B$12,Paramètres!$A$1:$I$89,3,0)*0.475*44/12</f>
        <v>3.5266241142044232</v>
      </c>
      <c r="CN57" s="22">
        <f t="shared" si="12"/>
        <v>40.649551249896923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6.0096153846153868</v>
      </c>
      <c r="CT57" s="12">
        <f>IF('Données projet'!$A$140&gt;35,CT56+CS57-DB56,IF(A57&lt;'Données projet'!$A$140,$CQ$205^A57,IF(A57='Données projet'!$A$140,'Données projet'!$B$140,CT56+CS57-DB56)))</f>
        <v>154.32692307692307</v>
      </c>
      <c r="CU57" s="17">
        <f>CT57*VLOOKUP('Données projet'!$B$13,Paramètres!$A$1:$I$89,3,0)*VLOOKUP('Données projet'!$B$13,Paramètres!$A$1:$I$89,5,0)</f>
        <v>120.375</v>
      </c>
      <c r="CV57" s="13">
        <f t="shared" si="41"/>
        <v>31.762445997133341</v>
      </c>
      <c r="CW57" s="20">
        <f t="shared" si="13"/>
        <v>264.97271844500727</v>
      </c>
      <c r="CX57" s="59">
        <f t="shared" si="14"/>
        <v>558.30605177834059</v>
      </c>
      <c r="CY57" s="59">
        <f ca="1">AVERAGE(OFFSET($CX$3,0,0,'Données projet'!$E$13+1,1))-AVERAGE(OFFSET($H$3,0,0,'Données projet'!$E$13+1,1))</f>
        <v>197.51452239559433</v>
      </c>
      <c r="CZ57" s="59">
        <f t="shared" si="42"/>
        <v>196.65166921588821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7.7214037026128484</v>
      </c>
      <c r="DG57" s="21">
        <f>EXP(-LN(2)/25)*DG56+(1-EXP(-LN(2)/25))/(LN(2)/25)*Calculateur!DB57*Calculateur!DD57*VLOOKUP('Données projet'!$B$13,Paramètres!$A$1:$I$89,3,0)*0.475*44/12</f>
        <v>8.4240959823246335</v>
      </c>
      <c r="DH57" s="21">
        <f>EXP(-LN(2)/2)*DH56+(1-EXP(-LN(2)/2))/(LN(2)/2)*DB57*DE57*VLOOKUP('Données projet'!$B$13,Paramètres!$A$1:$I$89,3,0)*0.475*44/12</f>
        <v>3.0024178185482904</v>
      </c>
      <c r="DI57" s="22">
        <f t="shared" si="15"/>
        <v>19.147917503485775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3.3333333333333344</v>
      </c>
      <c r="DO57" s="12">
        <f>IF('Données projet'!$A$166&gt;35,DO56+DN57-DW56,IF(A57&lt;'Données projet'!$A$166,$DL$205^A57,IF(A57='Données projet'!$A$166,'Données projet'!$B$166,DO56+DN57-DW56)))</f>
        <v>112.69230769230764</v>
      </c>
      <c r="DP57" s="17">
        <f>DO57*VLOOKUP('Données projet'!$B$14,Paramètres!$A$1:$I$89,3,0)*VLOOKUP('Données projet'!$B$14,Paramètres!$A$1:$I$89,5,0)</f>
        <v>117.78599999999996</v>
      </c>
      <c r="DQ57" s="13">
        <f t="shared" si="43"/>
        <v>31.158061824774272</v>
      </c>
      <c r="DR57" s="20">
        <f t="shared" si="16"/>
        <v>259.41090767814842</v>
      </c>
      <c r="DS57" s="59">
        <f t="shared" si="17"/>
        <v>552.74424101148179</v>
      </c>
      <c r="DT57" s="59">
        <f ca="1">AVERAGE(OFFSET($DS$3,0,0,'Données projet'!$E$14+1,1))-AVERAGE(OFFSET($H$3,0,0,'Données projet'!$E$14+1,1))</f>
        <v>239.26156489359892</v>
      </c>
      <c r="DU57" s="59">
        <f t="shared" si="44"/>
        <v>213.97034450798111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13.700031156762137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13.700031156762137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3.3603333333333336</v>
      </c>
      <c r="EJ57" s="12">
        <f>IF('Données projet'!$A$192&gt;35,EJ56+EI57-ER56,IF(A57&lt;'Données projet'!$A$192,$EG$205^A57,IF(A57='Données projet'!$A$192,'Données projet'!$B$192,EJ56+EI57-ER56)))</f>
        <v>181.45799999999991</v>
      </c>
      <c r="EK57" s="17">
        <f>EJ57*VLOOKUP('Données projet'!$B$15,Paramètres!$A$1:$I$89,3,0)*VLOOKUP('Données projet'!$B$15,Paramètres!$A$1:$I$89,5,0)</f>
        <v>181.16766719999993</v>
      </c>
      <c r="EL57" s="13">
        <f t="shared" si="45"/>
        <v>45.581872761028421</v>
      </c>
      <c r="EM57" s="20">
        <f t="shared" si="19"/>
        <v>394.92211543212437</v>
      </c>
      <c r="EN57" s="59">
        <f t="shared" si="20"/>
        <v>688.25544876545769</v>
      </c>
      <c r="EO57" s="59">
        <f ca="1">AVERAGE(OFFSET($EN$3,0,0,'Données projet'!$E$15+1,1))-AVERAGE(OFFSET($H$3,0,0,'Données projet'!$E$15+1,1))</f>
        <v>525.74725170626471</v>
      </c>
      <c r="EP57" s="59">
        <f t="shared" si="46"/>
        <v>259.19103598192197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3.3603333333333336</v>
      </c>
      <c r="N58" s="13">
        <f>IF('Données projet'!$A$36&gt;35,N57+M58-V57,IF(A58&lt;'Données projet'!$A$36,$K$205^A58,IF(A58='Données projet'!$A$36,'Données projet'!$B$36,N57+M58-V57)))</f>
        <v>184.81833333333324</v>
      </c>
      <c r="O58" s="13">
        <f>N58*VLOOKUP('Données projet'!$B$9,Paramètres!$A$1:$I$89,3,0)*VLOOKUP('Données projet'!$B$9,Paramètres!$A$1:$I$89,5,0)</f>
        <v>187.40578999999991</v>
      </c>
      <c r="P58" s="13">
        <f t="shared" si="33"/>
        <v>46.96595175625901</v>
      </c>
      <c r="Q58" s="20">
        <f t="shared" si="53"/>
        <v>408.19745022548432</v>
      </c>
      <c r="R58" s="59">
        <f t="shared" si="0"/>
        <v>701.53078355881757</v>
      </c>
      <c r="S58" s="59">
        <f ca="1">AVERAGE(OFFSET($R$3,0,0,'Données projet'!$E$9+1,1))-AVERAGE(OFFSET($H$3,0,0,'Données projet'!$E$9+1,1))</f>
        <v>533.26035274112917</v>
      </c>
      <c r="T58" s="59">
        <f t="shared" si="34"/>
        <v>262.58149402282521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9.1524999999999999</v>
      </c>
      <c r="AI58" s="13">
        <f>IF('Données projet'!$A$62&gt;35,AI57+AH58-AQ57,IF(A58&lt;'Données projet'!$A$62,$AF$205^A58,IF(A58='Données projet'!$A$62,'Données projet'!$B$62,AI57+AH58-AQ57)))</f>
        <v>180.69000000000028</v>
      </c>
      <c r="AJ58" s="13">
        <f>AI58*VLOOKUP('Données projet'!$B$10,Paramètres!$A$1:$I$89,3,0)*VLOOKUP('Données projet'!$B$10,Paramètres!$A$1:$I$89,5,0)</f>
        <v>163.48831200000026</v>
      </c>
      <c r="AK58" s="13">
        <f t="shared" si="35"/>
        <v>41.62832357521188</v>
      </c>
      <c r="AL58" s="20">
        <f t="shared" si="4"/>
        <v>357.24480696016116</v>
      </c>
      <c r="AM58" s="59">
        <f t="shared" si="5"/>
        <v>650.57814029349447</v>
      </c>
      <c r="AN58" s="59">
        <f ca="1">AVERAGE(OFFSET($AM$3,0,0,'Données projet'!$E$10+1,1))-AVERAGE(OFFSET($H$3,0,0,'Données projet'!$E$10+1,1))</f>
        <v>482.62991869403385</v>
      </c>
      <c r="AO58" s="59">
        <f t="shared" si="36"/>
        <v>310.43914804089906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34.332005360254286</v>
      </c>
      <c r="AW58" s="21">
        <f>EXP(-LN(2)/2)*AW57+(1-EXP(-LN(2)/2))/(LN(2)/2)*AQ58*AT58*VLOOKUP('Données projet'!$B$10,Paramètres!$A$1:$I$89,3,0)*0.475*44/12</f>
        <v>2.3710588508081472</v>
      </c>
      <c r="AX58" s="21">
        <f t="shared" si="6"/>
        <v>36.703064211062433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279</v>
      </c>
      <c r="BB58" s="12">
        <f>VLOOKUP(A58,'Données projet'!$A$87:$I$107,9,0)</f>
        <v>7.4</v>
      </c>
      <c r="BC58" s="12">
        <f t="array" ref="BC58">INDEX(BB:BB,MIN(IF(ISNUMBER(BB58:BB254),ROW(BB58:BB254),"")))</f>
        <v>7.4</v>
      </c>
      <c r="BD58" s="12">
        <f>IF('Données projet'!$A$88&gt;35,BD57+BC58-BL57,IF(A58&lt;'Données projet'!$A$88,$BA$205^A58,IF(A58='Données projet'!$A$88,'Données projet'!$B$88,BD57+BC58-BL57)))</f>
        <v>278.99999999999994</v>
      </c>
      <c r="BE58" s="13">
        <f>BD58*VLOOKUP('Données projet'!$B$11,Paramètres!$A$1:$I$89,3,0)*VLOOKUP('Données projet'!$B$11,Paramètres!$A$1:$I$89,5,0)</f>
        <v>243.73439999999997</v>
      </c>
      <c r="BF58" s="13">
        <f t="shared" si="37"/>
        <v>59.242281392848817</v>
      </c>
      <c r="BG58" s="20">
        <f t="shared" si="7"/>
        <v>527.68438675921152</v>
      </c>
      <c r="BH58" s="59">
        <f t="shared" si="8"/>
        <v>821.01772009254478</v>
      </c>
      <c r="BI58" s="59">
        <f ca="1">AVERAGE(OFFSET($BH$3,0,0,'Données projet'!$E$11+1,1))-AVERAGE(OFFSET($H$3,0,0,'Données projet'!$E$11+1,1))</f>
        <v>384.34044781465661</v>
      </c>
      <c r="BJ58" s="59">
        <f t="shared" si="38"/>
        <v>374.99493809709708</v>
      </c>
      <c r="BK58" s="15">
        <f>IF(ISNA(VLOOKUP(A58,'Données projet'!$A$87:$I$107,3,0)),0,VLOOKUP(A58,'Données projet'!$A$87:$I$107,3,0))</f>
        <v>9</v>
      </c>
      <c r="BL58" s="15">
        <f>IF(ISNA(VLOOKUP(A58,'Données projet'!$A$87:$I$107,4,0)),0,VLOOKUP(A58,'Données projet'!$A$87:$I$107,4,0))</f>
        <v>16</v>
      </c>
      <c r="BM58" s="16">
        <f>IF(ISNA(VLOOKUP(A58,'Données projet'!$A$87:$I$107,5,0)),0%,VLOOKUP(A58,'Données projet'!$A$87:$I$107,5,0)*VLOOKUP('Données projet'!$B$11,Paramètres!$A$1:$I$89,7,0))</f>
        <v>0.13250000000000001</v>
      </c>
      <c r="BN58" s="16">
        <f>IF(ISNA(VLOOKUP(A58,'Données projet'!$A$87:$I$107,6,0)),0%,VLOOKUP(A58,'Données projet'!$A$87:$I$107,6,0)*VLOOKUP('Données projet'!$B$11,Paramètres!$A$1:$I$89,7,0))</f>
        <v>0.13250000000000001</v>
      </c>
      <c r="BO58" s="16">
        <f>IF(ISNA(VLOOKUP(A58,'Données projet'!$A$87:$I$107,7,0)),0%,VLOOKUP(A58,'Données projet'!$A$87:$I$107,7,0))</f>
        <v>0.25</v>
      </c>
      <c r="BP58" s="21">
        <f>EXP(-LN(2)/35)*BP57+(1-EXP(-LN(2)/35))/(LN(2)/35)*BL58*BM58*VLOOKUP('Données projet'!$B$11,Paramètres!$A$1:$I$89,3,0)*0.475*44/12</f>
        <v>15.839923309706451</v>
      </c>
      <c r="BQ58" s="21">
        <f>EXP(-LN(2)/25)*BQ57+(1-EXP(-LN(2)/25))/(LN(2)/25)*Calculateur!BL58*Calculateur!BN58*VLOOKUP('Données projet'!$B$11,Paramètres!$A$1:$I$89,3,0)*0.475*44/12</f>
        <v>19.179141734629059</v>
      </c>
      <c r="BR58" s="21">
        <f>EXP(-LN(2)/2)*BR57+(1-EXP(-LN(2)/2))/(LN(2)/2)*BL58*BO58*VLOOKUP('Données projet'!$B$11,Paramètres!$A$1:$I$89,3,0)*0.475*44/12</f>
        <v>4.1921332397228612</v>
      </c>
      <c r="BS58" s="22">
        <f t="shared" si="9"/>
        <v>39.211198284058376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9.1524999999999999</v>
      </c>
      <c r="BY58" s="12">
        <f>IF('Données projet'!$A$114&gt;35,BY57+BX58-CG57,IF(A58&lt;'Données projet'!$A$114,$BV$205^A58,IF(A58='Données projet'!$A$114,'Données projet'!$B$114,BY57+BX58-CG57)))</f>
        <v>180.69000000000028</v>
      </c>
      <c r="BZ58" s="13">
        <f>BY58*VLOOKUP('Données projet'!$B$12,Paramètres!$A$1:$I$89,3,0)*VLOOKUP('Données projet'!$B$12,Paramètres!$A$1:$I$89,5,0)</f>
        <v>171.94460400000028</v>
      </c>
      <c r="CA58" s="13">
        <f t="shared" si="39"/>
        <v>43.525261471752586</v>
      </c>
      <c r="CB58" s="20">
        <f t="shared" si="10"/>
        <v>375.27668236330288</v>
      </c>
      <c r="CC58" s="59">
        <f t="shared" si="11"/>
        <v>668.6100156966362</v>
      </c>
      <c r="CD58" s="59">
        <f ca="1">AVERAGE(OFFSET($CC$3,0,0,'Données projet'!$E$12+1,1))-AVERAGE(OFFSET($H$3,0,0,'Données projet'!$E$12+1,1))</f>
        <v>513.14430745499283</v>
      </c>
      <c r="CE58" s="59">
        <f t="shared" si="40"/>
        <v>324.2490378019823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36.107798740957094</v>
      </c>
      <c r="CM58" s="21">
        <f>EXP(-LN(2)/2)*CM57+(1-EXP(-LN(2)/2))/(LN(2)/2)*CG58*CJ58*VLOOKUP('Données projet'!$B$12,Paramètres!$A$1:$I$89,3,0)*0.475*44/12</f>
        <v>2.4936998258499492</v>
      </c>
      <c r="CN58" s="22">
        <f t="shared" si="12"/>
        <v>38.601498566807045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6.0096153846153868</v>
      </c>
      <c r="CT58" s="12">
        <f>IF('Données projet'!$A$140&gt;35,CT57+CS58-DB57,IF(A58&lt;'Données projet'!$A$140,$CQ$205^A58,IF(A58='Données projet'!$A$140,'Données projet'!$B$140,CT57+CS58-DB57)))</f>
        <v>160.33653846153845</v>
      </c>
      <c r="CU58" s="17">
        <f>CT58*VLOOKUP('Données projet'!$B$13,Paramètres!$A$1:$I$89,3,0)*VLOOKUP('Données projet'!$B$13,Paramètres!$A$1:$I$89,5,0)</f>
        <v>125.0625</v>
      </c>
      <c r="CV58" s="13">
        <f t="shared" si="41"/>
        <v>32.852889709555718</v>
      </c>
      <c r="CW58" s="20">
        <f t="shared" si="13"/>
        <v>275.03597041080951</v>
      </c>
      <c r="CX58" s="59">
        <f t="shared" si="14"/>
        <v>568.36930374414283</v>
      </c>
      <c r="CY58" s="59">
        <f ca="1">AVERAGE(OFFSET($CX$3,0,0,'Données projet'!$E$13+1,1))-AVERAGE(OFFSET($H$3,0,0,'Données projet'!$E$13+1,1))</f>
        <v>197.51452239559433</v>
      </c>
      <c r="CZ58" s="59">
        <f t="shared" si="42"/>
        <v>196.65166921588821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7.5699916855958351</v>
      </c>
      <c r="DG58" s="21">
        <f>EXP(-LN(2)/25)*DG57+(1-EXP(-LN(2)/25))/(LN(2)/25)*Calculateur!DB58*Calculateur!DD58*VLOOKUP('Données projet'!$B$13,Paramètres!$A$1:$I$89,3,0)*0.475*44/12</f>
        <v>8.1937386346840118</v>
      </c>
      <c r="DH58" s="21">
        <f>EXP(-LN(2)/2)*DH57+(1-EXP(-LN(2)/2))/(LN(2)/2)*DB58*DE58*VLOOKUP('Données projet'!$B$13,Paramètres!$A$1:$I$89,3,0)*0.475*44/12</f>
        <v>2.1230299994508175</v>
      </c>
      <c r="DI58" s="22">
        <f t="shared" si="15"/>
        <v>17.886760319730666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116.02564102564102</v>
      </c>
      <c r="DM58" s="12">
        <f>VLOOKUP(A58,'Données projet'!$A$165:$I$185,9,0)</f>
        <v>3.3333333333333344</v>
      </c>
      <c r="DN58" s="12">
        <f t="array" ref="DN58">INDEX(DM:DM,MIN(IF(ISNUMBER(DM58:DM254),ROW(DM58:DM254),"")))</f>
        <v>3.3333333333333344</v>
      </c>
      <c r="DO58" s="12">
        <f>IF('Données projet'!$A$166&gt;35,DO57+DN58-DW57,IF(A58&lt;'Données projet'!$A$166,$DL$205^A58,IF(A58='Données projet'!$A$166,'Données projet'!$B$166,DO57+DN58-DW57)))</f>
        <v>116.02564102564097</v>
      </c>
      <c r="DP58" s="17">
        <f>DO58*VLOOKUP('Données projet'!$B$14,Paramètres!$A$1:$I$89,3,0)*VLOOKUP('Données projet'!$B$14,Paramètres!$A$1:$I$89,5,0)</f>
        <v>121.26999999999994</v>
      </c>
      <c r="DQ58" s="13">
        <f t="shared" si="43"/>
        <v>31.971024204432702</v>
      </c>
      <c r="DR58" s="20">
        <f t="shared" si="16"/>
        <v>266.89478382272017</v>
      </c>
      <c r="DS58" s="59">
        <f t="shared" si="17"/>
        <v>560.22811715605349</v>
      </c>
      <c r="DT58" s="59">
        <f ca="1">AVERAGE(OFFSET($DS$3,0,0,'Données projet'!$E$14+1,1))-AVERAGE(OFFSET($H$3,0,0,'Données projet'!$E$14+1,1))</f>
        <v>239.26156489359892</v>
      </c>
      <c r="DU58" s="59">
        <f t="shared" si="44"/>
        <v>213.97034450798111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10.897435897435898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0.215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16.021875216454657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16.021875216454657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3.3603333333333336</v>
      </c>
      <c r="EJ58" s="12">
        <f>IF('Données projet'!$A$192&gt;35,EJ57+EI58-ER57,IF(A58&lt;'Données projet'!$A$192,$EG$205^A58,IF(A58='Données projet'!$A$192,'Données projet'!$B$192,EJ57+EI58-ER57)))</f>
        <v>184.81833333333324</v>
      </c>
      <c r="EK58" s="17">
        <f>EJ58*VLOOKUP('Données projet'!$B$15,Paramètres!$A$1:$I$89,3,0)*VLOOKUP('Données projet'!$B$15,Paramètres!$A$1:$I$89,5,0)</f>
        <v>184.52262399999992</v>
      </c>
      <c r="EL58" s="13">
        <f t="shared" si="45"/>
        <v>46.326928877462514</v>
      </c>
      <c r="EM58" s="20">
        <f t="shared" si="19"/>
        <v>402.06297126158034</v>
      </c>
      <c r="EN58" s="59">
        <f t="shared" si="20"/>
        <v>695.39630459491366</v>
      </c>
      <c r="EO58" s="59">
        <f ca="1">AVERAGE(OFFSET($EN$3,0,0,'Données projet'!$E$15+1,1))-AVERAGE(OFFSET($H$3,0,0,'Données projet'!$E$15+1,1))</f>
        <v>525.74725170626471</v>
      </c>
      <c r="EP58" s="59">
        <f t="shared" si="46"/>
        <v>259.19103598192197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3.3603333333333336</v>
      </c>
      <c r="N59" s="13">
        <f>IF('Données projet'!$A$36&gt;35,N58+M59-V58,IF(A59&lt;'Données projet'!$A$36,$K$205^A59,IF(A59='Données projet'!$A$36,'Données projet'!$B$36,N58+M59-V58)))</f>
        <v>188.17866666666657</v>
      </c>
      <c r="O59" s="13">
        <f>N59*VLOOKUP('Données projet'!$B$9,Paramètres!$A$1:$I$89,3,0)*VLOOKUP('Données projet'!$B$9,Paramètres!$A$1:$I$89,5,0)</f>
        <v>190.81316799999991</v>
      </c>
      <c r="P59" s="13">
        <f t="shared" si="33"/>
        <v>47.719688040962872</v>
      </c>
      <c r="Q59" s="20">
        <f t="shared" si="53"/>
        <v>415.44472427134343</v>
      </c>
      <c r="R59" s="59">
        <f t="shared" si="0"/>
        <v>708.77805760467675</v>
      </c>
      <c r="S59" s="59">
        <f ca="1">AVERAGE(OFFSET($R$3,0,0,'Données projet'!$E$9+1,1))-AVERAGE(OFFSET($H$3,0,0,'Données projet'!$E$9+1,1))</f>
        <v>533.26035274112917</v>
      </c>
      <c r="T59" s="59">
        <f t="shared" si="34"/>
        <v>262.58149402282521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9.1524999999999999</v>
      </c>
      <c r="AI59" s="13">
        <f>IF('Données projet'!$A$62&gt;35,AI58+AH59-AQ58,IF(A59&lt;'Données projet'!$A$62,$AF$205^A59,IF(A59='Données projet'!$A$62,'Données projet'!$B$62,AI58+AH59-AQ58)))</f>
        <v>189.84250000000029</v>
      </c>
      <c r="AJ59" s="13">
        <f>AI59*VLOOKUP('Données projet'!$B$10,Paramètres!$A$1:$I$89,3,0)*VLOOKUP('Données projet'!$B$10,Paramètres!$A$1:$I$89,5,0)</f>
        <v>171.76949400000024</v>
      </c>
      <c r="AK59" s="13">
        <f t="shared" si="35"/>
        <v>43.486092222917399</v>
      </c>
      <c r="AL59" s="20">
        <f t="shared" si="4"/>
        <v>374.90347933824819</v>
      </c>
      <c r="AM59" s="59">
        <f t="shared" si="5"/>
        <v>668.23681267158145</v>
      </c>
      <c r="AN59" s="59">
        <f ca="1">AVERAGE(OFFSET($AM$3,0,0,'Données projet'!$E$10+1,1))-AVERAGE(OFFSET($H$3,0,0,'Données projet'!$E$10+1,1))</f>
        <v>482.62991869403385</v>
      </c>
      <c r="AO59" s="59">
        <f t="shared" si="36"/>
        <v>310.43914804089906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33.393194868236435</v>
      </c>
      <c r="AW59" s="21">
        <f>EXP(-LN(2)/2)*AW58+(1-EXP(-LN(2)/2))/(LN(2)/2)*AQ59*AT59*VLOOKUP('Données projet'!$B$10,Paramètres!$A$1:$I$89,3,0)*0.475*44/12</f>
        <v>1.6765917919988234</v>
      </c>
      <c r="AX59" s="21">
        <f t="shared" si="6"/>
        <v>35.069786660235259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6.2</v>
      </c>
      <c r="BD59" s="12">
        <f>IF('Données projet'!$A$88&gt;35,BD58+BC59-BL58,IF(A59&lt;'Données projet'!$A$88,$BA$205^A59,IF(A59='Données projet'!$A$88,'Données projet'!$B$88,BD58+BC59-BL58)))</f>
        <v>269.19999999999993</v>
      </c>
      <c r="BE59" s="13">
        <f>BD59*VLOOKUP('Données projet'!$B$11,Paramètres!$A$1:$I$89,3,0)*VLOOKUP('Données projet'!$B$11,Paramètres!$A$1:$I$89,5,0)</f>
        <v>235.17311999999998</v>
      </c>
      <c r="BF59" s="13">
        <f t="shared" si="37"/>
        <v>57.399778925799218</v>
      </c>
      <c r="BG59" s="20">
        <f t="shared" si="7"/>
        <v>509.56446562910031</v>
      </c>
      <c r="BH59" s="59">
        <f t="shared" si="8"/>
        <v>802.89779896243363</v>
      </c>
      <c r="BI59" s="59">
        <f ca="1">AVERAGE(OFFSET($BH$3,0,0,'Données projet'!$E$11+1,1))-AVERAGE(OFFSET($H$3,0,0,'Données projet'!$E$11+1,1))</f>
        <v>384.34044781465661</v>
      </c>
      <c r="BJ59" s="59">
        <f t="shared" si="38"/>
        <v>374.99493809709708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15.529312075002343</v>
      </c>
      <c r="BQ59" s="21">
        <f>EXP(-LN(2)/25)*BQ58+(1-EXP(-LN(2)/25))/(LN(2)/25)*Calculateur!BL59*Calculateur!BN59*VLOOKUP('Données projet'!$B$11,Paramètres!$A$1:$I$89,3,0)*0.475*44/12</f>
        <v>18.654687095308397</v>
      </c>
      <c r="BR59" s="21">
        <f>EXP(-LN(2)/2)*BR58+(1-EXP(-LN(2)/2))/(LN(2)/2)*BL59*BO59*VLOOKUP('Données projet'!$B$11,Paramètres!$A$1:$I$89,3,0)*0.475*44/12</f>
        <v>2.9642858414455659</v>
      </c>
      <c r="BS59" s="22">
        <f t="shared" si="9"/>
        <v>37.148285011756307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9.1524999999999999</v>
      </c>
      <c r="BY59" s="12">
        <f>IF('Données projet'!$A$114&gt;35,BY58+BX59-CG58,IF(A59&lt;'Données projet'!$A$114,$BV$205^A59,IF(A59='Données projet'!$A$114,'Données projet'!$B$114,BY58+BX59-CG58)))</f>
        <v>189.84250000000029</v>
      </c>
      <c r="BZ59" s="13">
        <f>BY59*VLOOKUP('Données projet'!$B$12,Paramètres!$A$1:$I$89,3,0)*VLOOKUP('Données projet'!$B$12,Paramètres!$A$1:$I$89,5,0)</f>
        <v>180.65412300000028</v>
      </c>
      <c r="CA59" s="13">
        <f t="shared" si="39"/>
        <v>45.467685744479148</v>
      </c>
      <c r="CB59" s="20">
        <f t="shared" si="10"/>
        <v>393.82881689663503</v>
      </c>
      <c r="CC59" s="59">
        <f t="shared" si="11"/>
        <v>687.16215022996835</v>
      </c>
      <c r="CD59" s="59">
        <f ca="1">AVERAGE(OFFSET($CC$3,0,0,'Données projet'!$E$12+1,1))-AVERAGE(OFFSET($H$3,0,0,'Données projet'!$E$12+1,1))</f>
        <v>513.14430745499283</v>
      </c>
      <c r="CE59" s="59">
        <f t="shared" si="40"/>
        <v>324.2490378019823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35.12042908555901</v>
      </c>
      <c r="CM59" s="21">
        <f>EXP(-LN(2)/2)*CM58+(1-EXP(-LN(2)/2))/(LN(2)/2)*CG59*CJ59*VLOOKUP('Données projet'!$B$12,Paramètres!$A$1:$I$89,3,0)*0.475*44/12</f>
        <v>1.7633120571022118</v>
      </c>
      <c r="CN59" s="22">
        <f t="shared" si="12"/>
        <v>36.883741142661222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6.0096153846153868</v>
      </c>
      <c r="CT59" s="12">
        <f>IF('Données projet'!$A$140&gt;35,CT58+CS59-DB58,IF(A59&lt;'Données projet'!$A$140,$CQ$205^A59,IF(A59='Données projet'!$A$140,'Données projet'!$B$140,CT58+CS59-DB58)))</f>
        <v>166.34615384615384</v>
      </c>
      <c r="CU59" s="17">
        <f>CT59*VLOOKUP('Données projet'!$B$13,Paramètres!$A$1:$I$89,3,0)*VLOOKUP('Données projet'!$B$13,Paramètres!$A$1:$I$89,5,0)</f>
        <v>129.75</v>
      </c>
      <c r="CV59" s="13">
        <f t="shared" si="41"/>
        <v>33.938585202364465</v>
      </c>
      <c r="CW59" s="20">
        <f t="shared" si="13"/>
        <v>285.09095256078473</v>
      </c>
      <c r="CX59" s="59">
        <f t="shared" si="14"/>
        <v>578.42428589411804</v>
      </c>
      <c r="CY59" s="59">
        <f ca="1">AVERAGE(OFFSET($CX$3,0,0,'Données projet'!$E$13+1,1))-AVERAGE(OFFSET($H$3,0,0,'Données projet'!$E$13+1,1))</f>
        <v>197.51452239559433</v>
      </c>
      <c r="CZ59" s="59">
        <f t="shared" si="42"/>
        <v>196.65166921588821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7.4215487658803143</v>
      </c>
      <c r="DG59" s="21">
        <f>EXP(-LN(2)/25)*DG58+(1-EXP(-LN(2)/25))/(LN(2)/25)*Calculateur!DB59*Calculateur!DD59*VLOOKUP('Données projet'!$B$13,Paramètres!$A$1:$I$89,3,0)*0.475*44/12</f>
        <v>7.9696804208285901</v>
      </c>
      <c r="DH59" s="21">
        <f>EXP(-LN(2)/2)*DH58+(1-EXP(-LN(2)/2))/(LN(2)/2)*DB59*DE59*VLOOKUP('Données projet'!$B$13,Paramètres!$A$1:$I$89,3,0)*0.475*44/12</f>
        <v>1.5012089092741454</v>
      </c>
      <c r="DI59" s="22">
        <f t="shared" si="15"/>
        <v>16.892438095983049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3.2051282051282071</v>
      </c>
      <c r="DO59" s="12">
        <f>IF('Données projet'!$A$166&gt;35,DO58+DN59-DW58,IF(A59&lt;'Données projet'!$A$166,$DL$205^A59,IF(A59='Données projet'!$A$166,'Données projet'!$B$166,DO58+DN59-DW58)))</f>
        <v>108.33333333333327</v>
      </c>
      <c r="DP59" s="17">
        <f>DO59*VLOOKUP('Données projet'!$B$14,Paramètres!$A$1:$I$89,3,0)*VLOOKUP('Données projet'!$B$14,Paramètres!$A$1:$I$89,5,0)</f>
        <v>113.22999999999995</v>
      </c>
      <c r="DQ59" s="13">
        <f t="shared" si="43"/>
        <v>30.090711216212426</v>
      </c>
      <c r="DR59" s="20">
        <f t="shared" si="16"/>
        <v>249.61690536823653</v>
      </c>
      <c r="DS59" s="59">
        <f t="shared" si="17"/>
        <v>542.95023870156979</v>
      </c>
      <c r="DT59" s="59">
        <f ca="1">AVERAGE(OFFSET($DS$3,0,0,'Données projet'!$E$14+1,1))-AVERAGE(OFFSET($H$3,0,0,'Données projet'!$E$14+1,1))</f>
        <v>239.26156489359892</v>
      </c>
      <c r="DU59" s="59">
        <f t="shared" si="44"/>
        <v>213.97034450798111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15.583756196106904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15.583756196106904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3.3603333333333336</v>
      </c>
      <c r="EJ59" s="12">
        <f>IF('Données projet'!$A$192&gt;35,EJ58+EI59-ER58,IF(A59&lt;'Données projet'!$A$192,$EG$205^A59,IF(A59='Données projet'!$A$192,'Données projet'!$B$192,EJ58+EI59-ER58)))</f>
        <v>188.17866666666657</v>
      </c>
      <c r="EK59" s="17">
        <f>EJ59*VLOOKUP('Données projet'!$B$15,Paramètres!$A$1:$I$89,3,0)*VLOOKUP('Données projet'!$B$15,Paramètres!$A$1:$I$89,5,0)</f>
        <v>187.87758079999992</v>
      </c>
      <c r="EL59" s="13">
        <f t="shared" si="45"/>
        <v>47.070409759848495</v>
      </c>
      <c r="EM59" s="20">
        <f t="shared" si="19"/>
        <v>409.20108355840267</v>
      </c>
      <c r="EN59" s="59">
        <f t="shared" si="20"/>
        <v>702.53441689173599</v>
      </c>
      <c r="EO59" s="59">
        <f ca="1">AVERAGE(OFFSET($EN$3,0,0,'Données projet'!$E$15+1,1))-AVERAGE(OFFSET($H$3,0,0,'Données projet'!$E$15+1,1))</f>
        <v>525.74725170626471</v>
      </c>
      <c r="EP59" s="59">
        <f t="shared" si="46"/>
        <v>259.19103598192197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3.3603333333333336</v>
      </c>
      <c r="N60" s="13">
        <f>IF('Données projet'!$A$36&gt;35,N59+M60-V59,IF(A60&lt;'Données projet'!$A$36,$K$205^A60,IF(A60='Données projet'!$A$36,'Données projet'!$B$36,N59+M60-V59)))</f>
        <v>191.5389999999999</v>
      </c>
      <c r="O60" s="13">
        <f>N60*VLOOKUP('Données projet'!$B$9,Paramètres!$A$1:$I$89,3,0)*VLOOKUP('Données projet'!$B$9,Paramètres!$A$1:$I$89,5,0)</f>
        <v>194.22054599999993</v>
      </c>
      <c r="P60" s="13">
        <f t="shared" si="33"/>
        <v>48.471859170137883</v>
      </c>
      <c r="Q60" s="20">
        <f t="shared" si="53"/>
        <v>422.68927233798996</v>
      </c>
      <c r="R60" s="59">
        <f t="shared" si="0"/>
        <v>716.02260567132328</v>
      </c>
      <c r="S60" s="59">
        <f ca="1">AVERAGE(OFFSET($R$3,0,0,'Données projet'!$E$9+1,1))-AVERAGE(OFFSET($H$3,0,0,'Données projet'!$E$9+1,1))</f>
        <v>533.26035274112917</v>
      </c>
      <c r="T60" s="59">
        <f t="shared" si="34"/>
        <v>262.58149402282521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9.1524999999999999</v>
      </c>
      <c r="AI60" s="13">
        <f>IF('Données projet'!$A$62&gt;35,AI59+AH60-AQ59,IF(A60&lt;'Données projet'!$A$62,$AF$205^A60,IF(A60='Données projet'!$A$62,'Données projet'!$B$62,AI59+AH60-AQ59)))</f>
        <v>198.99500000000029</v>
      </c>
      <c r="AJ60" s="13">
        <f>AI60*VLOOKUP('Données projet'!$B$10,Paramètres!$A$1:$I$89,3,0)*VLOOKUP('Données projet'!$B$10,Paramètres!$A$1:$I$89,5,0)</f>
        <v>180.05067600000027</v>
      </c>
      <c r="AK60" s="13">
        <f t="shared" si="35"/>
        <v>45.333460458198495</v>
      </c>
      <c r="AL60" s="20">
        <f t="shared" si="4"/>
        <v>392.54403766469613</v>
      </c>
      <c r="AM60" s="59">
        <f t="shared" si="5"/>
        <v>685.87737099802939</v>
      </c>
      <c r="AN60" s="59">
        <f ca="1">AVERAGE(OFFSET($AM$3,0,0,'Données projet'!$E$10+1,1))-AVERAGE(OFFSET($H$3,0,0,'Données projet'!$E$10+1,1))</f>
        <v>482.62991869403385</v>
      </c>
      <c r="AO60" s="59">
        <f t="shared" si="36"/>
        <v>310.43914804089906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32.480056198492711</v>
      </c>
      <c r="AW60" s="21">
        <f>EXP(-LN(2)/2)*AW59+(1-EXP(-LN(2)/2))/(LN(2)/2)*AQ60*AT60*VLOOKUP('Données projet'!$B$10,Paramètres!$A$1:$I$89,3,0)*0.475*44/12</f>
        <v>1.1855294254040736</v>
      </c>
      <c r="AX60" s="21">
        <f t="shared" si="6"/>
        <v>33.665585623896789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6.2</v>
      </c>
      <c r="BD60" s="12">
        <f>IF('Données projet'!$A$88&gt;35,BD59+BC60-BL59,IF(A60&lt;'Données projet'!$A$88,$BA$205^A60,IF(A60='Données projet'!$A$88,'Données projet'!$B$88,BD59+BC60-BL59)))</f>
        <v>275.39999999999992</v>
      </c>
      <c r="BE60" s="13">
        <f>BD60*VLOOKUP('Données projet'!$B$11,Paramètres!$A$1:$I$89,3,0)*VLOOKUP('Données projet'!$B$11,Paramètres!$A$1:$I$89,5,0)</f>
        <v>240.58943999999994</v>
      </c>
      <c r="BF60" s="13">
        <f t="shared" si="37"/>
        <v>58.56633325847811</v>
      </c>
      <c r="BG60" s="20">
        <f t="shared" si="7"/>
        <v>521.02963842518261</v>
      </c>
      <c r="BH60" s="59">
        <f t="shared" si="8"/>
        <v>814.36297175851587</v>
      </c>
      <c r="BI60" s="59">
        <f ca="1">AVERAGE(OFFSET($BH$3,0,0,'Données projet'!$E$11+1,1))-AVERAGE(OFFSET($H$3,0,0,'Données projet'!$E$11+1,1))</f>
        <v>384.34044781465661</v>
      </c>
      <c r="BJ60" s="59">
        <f t="shared" si="38"/>
        <v>374.99493809709708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15.224791737156636</v>
      </c>
      <c r="BQ60" s="21">
        <f>EXP(-LN(2)/25)*BQ59+(1-EXP(-LN(2)/25))/(LN(2)/25)*Calculateur!BL60*Calculateur!BN60*VLOOKUP('Données projet'!$B$11,Paramètres!$A$1:$I$89,3,0)*0.475*44/12</f>
        <v>18.144573695679831</v>
      </c>
      <c r="BR60" s="21">
        <f>EXP(-LN(2)/2)*BR59+(1-EXP(-LN(2)/2))/(LN(2)/2)*BL60*BO60*VLOOKUP('Données projet'!$B$11,Paramètres!$A$1:$I$89,3,0)*0.475*44/12</f>
        <v>2.0960666198614311</v>
      </c>
      <c r="BS60" s="22">
        <f t="shared" si="9"/>
        <v>35.465432052697899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9.1524999999999999</v>
      </c>
      <c r="BY60" s="12">
        <f>IF('Données projet'!$A$114&gt;35,BY59+BX60-CG59,IF(A60&lt;'Données projet'!$A$114,$BV$205^A60,IF(A60='Données projet'!$A$114,'Données projet'!$B$114,BY59+BX60-CG59)))</f>
        <v>198.99500000000029</v>
      </c>
      <c r="BZ60" s="13">
        <f>BY60*VLOOKUP('Données projet'!$B$12,Paramètres!$A$1:$I$89,3,0)*VLOOKUP('Données projet'!$B$12,Paramètres!$A$1:$I$89,5,0)</f>
        <v>189.36364200000028</v>
      </c>
      <c r="CA60" s="13">
        <f t="shared" si="39"/>
        <v>47.399235674178961</v>
      </c>
      <c r="CB60" s="20">
        <f t="shared" si="10"/>
        <v>412.36201194919551</v>
      </c>
      <c r="CC60" s="59">
        <f t="shared" si="11"/>
        <v>705.69534528252882</v>
      </c>
      <c r="CD60" s="59">
        <f ca="1">AVERAGE(OFFSET($CC$3,0,0,'Données projet'!$E$12+1,1))-AVERAGE(OFFSET($H$3,0,0,'Données projet'!$E$12+1,1))</f>
        <v>513.14430745499283</v>
      </c>
      <c r="CE60" s="59">
        <f t="shared" si="40"/>
        <v>324.2490378019823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34.160059105311305</v>
      </c>
      <c r="CM60" s="21">
        <f>EXP(-LN(2)/2)*CM59+(1-EXP(-LN(2)/2))/(LN(2)/2)*CG60*CJ60*VLOOKUP('Données projet'!$B$12,Paramètres!$A$1:$I$89,3,0)*0.475*44/12</f>
        <v>1.2468499129249748</v>
      </c>
      <c r="CN60" s="22">
        <f t="shared" si="12"/>
        <v>35.406909018236277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6.0096153846153868</v>
      </c>
      <c r="CT60" s="12">
        <f>IF('Données projet'!$A$140&gt;35,CT59+CS60-DB59,IF(A60&lt;'Données projet'!$A$140,$CQ$205^A60,IF(A60='Données projet'!$A$140,'Données projet'!$B$140,CT59+CS60-DB59)))</f>
        <v>172.35576923076923</v>
      </c>
      <c r="CU60" s="17">
        <f>CT60*VLOOKUP('Données projet'!$B$13,Paramètres!$A$1:$I$89,3,0)*VLOOKUP('Données projet'!$B$13,Paramètres!$A$1:$I$89,5,0)</f>
        <v>134.4375</v>
      </c>
      <c r="CV60" s="13">
        <f t="shared" si="41"/>
        <v>35.019723665000747</v>
      </c>
      <c r="CW60" s="20">
        <f t="shared" si="13"/>
        <v>295.13799788320961</v>
      </c>
      <c r="CX60" s="59">
        <f t="shared" si="14"/>
        <v>588.47133121654292</v>
      </c>
      <c r="CY60" s="59">
        <f ca="1">AVERAGE(OFFSET($CX$3,0,0,'Données projet'!$E$13+1,1))-AVERAGE(OFFSET($H$3,0,0,'Données projet'!$E$13+1,1))</f>
        <v>197.51452239559433</v>
      </c>
      <c r="CZ60" s="59">
        <f t="shared" si="42"/>
        <v>196.65166921588821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7.2760167212791744</v>
      </c>
      <c r="DG60" s="21">
        <f>EXP(-LN(2)/25)*DG59+(1-EXP(-LN(2)/25))/(LN(2)/25)*Calculateur!DB60*Calculateur!DD60*VLOOKUP('Données projet'!$B$13,Paramètres!$A$1:$I$89,3,0)*0.475*44/12</f>
        <v>7.7517490906137541</v>
      </c>
      <c r="DH60" s="21">
        <f>EXP(-LN(2)/2)*DH59+(1-EXP(-LN(2)/2))/(LN(2)/2)*DB60*DE60*VLOOKUP('Données projet'!$B$13,Paramètres!$A$1:$I$89,3,0)*0.475*44/12</f>
        <v>1.061514999725409</v>
      </c>
      <c r="DI60" s="22">
        <f t="shared" si="15"/>
        <v>16.089280811618337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3.2051282051282071</v>
      </c>
      <c r="DO60" s="12">
        <f>IF('Données projet'!$A$166&gt;35,DO59+DN60-DW59,IF(A60&lt;'Données projet'!$A$166,$DL$205^A60,IF(A60='Données projet'!$A$166,'Données projet'!$B$166,DO59+DN60-DW59)))</f>
        <v>111.53846153846148</v>
      </c>
      <c r="DP60" s="17">
        <f>DO60*VLOOKUP('Données projet'!$B$14,Paramètres!$A$1:$I$89,3,0)*VLOOKUP('Données projet'!$B$14,Paramètres!$A$1:$I$89,5,0)</f>
        <v>116.57999999999996</v>
      </c>
      <c r="DQ60" s="13">
        <f t="shared" si="43"/>
        <v>30.876003132466991</v>
      </c>
      <c r="DR60" s="20">
        <f t="shared" si="16"/>
        <v>256.81920545571325</v>
      </c>
      <c r="DS60" s="59">
        <f t="shared" si="17"/>
        <v>550.1525387890465</v>
      </c>
      <c r="DT60" s="59">
        <f ca="1">AVERAGE(OFFSET($DS$3,0,0,'Données projet'!$E$14+1,1))-AVERAGE(OFFSET($H$3,0,0,'Données projet'!$E$14+1,1))</f>
        <v>239.26156489359892</v>
      </c>
      <c r="DU60" s="59">
        <f t="shared" si="44"/>
        <v>213.97034450798111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15.157617563410239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15.157617563410239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3.3603333333333336</v>
      </c>
      <c r="EJ60" s="12">
        <f>IF('Données projet'!$A$192&gt;35,EJ59+EI60-ER59,IF(A60&lt;'Données projet'!$A$192,$EG$205^A60,IF(A60='Données projet'!$A$192,'Données projet'!$B$192,EJ59+EI60-ER59)))</f>
        <v>191.5389999999999</v>
      </c>
      <c r="EK60" s="17">
        <f>EJ60*VLOOKUP('Données projet'!$B$15,Paramètres!$A$1:$I$89,3,0)*VLOOKUP('Données projet'!$B$15,Paramètres!$A$1:$I$89,5,0)</f>
        <v>191.23253759999992</v>
      </c>
      <c r="EL60" s="13">
        <f t="shared" si="45"/>
        <v>47.812346782349593</v>
      </c>
      <c r="EM60" s="20">
        <f t="shared" si="19"/>
        <v>416.33650696592531</v>
      </c>
      <c r="EN60" s="59">
        <f t="shared" si="20"/>
        <v>709.66984029925857</v>
      </c>
      <c r="EO60" s="59">
        <f ca="1">AVERAGE(OFFSET($EN$3,0,0,'Données projet'!$E$15+1,1))-AVERAGE(OFFSET($H$3,0,0,'Données projet'!$E$15+1,1))</f>
        <v>525.74725170626471</v>
      </c>
      <c r="EP60" s="59">
        <f t="shared" si="46"/>
        <v>259.19103598192197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3.3603333333333336</v>
      </c>
      <c r="N61" s="13">
        <f>IF('Données projet'!$A$36&gt;35,N60+M61-V60,IF(A61&lt;'Données projet'!$A$36,$K$205^A61,IF(A61='Données projet'!$A$36,'Données projet'!$B$36,N60+M61-V60)))</f>
        <v>194.89933333333323</v>
      </c>
      <c r="O61" s="13">
        <f>N61*VLOOKUP('Données projet'!$B$9,Paramètres!$A$1:$I$89,3,0)*VLOOKUP('Données projet'!$B$9,Paramètres!$A$1:$I$89,5,0)</f>
        <v>197.62792399999992</v>
      </c>
      <c r="P61" s="13">
        <f t="shared" si="33"/>
        <v>49.222495770753348</v>
      </c>
      <c r="Q61" s="20">
        <f t="shared" si="53"/>
        <v>429.93114776739526</v>
      </c>
      <c r="R61" s="59">
        <f t="shared" si="0"/>
        <v>723.26448110072852</v>
      </c>
      <c r="S61" s="59">
        <f ca="1">AVERAGE(OFFSET($R$3,0,0,'Données projet'!$E$9+1,1))-AVERAGE(OFFSET($H$3,0,0,'Données projet'!$E$9+1,1))</f>
        <v>533.26035274112917</v>
      </c>
      <c r="T61" s="59">
        <f t="shared" si="34"/>
        <v>262.58149402282521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9.1524999999999999</v>
      </c>
      <c r="AI61" s="13">
        <f>IF('Données projet'!$A$62&gt;35,AI60+AH61-AQ60,IF(A61&lt;'Données projet'!$A$62,$AF$205^A61,IF(A61='Données projet'!$A$62,'Données projet'!$B$62,AI60+AH61-AQ60)))</f>
        <v>208.14750000000029</v>
      </c>
      <c r="AJ61" s="13">
        <f>AI61*VLOOKUP('Données projet'!$B$10,Paramètres!$A$1:$I$89,3,0)*VLOOKUP('Données projet'!$B$10,Paramètres!$A$1:$I$89,5,0)</f>
        <v>188.33185800000024</v>
      </c>
      <c r="AK61" s="13">
        <f t="shared" si="35"/>
        <v>47.170961271026052</v>
      </c>
      <c r="AL61" s="20">
        <f t="shared" si="4"/>
        <v>410.16741023037071</v>
      </c>
      <c r="AM61" s="59">
        <f t="shared" si="5"/>
        <v>703.50074356370396</v>
      </c>
      <c r="AN61" s="59">
        <f ca="1">AVERAGE(OFFSET($AM$3,0,0,'Données projet'!$E$10+1,1))-AVERAGE(OFFSET($H$3,0,0,'Données projet'!$E$10+1,1))</f>
        <v>482.62991869403385</v>
      </c>
      <c r="AO61" s="59">
        <f t="shared" si="36"/>
        <v>310.43914804089906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31.591887353693007</v>
      </c>
      <c r="AW61" s="21">
        <f>EXP(-LN(2)/2)*AW60+(1-EXP(-LN(2)/2))/(LN(2)/2)*AQ61*AT61*VLOOKUP('Données projet'!$B$10,Paramètres!$A$1:$I$89,3,0)*0.475*44/12</f>
        <v>0.83829589599941168</v>
      </c>
      <c r="AX61" s="21">
        <f t="shared" si="6"/>
        <v>32.430183249692419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6.2</v>
      </c>
      <c r="BD61" s="12">
        <f>IF('Données projet'!$A$88&gt;35,BD60+BC61-BL60,IF(A61&lt;'Données projet'!$A$88,$BA$205^A61,IF(A61='Données projet'!$A$88,'Données projet'!$B$88,BD60+BC61-BL60)))</f>
        <v>281.59999999999991</v>
      </c>
      <c r="BE61" s="13">
        <f>BD61*VLOOKUP('Données projet'!$B$11,Paramètres!$A$1:$I$89,3,0)*VLOOKUP('Données projet'!$B$11,Paramètres!$A$1:$I$89,5,0)</f>
        <v>246.00575999999995</v>
      </c>
      <c r="BF61" s="13">
        <f t="shared" si="37"/>
        <v>59.729834388897928</v>
      </c>
      <c r="BG61" s="20">
        <f t="shared" si="7"/>
        <v>532.48949356066385</v>
      </c>
      <c r="BH61" s="59">
        <f t="shared" si="8"/>
        <v>825.82282689399722</v>
      </c>
      <c r="BI61" s="59">
        <f ca="1">AVERAGE(OFFSET($BH$3,0,0,'Données projet'!$E$11+1,1))-AVERAGE(OFFSET($H$3,0,0,'Données projet'!$E$11+1,1))</f>
        <v>384.34044781465661</v>
      </c>
      <c r="BJ61" s="59">
        <f t="shared" si="38"/>
        <v>374.99493809709708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14.926242857397018</v>
      </c>
      <c r="BQ61" s="21">
        <f>EXP(-LN(2)/25)*BQ60+(1-EXP(-LN(2)/25))/(LN(2)/25)*Calculateur!BL61*Calculateur!BN61*VLOOKUP('Données projet'!$B$11,Paramètres!$A$1:$I$89,3,0)*0.475*44/12</f>
        <v>17.648409373789807</v>
      </c>
      <c r="BR61" s="21">
        <f>EXP(-LN(2)/2)*BR60+(1-EXP(-LN(2)/2))/(LN(2)/2)*BL61*BO61*VLOOKUP('Données projet'!$B$11,Paramètres!$A$1:$I$89,3,0)*0.475*44/12</f>
        <v>1.4821429207227834</v>
      </c>
      <c r="BS61" s="22">
        <f t="shared" si="9"/>
        <v>34.056795151909611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9.1524999999999999</v>
      </c>
      <c r="BY61" s="12">
        <f>IF('Données projet'!$A$114&gt;35,BY60+BX61-CG60,IF(A61&lt;'Données projet'!$A$114,$BV$205^A61,IF(A61='Données projet'!$A$114,'Données projet'!$B$114,BY60+BX61-CG60)))</f>
        <v>208.14750000000029</v>
      </c>
      <c r="BZ61" s="13">
        <f>BY61*VLOOKUP('Données projet'!$B$12,Paramètres!$A$1:$I$89,3,0)*VLOOKUP('Données projet'!$B$12,Paramètres!$A$1:$I$89,5,0)</f>
        <v>198.07316100000028</v>
      </c>
      <c r="CA61" s="13">
        <f t="shared" si="39"/>
        <v>49.320468538345978</v>
      </c>
      <c r="CB61" s="20">
        <f t="shared" si="10"/>
        <v>430.87723811261975</v>
      </c>
      <c r="CC61" s="59">
        <f t="shared" si="11"/>
        <v>724.21057144595306</v>
      </c>
      <c r="CD61" s="59">
        <f ca="1">AVERAGE(OFFSET($CC$3,0,0,'Données projet'!$E$12+1,1))-AVERAGE(OFFSET($H$3,0,0,'Données projet'!$E$12+1,1))</f>
        <v>513.14430745499283</v>
      </c>
      <c r="CE61" s="59">
        <f t="shared" si="40"/>
        <v>324.2490378019823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33.225950492677136</v>
      </c>
      <c r="CM61" s="21">
        <f>EXP(-LN(2)/2)*CM60+(1-EXP(-LN(2)/2))/(LN(2)/2)*CG61*CJ61*VLOOKUP('Données projet'!$B$12,Paramètres!$A$1:$I$89,3,0)*0.475*44/12</f>
        <v>0.88165602855110603</v>
      </c>
      <c r="CN61" s="22">
        <f t="shared" si="12"/>
        <v>34.107606521228242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6.0096153846153868</v>
      </c>
      <c r="CT61" s="12">
        <f>IF('Données projet'!$A$140&gt;35,CT60+CS61-DB60,IF(A61&lt;'Données projet'!$A$140,$CQ$205^A61,IF(A61='Données projet'!$A$140,'Données projet'!$B$140,CT60+CS61-DB60)))</f>
        <v>178.36538461538461</v>
      </c>
      <c r="CU61" s="17">
        <f>CT61*VLOOKUP('Données projet'!$B$13,Paramètres!$A$1:$I$89,3,0)*VLOOKUP('Données projet'!$B$13,Paramètres!$A$1:$I$89,5,0)</f>
        <v>139.125</v>
      </c>
      <c r="CV61" s="13">
        <f t="shared" si="41"/>
        <v>36.096482198248644</v>
      </c>
      <c r="CW61" s="20">
        <f t="shared" si="13"/>
        <v>305.17741482861635</v>
      </c>
      <c r="CX61" s="59">
        <f t="shared" si="14"/>
        <v>598.51074816194966</v>
      </c>
      <c r="CY61" s="59">
        <f ca="1">AVERAGE(OFFSET($CX$3,0,0,'Données projet'!$E$13+1,1))-AVERAGE(OFFSET($H$3,0,0,'Données projet'!$E$13+1,1))</f>
        <v>197.51452239559433</v>
      </c>
      <c r="CZ61" s="59">
        <f t="shared" si="42"/>
        <v>196.65166921588821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7.1333384713068808</v>
      </c>
      <c r="DG61" s="21">
        <f>EXP(-LN(2)/25)*DG60+(1-EXP(-LN(2)/25))/(LN(2)/25)*Calculateur!DB61*Calculateur!DD61*VLOOKUP('Données projet'!$B$13,Paramètres!$A$1:$I$89,3,0)*0.475*44/12</f>
        <v>7.5397771040841528</v>
      </c>
      <c r="DH61" s="21">
        <f>EXP(-LN(2)/2)*DH60+(1-EXP(-LN(2)/2))/(LN(2)/2)*DB61*DE61*VLOOKUP('Données projet'!$B$13,Paramètres!$A$1:$I$89,3,0)*0.475*44/12</f>
        <v>0.75060445463707282</v>
      </c>
      <c r="DI61" s="22">
        <f t="shared" si="15"/>
        <v>15.423720030028106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3.2051282051282071</v>
      </c>
      <c r="DO61" s="12">
        <f>IF('Données projet'!$A$166&gt;35,DO60+DN61-DW60,IF(A61&lt;'Données projet'!$A$166,$DL$205^A61,IF(A61='Données projet'!$A$166,'Données projet'!$B$166,DO60+DN61-DW60)))</f>
        <v>114.74358974358968</v>
      </c>
      <c r="DP61" s="17">
        <f>DO61*VLOOKUP('Données projet'!$B$14,Paramètres!$A$1:$I$89,3,0)*VLOOKUP('Données projet'!$B$14,Paramètres!$A$1:$I$89,5,0)</f>
        <v>119.92999999999995</v>
      </c>
      <c r="DQ61" s="13">
        <f t="shared" si="43"/>
        <v>31.65867238925356</v>
      </c>
      <c r="DR61" s="20">
        <f t="shared" si="16"/>
        <v>264.01693774461648</v>
      </c>
      <c r="DS61" s="59">
        <f t="shared" si="17"/>
        <v>557.35027107794986</v>
      </c>
      <c r="DT61" s="59">
        <f ca="1">AVERAGE(OFFSET($DS$3,0,0,'Données projet'!$E$14+1,1))-AVERAGE(OFFSET($H$3,0,0,'Données projet'!$E$14+1,1))</f>
        <v>239.26156489359892</v>
      </c>
      <c r="DU61" s="59">
        <f t="shared" si="44"/>
        <v>213.97034450798111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14.743131714034321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14.743131714034321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3.3603333333333336</v>
      </c>
      <c r="EJ61" s="12">
        <f>IF('Données projet'!$A$192&gt;35,EJ60+EI61-ER60,IF(A61&lt;'Données projet'!$A$192,$EG$205^A61,IF(A61='Données projet'!$A$192,'Données projet'!$B$192,EJ60+EI61-ER60)))</f>
        <v>194.89933333333323</v>
      </c>
      <c r="EK61" s="17">
        <f>EJ61*VLOOKUP('Données projet'!$B$15,Paramètres!$A$1:$I$89,3,0)*VLOOKUP('Données projet'!$B$15,Paramètres!$A$1:$I$89,5,0)</f>
        <v>194.58749439999991</v>
      </c>
      <c r="EL61" s="13">
        <f t="shared" si="45"/>
        <v>48.552770155222021</v>
      </c>
      <c r="EM61" s="20">
        <f t="shared" si="19"/>
        <v>423.46929410034483</v>
      </c>
      <c r="EN61" s="59">
        <f t="shared" si="20"/>
        <v>716.80262743367814</v>
      </c>
      <c r="EO61" s="59">
        <f ca="1">AVERAGE(OFFSET($EN$3,0,0,'Données projet'!$E$15+1,1))-AVERAGE(OFFSET($H$3,0,0,'Données projet'!$E$15+1,1))</f>
        <v>525.74725170626471</v>
      </c>
      <c r="EP61" s="59">
        <f t="shared" si="46"/>
        <v>259.19103598192197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3.3603333333333336</v>
      </c>
      <c r="N62" s="13">
        <f>IF('Données projet'!$A$36&gt;35,N61+M62-V61,IF(A62&lt;'Données projet'!$A$36,$K$205^A62,IF(A62='Données projet'!$A$36,'Données projet'!$B$36,N61+M62-V61)))</f>
        <v>198.25966666666656</v>
      </c>
      <c r="O62" s="13">
        <f>N62*VLOOKUP('Données projet'!$B$9,Paramètres!$A$1:$I$89,3,0)*VLOOKUP('Données projet'!$B$9,Paramètres!$A$1:$I$89,5,0)</f>
        <v>201.03530199999992</v>
      </c>
      <c r="P62" s="13">
        <f t="shared" si="33"/>
        <v>49.971627353166163</v>
      </c>
      <c r="Q62" s="20">
        <f t="shared" si="53"/>
        <v>437.17040195676424</v>
      </c>
      <c r="R62" s="59">
        <f t="shared" si="0"/>
        <v>730.50373529009755</v>
      </c>
      <c r="S62" s="59">
        <f ca="1">AVERAGE(OFFSET($R$3,0,0,'Données projet'!$E$9+1,1))-AVERAGE(OFFSET($H$3,0,0,'Données projet'!$E$9+1,1))</f>
        <v>533.26035274112917</v>
      </c>
      <c r="T62" s="59">
        <f t="shared" si="34"/>
        <v>262.58149402282521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217.3</v>
      </c>
      <c r="AG62" s="12">
        <f>VLOOKUP(A62,'Données projet'!$A$61:$I$81,9,0)</f>
        <v>9.1524999999999999</v>
      </c>
      <c r="AH62" s="12">
        <f t="array" ref="AH62">INDEX(AG:AG,MIN(IF(ISNUMBER(AG62:AG258),ROW(AG62:AG258),"")))</f>
        <v>9.1524999999999999</v>
      </c>
      <c r="AI62" s="13">
        <f>IF('Données projet'!$A$62&gt;35,AI61+AH62-AQ61,IF(A62&lt;'Données projet'!$A$62,$AF$205^A62,IF(A62='Données projet'!$A$62,'Données projet'!$B$62,AI61+AH62-AQ61)))</f>
        <v>217.3000000000003</v>
      </c>
      <c r="AJ62" s="13">
        <f>AI62*VLOOKUP('Données projet'!$B$10,Paramètres!$A$1:$I$89,3,0)*VLOOKUP('Données projet'!$B$10,Paramètres!$A$1:$I$89,5,0)</f>
        <v>196.61304000000027</v>
      </c>
      <c r="AK62" s="13">
        <f t="shared" si="35"/>
        <v>48.999078128589694</v>
      </c>
      <c r="AL62" s="20">
        <f t="shared" si="4"/>
        <v>427.77443907396082</v>
      </c>
      <c r="AM62" s="59">
        <f t="shared" si="5"/>
        <v>721.10777240729408</v>
      </c>
      <c r="AN62" s="59">
        <f ca="1">AVERAGE(OFFSET($AM$3,0,0,'Données projet'!$E$10+1,1))-AVERAGE(OFFSET($H$3,0,0,'Données projet'!$E$10+1,1))</f>
        <v>482.62991869403385</v>
      </c>
      <c r="AO62" s="59">
        <f t="shared" si="36"/>
        <v>310.43914804089906</v>
      </c>
      <c r="AP62" s="15">
        <f>IF(ISNA(VLOOKUP(A62,'Données projet'!$A$61:$I$81,3,0)),0,VLOOKUP(A62,'Données projet'!$A$61:$I$81,3,0))</f>
        <v>3</v>
      </c>
      <c r="AQ62" s="15">
        <f>IF(ISNA(VLOOKUP(A62,'Données projet'!$A$61:$I$81,4,0)),0,VLOOKUP(A62,'Données projet'!$A$61:$I$81,4,0))</f>
        <v>52.75</v>
      </c>
      <c r="AR62" s="16">
        <f>IF(ISNA(VLOOKUP(A62,'Données projet'!$A$61:$I$81,5,0)),0%,VLOOKUP(A62,'Données projet'!$A$61:$I$81,5,0)*VLOOKUP('Données projet'!$B$10,Paramètres!$A$1:$I$89,7,0))</f>
        <v>0.15049999999999999</v>
      </c>
      <c r="AS62" s="16">
        <f>IF(ISNA(VLOOKUP(A62,'Données projet'!$A$61:$I$81,6,0)),0%,VLOOKUP(A62,'Données projet'!$A$61:$I$81,6,0)*VLOOKUP('Données projet'!$B$10,Paramètres!$A$1:$I$89,7,0))</f>
        <v>8.6000000000000007E-2</v>
      </c>
      <c r="AT62" s="16">
        <f>IF(ISNA(VLOOKUP(A62,'Données projet'!$A$61:$I$81,7,0)),0%,VLOOKUP(A62,'Données projet'!$A$61:$I$81,7,0))</f>
        <v>0.1</v>
      </c>
      <c r="AU62" s="21">
        <f>EXP(-LN(2)/35)*AU61+(1-EXP(-LN(2)/35))/(LN(2)/35)*AQ62*AR62*VLOOKUP('Données projet'!$B$10,Paramètres!$A$1:$I$89,3,0)*0.475*44/12</f>
        <v>7.9406977609478941</v>
      </c>
      <c r="AV62" s="21">
        <f>EXP(-LN(2)/25)*AV61+(1-EXP(-LN(2)/25))/(LN(2)/25)*Calculateur!AQ62*Calculateur!AS62*VLOOKUP('Données projet'!$B$10,Paramètres!$A$1:$I$89,3,0)*0.475*44/12</f>
        <v>35.247681080215401</v>
      </c>
      <c r="AW62" s="21">
        <f>EXP(-LN(2)/2)*AW61+(1-EXP(-LN(2)/2))/(LN(2)/2)*AQ62*AT62*VLOOKUP('Données projet'!$B$10,Paramètres!$A$1:$I$89,3,0)*0.475*44/12</f>
        <v>5.0960488412689262</v>
      </c>
      <c r="AX62" s="21">
        <f t="shared" si="6"/>
        <v>48.284427682432216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6.2</v>
      </c>
      <c r="BD62" s="12">
        <f>IF('Données projet'!$A$88&gt;35,BD61+BC62-BL61,IF(A62&lt;'Données projet'!$A$88,$BA$205^A62,IF(A62='Données projet'!$A$88,'Données projet'!$B$88,BD61+BC62-BL61)))</f>
        <v>287.7999999999999</v>
      </c>
      <c r="BE62" s="13">
        <f>BD62*VLOOKUP('Données projet'!$B$11,Paramètres!$A$1:$I$89,3,0)*VLOOKUP('Données projet'!$B$11,Paramètres!$A$1:$I$89,5,0)</f>
        <v>251.42207999999994</v>
      </c>
      <c r="BF62" s="13">
        <f t="shared" si="37"/>
        <v>60.890357280401872</v>
      </c>
      <c r="BG62" s="20">
        <f t="shared" si="7"/>
        <v>543.94416159669981</v>
      </c>
      <c r="BH62" s="59">
        <f t="shared" si="8"/>
        <v>837.27749493003307</v>
      </c>
      <c r="BI62" s="59">
        <f ca="1">AVERAGE(OFFSET($BH$3,0,0,'Données projet'!$E$11+1,1))-AVERAGE(OFFSET($H$3,0,0,'Données projet'!$E$11+1,1))</f>
        <v>384.34044781465661</v>
      </c>
      <c r="BJ62" s="59">
        <f t="shared" si="38"/>
        <v>374.99493809709708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14.633548339072648</v>
      </c>
      <c r="BQ62" s="21">
        <f>EXP(-LN(2)/25)*BQ61+(1-EXP(-LN(2)/25))/(LN(2)/25)*Calculateur!BL62*Calculateur!BN62*VLOOKUP('Données projet'!$B$11,Paramètres!$A$1:$I$89,3,0)*0.475*44/12</f>
        <v>17.165812691374011</v>
      </c>
      <c r="BR62" s="21">
        <f>EXP(-LN(2)/2)*BR61+(1-EXP(-LN(2)/2))/(LN(2)/2)*BL62*BO62*VLOOKUP('Données projet'!$B$11,Paramètres!$A$1:$I$89,3,0)*0.475*44/12</f>
        <v>1.0480333099307158</v>
      </c>
      <c r="BS62" s="22">
        <f t="shared" si="9"/>
        <v>32.847394340377377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>
        <f>VLOOKUP(A62,'Données projet'!$A$113:$I$133,2,0)</f>
        <v>217.3</v>
      </c>
      <c r="BW62" s="12">
        <f>VLOOKUP(A62,'Données projet'!$A$113:$I$133,9,0)</f>
        <v>9.1524999999999999</v>
      </c>
      <c r="BX62" s="12">
        <f t="array" ref="BX62">INDEX(BW:BW,MIN(IF(ISNUMBER(BW62:BW258),ROW(BW62:BW258),"")))</f>
        <v>9.1524999999999999</v>
      </c>
      <c r="BY62" s="12">
        <f>IF('Données projet'!$A$114&gt;35,BY61+BX62-CG61,IF(A62&lt;'Données projet'!$A$114,$BV$205^A62,IF(A62='Données projet'!$A$114,'Données projet'!$B$114,BY61+BX62-CG61)))</f>
        <v>217.3000000000003</v>
      </c>
      <c r="BZ62" s="13">
        <f>BY62*VLOOKUP('Données projet'!$B$12,Paramètres!$A$1:$I$89,3,0)*VLOOKUP('Données projet'!$B$12,Paramètres!$A$1:$I$89,5,0)</f>
        <v>206.78268000000025</v>
      </c>
      <c r="CA62" s="13">
        <f t="shared" si="39"/>
        <v>51.231889835017128</v>
      </c>
      <c r="CB62" s="20">
        <f t="shared" si="10"/>
        <v>449.37537579598853</v>
      </c>
      <c r="CC62" s="59">
        <f t="shared" si="11"/>
        <v>742.70870912932185</v>
      </c>
      <c r="CD62" s="59">
        <f ca="1">AVERAGE(OFFSET($CC$3,0,0,'Données projet'!$E$12+1,1))-AVERAGE(OFFSET($H$3,0,0,'Données projet'!$E$12+1,1))</f>
        <v>513.14430745499283</v>
      </c>
      <c r="CE62" s="59">
        <f t="shared" si="40"/>
        <v>324.2490378019823</v>
      </c>
      <c r="CF62" s="15">
        <f>IF(ISNA(VLOOKUP(A62,'Données projet'!$A$113:$I$133,3,0)),0,VLOOKUP(A62,'Données projet'!$A$113:$I$133,3,0))</f>
        <v>3</v>
      </c>
      <c r="CG62" s="15">
        <f>IF(ISNA(VLOOKUP(A62,'Données projet'!$A$113:$I$133,4,0)),0,VLOOKUP(A62,'Données projet'!$A$113:$I$133,4,0))</f>
        <v>52.75</v>
      </c>
      <c r="CH62" s="16">
        <f>IF(ISNA(VLOOKUP(A62,'Données projet'!$A$113:$I$133,5,0)),0%,VLOOKUP(A62,'Données projet'!$A$113:$I$133,5,0)*VLOOKUP('Données projet'!$B$12,Paramètres!$A$1:$I$89,7,0))</f>
        <v>0.15049999999999999</v>
      </c>
      <c r="CI62" s="16">
        <f>IF(ISNA(VLOOKUP(A62,'Données projet'!$A$113:$I$133,6,0)),0%,VLOOKUP(A62,'Données projet'!$A$113:$I$133,6,0)*VLOOKUP('Données projet'!$B$12,Paramètres!$A$1:$I$89,7,0))</f>
        <v>8.6000000000000007E-2</v>
      </c>
      <c r="CJ62" s="16">
        <f>IF(ISNA(VLOOKUP(A62,'Données projet'!$A$113:$I$133,7,0)),0%,VLOOKUP(A62,'Données projet'!$A$113:$I$133,7,0))</f>
        <v>0.1</v>
      </c>
      <c r="CK62" s="21">
        <f>EXP(-LN(2)/35)*CK61+(1-EXP(-LN(2)/35))/(LN(2)/35)*CG62*CH62*VLOOKUP('Données projet'!$B$12,Paramètres!$A$1:$I$89,3,0)*0.475*44/12</f>
        <v>8.3514235072038208</v>
      </c>
      <c r="CL62" s="21">
        <f>EXP(-LN(2)/25)*CL61+(1-EXP(-LN(2)/25))/(LN(2)/25)*Calculateur!CG62*Calculateur!CI62*VLOOKUP('Données projet'!$B$12,Paramètres!$A$1:$I$89,3,0)*0.475*44/12</f>
        <v>37.070836998157588</v>
      </c>
      <c r="CM62" s="21">
        <f>EXP(-LN(2)/2)*CM61+(1-EXP(-LN(2)/2))/(LN(2)/2)*CG62*CJ62*VLOOKUP('Données projet'!$B$12,Paramètres!$A$1:$I$89,3,0)*0.475*44/12</f>
        <v>5.3596375744380094</v>
      </c>
      <c r="CN62" s="22">
        <f t="shared" si="12"/>
        <v>50.781898079799419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6.0096153846153868</v>
      </c>
      <c r="CT62" s="12">
        <f>IF('Données projet'!$A$140&gt;35,CT61+CS62-DB61,IF(A62&lt;'Données projet'!$A$140,$CQ$205^A62,IF(A62='Données projet'!$A$140,'Données projet'!$B$140,CT61+CS62-DB61)))</f>
        <v>184.375</v>
      </c>
      <c r="CU62" s="17">
        <f>CT62*VLOOKUP('Données projet'!$B$13,Paramètres!$A$1:$I$89,3,0)*VLOOKUP('Données projet'!$B$13,Paramètres!$A$1:$I$89,5,0)</f>
        <v>143.8125</v>
      </c>
      <c r="CV62" s="13">
        <f t="shared" si="41"/>
        <v>37.169025291790518</v>
      </c>
      <c r="CW62" s="20">
        <f t="shared" si="13"/>
        <v>315.2094898832018</v>
      </c>
      <c r="CX62" s="59">
        <f t="shared" si="14"/>
        <v>608.54282321653511</v>
      </c>
      <c r="CY62" s="59">
        <f ca="1">AVERAGE(OFFSET($CX$3,0,0,'Données projet'!$E$13+1,1))-AVERAGE(OFFSET($H$3,0,0,'Données projet'!$E$13+1,1))</f>
        <v>197.51452239559433</v>
      </c>
      <c r="CZ62" s="59">
        <f t="shared" si="42"/>
        <v>196.65166921588821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6.9934580547914038</v>
      </c>
      <c r="DG62" s="21">
        <f>EXP(-LN(2)/25)*DG61+(1-EXP(-LN(2)/25))/(LN(2)/25)*Calculateur!DB62*Calculateur!DD62*VLOOKUP('Données projet'!$B$13,Paramètres!$A$1:$I$89,3,0)*0.475*44/12</f>
        <v>7.3336015026733259</v>
      </c>
      <c r="DH62" s="21">
        <f>EXP(-LN(2)/2)*DH61+(1-EXP(-LN(2)/2))/(LN(2)/2)*DB62*DE62*VLOOKUP('Données projet'!$B$13,Paramètres!$A$1:$I$89,3,0)*0.475*44/12</f>
        <v>0.53075749986270448</v>
      </c>
      <c r="DI62" s="22">
        <f t="shared" si="15"/>
        <v>14.857817057327434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3.2051282051282071</v>
      </c>
      <c r="DO62" s="12">
        <f>IF('Données projet'!$A$166&gt;35,DO61+DN62-DW61,IF(A62&lt;'Données projet'!$A$166,$DL$205^A62,IF(A62='Données projet'!$A$166,'Données projet'!$B$166,DO61+DN62-DW61)))</f>
        <v>117.94871794871788</v>
      </c>
      <c r="DP62" s="17">
        <f>DO62*VLOOKUP('Données projet'!$B$14,Paramètres!$A$1:$I$89,3,0)*VLOOKUP('Données projet'!$B$14,Paramètres!$A$1:$I$89,5,0)</f>
        <v>123.27999999999996</v>
      </c>
      <c r="DQ62" s="13">
        <f t="shared" si="43"/>
        <v>32.438800661224256</v>
      </c>
      <c r="DR62" s="20">
        <f t="shared" si="16"/>
        <v>271.21024448496547</v>
      </c>
      <c r="DS62" s="59">
        <f t="shared" si="17"/>
        <v>564.54357781829879</v>
      </c>
      <c r="DT62" s="59">
        <f ca="1">AVERAGE(OFFSET($DS$3,0,0,'Données projet'!$E$14+1,1))-AVERAGE(OFFSET($H$3,0,0,'Données projet'!$E$14+1,1))</f>
        <v>239.26156489359892</v>
      </c>
      <c r="DU62" s="59">
        <f t="shared" si="44"/>
        <v>213.97034450798111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14.339980002006453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14.339980002006453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3.3603333333333336</v>
      </c>
      <c r="EJ62" s="12">
        <f>IF('Données projet'!$A$192&gt;35,EJ61+EI62-ER61,IF(A62&lt;'Données projet'!$A$192,$EG$205^A62,IF(A62='Données projet'!$A$192,'Données projet'!$B$192,EJ61+EI62-ER61)))</f>
        <v>198.25966666666656</v>
      </c>
      <c r="EK62" s="17">
        <f>EJ62*VLOOKUP('Données projet'!$B$15,Paramètres!$A$1:$I$89,3,0)*VLOOKUP('Données projet'!$B$15,Paramètres!$A$1:$I$89,5,0)</f>
        <v>197.94245119999991</v>
      </c>
      <c r="EL62" s="13">
        <f t="shared" si="45"/>
        <v>49.291708987302144</v>
      </c>
      <c r="EM62" s="20">
        <f t="shared" si="19"/>
        <v>430.599495659551</v>
      </c>
      <c r="EN62" s="59">
        <f t="shared" si="20"/>
        <v>723.93282899288431</v>
      </c>
      <c r="EO62" s="59">
        <f ca="1">AVERAGE(OFFSET($EN$3,0,0,'Données projet'!$E$15+1,1))-AVERAGE(OFFSET($H$3,0,0,'Données projet'!$E$15+1,1))</f>
        <v>525.74725170626471</v>
      </c>
      <c r="EP62" s="59">
        <f t="shared" si="46"/>
        <v>259.19103598192197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201.62</v>
      </c>
      <c r="L63" s="12">
        <f>VLOOKUP(A63,'Données projet'!$A$35:$I$55,9,0)</f>
        <v>3.3603333333333336</v>
      </c>
      <c r="M63" s="12">
        <f t="array" ref="M63">INDEX(L:L,MIN(IF(ISNUMBER(L63:L259),ROW(L63:L259),"")))</f>
        <v>3.3603333333333336</v>
      </c>
      <c r="N63" s="13">
        <f>IF('Données projet'!$A$36&gt;35,N62+M63-V62,IF(A63&lt;'Données projet'!$A$36,$K$205^A63,IF(A63='Données projet'!$A$36,'Données projet'!$B$36,N62+M63-V62)))</f>
        <v>201.61999999999989</v>
      </c>
      <c r="O63" s="13">
        <f>N63*VLOOKUP('Données projet'!$B$9,Paramètres!$A$1:$I$89,3,0)*VLOOKUP('Données projet'!$B$9,Paramètres!$A$1:$I$89,5,0)</f>
        <v>204.44267999999991</v>
      </c>
      <c r="P63" s="13">
        <f t="shared" si="33"/>
        <v>50.719282370054088</v>
      </c>
      <c r="Q63" s="20">
        <f t="shared" si="53"/>
        <v>444.40708446117736</v>
      </c>
      <c r="R63" s="59">
        <f t="shared" si="0"/>
        <v>737.74041779451068</v>
      </c>
      <c r="S63" s="59">
        <f ca="1">AVERAGE(OFFSET($R$3,0,0,'Données projet'!$E$9+1,1))-AVERAGE(OFFSET($H$3,0,0,'Données projet'!$E$9+1,1))</f>
        <v>533.26035274112917</v>
      </c>
      <c r="T63" s="59">
        <f t="shared" si="34"/>
        <v>262.58149402282521</v>
      </c>
      <c r="U63" s="15">
        <f>IF(ISNA(VLOOKUP(A63,'Données projet'!$A$35:$I$55,3,0)),0,VLOOKUP(A63,'Données projet'!$A$35:$I$55,3,0))</f>
        <v>1</v>
      </c>
      <c r="V63" s="15">
        <f>IF(ISNA(VLOOKUP(A63,'Données projet'!$A$35:$I$55,4,0)),0,VLOOKUP(A63,'Données projet'!$A$35:$I$55,4,0))</f>
        <v>72.87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0.34400000000000003</v>
      </c>
      <c r="Y63" s="16">
        <f>IF(ISNA(VLOOKUP(A63,'Données projet'!$A$35:$I$55,7,0)),0%,VLOOKUP(A63,'Données projet'!$A$35:$I$55,7,0))</f>
        <v>0.2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27.988454603390398</v>
      </c>
      <c r="AB63" s="21">
        <f>EXP(-LN(2)/2)*AB62+(1-EXP(-LN(2)/2))/(LN(2)/2)*V63*Y63*VLOOKUP('Données projet'!$B$9,Paramètres!$A$1:$I$89,3,0)*0.475*44/12</f>
        <v>13.943474711007354</v>
      </c>
      <c r="AC63" s="22">
        <f t="shared" si="3"/>
        <v>41.931929314397749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8.5662500000000001</v>
      </c>
      <c r="AI63" s="13">
        <f>IF('Données projet'!$A$62&gt;35,AI62+AH63-AQ62,IF(A63&lt;'Données projet'!$A$62,$AF$205^A63,IF(A63='Données projet'!$A$62,'Données projet'!$B$62,AI62+AH63-AQ62)))</f>
        <v>173.11625000000029</v>
      </c>
      <c r="AJ63" s="13">
        <f>AI63*VLOOKUP('Données projet'!$B$10,Paramètres!$A$1:$I$89,3,0)*VLOOKUP('Données projet'!$B$10,Paramètres!$A$1:$I$89,5,0)</f>
        <v>156.63558300000025</v>
      </c>
      <c r="AK63" s="13">
        <f t="shared" si="35"/>
        <v>40.082725721977702</v>
      </c>
      <c r="AL63" s="20">
        <f t="shared" si="4"/>
        <v>342.61772102411163</v>
      </c>
      <c r="AM63" s="59">
        <f t="shared" si="5"/>
        <v>635.95105435744495</v>
      </c>
      <c r="AN63" s="59">
        <f ca="1">AVERAGE(OFFSET($AM$3,0,0,'Données projet'!$E$10+1,1))-AVERAGE(OFFSET($H$3,0,0,'Données projet'!$E$10+1,1))</f>
        <v>482.62991869403385</v>
      </c>
      <c r="AO63" s="59">
        <f t="shared" si="36"/>
        <v>310.43914804089906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7.7849855212030992</v>
      </c>
      <c r="AV63" s="21">
        <f>EXP(-LN(2)/25)*AV62+(1-EXP(-LN(2)/25))/(LN(2)/25)*Calculateur!AQ63*Calculateur!AS63*VLOOKUP('Données projet'!$B$10,Paramètres!$A$1:$I$89,3,0)*0.475*44/12</f>
        <v>34.283831387481925</v>
      </c>
      <c r="AW63" s="21">
        <f>EXP(-LN(2)/2)*AW62+(1-EXP(-LN(2)/2))/(LN(2)/2)*AQ63*AT63*VLOOKUP('Données projet'!$B$10,Paramètres!$A$1:$I$89,3,0)*0.475*44/12</f>
        <v>3.6034506929191057</v>
      </c>
      <c r="AX63" s="21">
        <f t="shared" si="6"/>
        <v>45.672267601604126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294</v>
      </c>
      <c r="BB63" s="12">
        <f>VLOOKUP(A63,'Données projet'!$A$87:$I$107,9,0)</f>
        <v>6.2</v>
      </c>
      <c r="BC63" s="12">
        <f t="array" ref="BC63">INDEX(BB:BB,MIN(IF(ISNUMBER(BB63:BB259),ROW(BB63:BB259),"")))</f>
        <v>6.2</v>
      </c>
      <c r="BD63" s="12">
        <f>IF('Données projet'!$A$88&gt;35,BD62+BC63-BL62,IF(A63&lt;'Données projet'!$A$88,$BA$205^A63,IF(A63='Données projet'!$A$88,'Données projet'!$B$88,BD62+BC63-BL62)))</f>
        <v>293.99999999999989</v>
      </c>
      <c r="BE63" s="13">
        <f>BD63*VLOOKUP('Données projet'!$B$11,Paramètres!$A$1:$I$89,3,0)*VLOOKUP('Données projet'!$B$11,Paramètres!$A$1:$I$89,5,0)</f>
        <v>256.83839999999992</v>
      </c>
      <c r="BF63" s="13">
        <f t="shared" si="37"/>
        <v>62.047973482014044</v>
      </c>
      <c r="BG63" s="20">
        <f t="shared" si="7"/>
        <v>555.39376714784089</v>
      </c>
      <c r="BH63" s="59">
        <f t="shared" si="8"/>
        <v>848.72710048117415</v>
      </c>
      <c r="BI63" s="59">
        <f ca="1">AVERAGE(OFFSET($BH$3,0,0,'Données projet'!$E$11+1,1))-AVERAGE(OFFSET($H$3,0,0,'Données projet'!$E$11+1,1))</f>
        <v>384.34044781465661</v>
      </c>
      <c r="BJ63" s="59">
        <f t="shared" si="38"/>
        <v>374.99493809709708</v>
      </c>
      <c r="BK63" s="15">
        <f>IF(ISNA(VLOOKUP(A63,'Données projet'!$A$87:$I$107,3,0)),0,VLOOKUP(A63,'Données projet'!$A$87:$I$107,3,0))</f>
        <v>10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0.13250000000000001</v>
      </c>
      <c r="BN63" s="16">
        <f>IF(ISNA(VLOOKUP(A63,'Données projet'!$A$87:$I$107,6,0)),0%,VLOOKUP(A63,'Données projet'!$A$87:$I$107,6,0)*VLOOKUP('Données projet'!$B$11,Paramètres!$A$1:$I$89,7,0))</f>
        <v>0.13250000000000001</v>
      </c>
      <c r="BO63" s="16">
        <f>IF(ISNA(VLOOKUP(A63,'Données projet'!$A$87:$I$107,7,0)),0%,VLOOKUP(A63,'Données projet'!$A$87:$I$107,7,0))</f>
        <v>0.25</v>
      </c>
      <c r="BP63" s="21">
        <f>EXP(-LN(2)/35)*BP62+(1-EXP(-LN(2)/35))/(LN(2)/35)*BL63*BM63*VLOOKUP('Données projet'!$B$11,Paramètres!$A$1:$I$89,3,0)*0.475*44/12</f>
        <v>16.138039084930366</v>
      </c>
      <c r="BQ63" s="21">
        <f>EXP(-LN(2)/25)*BQ62+(1-EXP(-LN(2)/25))/(LN(2)/25)*Calculateur!BL63*Calculateur!BN63*VLOOKUP('Données projet'!$B$11,Paramètres!$A$1:$I$89,3,0)*0.475*44/12</f>
        <v>18.480804739493465</v>
      </c>
      <c r="BR63" s="21">
        <f>EXP(-LN(2)/2)*BR62+(1-EXP(-LN(2)/2))/(LN(2)/2)*BL63*BO63*VLOOKUP('Données projet'!$B$11,Paramètres!$A$1:$I$89,3,0)*0.475*44/12</f>
        <v>3.6259993544588274</v>
      </c>
      <c r="BS63" s="22">
        <f t="shared" si="9"/>
        <v>38.244843178882661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8.5662500000000001</v>
      </c>
      <c r="BY63" s="12">
        <f>IF('Données projet'!$A$114&gt;35,BY62+BX63-CG62,IF(A63&lt;'Données projet'!$A$114,$BV$205^A63,IF(A63='Données projet'!$A$114,'Données projet'!$B$114,BY62+BX63-CG62)))</f>
        <v>173.11625000000029</v>
      </c>
      <c r="BZ63" s="13">
        <f>BY63*VLOOKUP('Données projet'!$B$12,Paramètres!$A$1:$I$89,3,0)*VLOOKUP('Données projet'!$B$12,Paramètres!$A$1:$I$89,5,0)</f>
        <v>164.73742350000029</v>
      </c>
      <c r="CA63" s="13">
        <f t="shared" si="39"/>
        <v>41.909233130600377</v>
      </c>
      <c r="CB63" s="20">
        <f t="shared" si="10"/>
        <v>359.90959363162943</v>
      </c>
      <c r="CC63" s="59">
        <f t="shared" si="11"/>
        <v>653.24292696496275</v>
      </c>
      <c r="CD63" s="59">
        <f ca="1">AVERAGE(OFFSET($CC$3,0,0,'Données projet'!$E$12+1,1))-AVERAGE(OFFSET($H$3,0,0,'Données projet'!$E$12+1,1))</f>
        <v>513.14430745499283</v>
      </c>
      <c r="CE63" s="59">
        <f t="shared" si="40"/>
        <v>324.2490378019823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8.187657186092915</v>
      </c>
      <c r="CL63" s="21">
        <f>EXP(-LN(2)/25)*CL62+(1-EXP(-LN(2)/25))/(LN(2)/25)*Calculateur!CG63*Calculateur!CI63*VLOOKUP('Données projet'!$B$12,Paramètres!$A$1:$I$89,3,0)*0.475*44/12</f>
        <v>36.057133010972379</v>
      </c>
      <c r="CM63" s="21">
        <f>EXP(-LN(2)/2)*CM62+(1-EXP(-LN(2)/2))/(LN(2)/2)*CG63*CJ63*VLOOKUP('Données projet'!$B$12,Paramètres!$A$1:$I$89,3,0)*0.475*44/12</f>
        <v>3.789836073587336</v>
      </c>
      <c r="CN63" s="22">
        <f t="shared" si="12"/>
        <v>48.03462627065263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190.38461538461539</v>
      </c>
      <c r="CR63" s="12">
        <f>VLOOKUP(A63,'Données projet'!$A$139:$I$159,9,0)</f>
        <v>6.0096153846153868</v>
      </c>
      <c r="CS63" s="12">
        <f t="array" ref="CS63">INDEX(CR:CR,MIN(IF(ISNUMBER(CR63:CR259),ROW(CR63:CR259),"")))</f>
        <v>6.0096153846153868</v>
      </c>
      <c r="CT63" s="12">
        <f>IF('Données projet'!$A$140&gt;35,CT62+CS63-DB62,IF(A63&lt;'Données projet'!$A$140,$CQ$205^A63,IF(A63='Données projet'!$A$140,'Données projet'!$B$140,CT62+CS63-DB62)))</f>
        <v>190.38461538461539</v>
      </c>
      <c r="CU63" s="17">
        <f>CT63*VLOOKUP('Données projet'!$B$13,Paramètres!$A$1:$I$89,3,0)*VLOOKUP('Données projet'!$B$13,Paramètres!$A$1:$I$89,5,0)</f>
        <v>148.5</v>
      </c>
      <c r="CV63" s="13">
        <f t="shared" si="41"/>
        <v>38.237506103710217</v>
      </c>
      <c r="CW63" s="20">
        <f t="shared" si="13"/>
        <v>325.23448979729528</v>
      </c>
      <c r="CX63" s="59">
        <f t="shared" si="14"/>
        <v>618.56782313062854</v>
      </c>
      <c r="CY63" s="59">
        <f ca="1">AVERAGE(OFFSET($CX$3,0,0,'Données projet'!$E$13+1,1))-AVERAGE(OFFSET($H$3,0,0,'Données projet'!$E$13+1,1))</f>
        <v>197.51452239559433</v>
      </c>
      <c r="CZ63" s="59">
        <f t="shared" si="42"/>
        <v>196.65166921588821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30.128205128205128</v>
      </c>
      <c r="DC63" s="16">
        <f>IF(ISNA(VLOOKUP(A63,'Données projet'!$A$139:$I$159,5,0)),0%,VLOOKUP(A63,'Données projet'!$A$139:$I$159,5,0)*VLOOKUP('Données projet'!$B$13,Paramètres!$A$1:$I$89,7,0))</f>
        <v>0.1075</v>
      </c>
      <c r="DD63" s="16">
        <f>IF(ISNA(VLOOKUP(A63,'Données projet'!$A$139:$I$159,6,0)),0%,VLOOKUP(A63,'Données projet'!$A$139:$I$159,6,0)*VLOOKUP('Données projet'!$B$13,Paramètres!$A$1:$I$89,7,0))</f>
        <v>0.1075</v>
      </c>
      <c r="DE63" s="16">
        <f>IF(ISNA(VLOOKUP(A63,'Données projet'!$A$139:$I$159,7,0)),0%,VLOOKUP(A63,'Données projet'!$A$139:$I$159,7,0))</f>
        <v>0.25</v>
      </c>
      <c r="DF63" s="21">
        <f>EXP(-LN(2)/35)*DF62+(1-EXP(-LN(2)/35))/(LN(2)/35)*DB63*DC63*VLOOKUP('Données projet'!$B$13,Paramètres!$A$1:$I$89,3,0)*0.475*44/12</f>
        <v>9.6490151542202796</v>
      </c>
      <c r="DG63" s="21">
        <f>EXP(-LN(2)/25)*DG62+(1-EXP(-LN(2)/25))/(LN(2)/25)*Calculateur!DB63*Calculateur!DD63*VLOOKUP('Données projet'!$B$13,Paramètres!$A$1:$I$89,3,0)*0.475*44/12</f>
        <v>9.9147624276916879</v>
      </c>
      <c r="DH63" s="21">
        <f>EXP(-LN(2)/2)*DH62+(1-EXP(-LN(2)/2))/(LN(2)/2)*DB63*DE63*VLOOKUP('Données projet'!$B$13,Paramètres!$A$1:$I$89,3,0)*0.475*44/12</f>
        <v>5.918522850625191</v>
      </c>
      <c r="DI63" s="22">
        <f t="shared" si="15"/>
        <v>25.482300432537158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121.15384615384616</v>
      </c>
      <c r="DM63" s="12">
        <f>VLOOKUP(A63,'Données projet'!$A$165:$I$185,9,0)</f>
        <v>3.2051282051282071</v>
      </c>
      <c r="DN63" s="12">
        <f t="array" ref="DN63">INDEX(DM:DM,MIN(IF(ISNUMBER(DM63:DM259),ROW(DM63:DM259),"")))</f>
        <v>3.2051282051282071</v>
      </c>
      <c r="DO63" s="12">
        <f>IF('Données projet'!$A$166&gt;35,DO62+DN63-DW62,IF(A63&lt;'Données projet'!$A$166,$DL$205^A63,IF(A63='Données projet'!$A$166,'Données projet'!$B$166,DO62+DN63-DW62)))</f>
        <v>121.15384615384609</v>
      </c>
      <c r="DP63" s="17">
        <f>DO63*VLOOKUP('Données projet'!$B$14,Paramètres!$A$1:$I$89,3,0)*VLOOKUP('Données projet'!$B$14,Paramètres!$A$1:$I$89,5,0)</f>
        <v>126.62999999999995</v>
      </c>
      <c r="DQ63" s="13">
        <f t="shared" si="43"/>
        <v>33.216464931527199</v>
      </c>
      <c r="DR63" s="20">
        <f t="shared" si="16"/>
        <v>278.39925975574312</v>
      </c>
      <c r="DS63" s="59">
        <f t="shared" si="17"/>
        <v>571.73259308907643</v>
      </c>
      <c r="DT63" s="59">
        <f ca="1">AVERAGE(OFFSET($DS$3,0,0,'Données projet'!$E$14+1,1))-AVERAGE(OFFSET($H$3,0,0,'Données projet'!$E$14+1,1))</f>
        <v>239.26156489359892</v>
      </c>
      <c r="DU63" s="59">
        <f t="shared" si="44"/>
        <v>213.97034450798111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10.256410256410255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0.215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16.485708619100112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16.485708619100112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201.62</v>
      </c>
      <c r="EH63" s="12">
        <f>VLOOKUP(A63,'Données projet'!$A$191:$I$211,9,0)</f>
        <v>3.3603333333333336</v>
      </c>
      <c r="EI63" s="12">
        <f t="array" ref="EI63">INDEX(EH:EH,MIN(IF(ISNUMBER(EH63:EH259),ROW(EH63:EH259),"")))</f>
        <v>3.3603333333333336</v>
      </c>
      <c r="EJ63" s="12">
        <f>IF('Données projet'!$A$192&gt;35,EJ62+EI63-ER62,IF(A63&lt;'Données projet'!$A$192,$EG$205^A63,IF(A63='Données projet'!$A$192,'Données projet'!$B$192,EJ62+EI63-ER62)))</f>
        <v>201.61999999999989</v>
      </c>
      <c r="EK63" s="17">
        <f>EJ63*VLOOKUP('Données projet'!$B$15,Paramètres!$A$1:$I$89,3,0)*VLOOKUP('Données projet'!$B$15,Paramètres!$A$1:$I$89,5,0)</f>
        <v>201.2974079999999</v>
      </c>
      <c r="EL63" s="13">
        <f t="shared" si="45"/>
        <v>50.029191344137956</v>
      </c>
      <c r="EM63" s="20">
        <f t="shared" si="19"/>
        <v>437.7271605243734</v>
      </c>
      <c r="EN63" s="59">
        <f t="shared" si="20"/>
        <v>731.06049385770666</v>
      </c>
      <c r="EO63" s="59">
        <f ca="1">AVERAGE(OFFSET($EN$3,0,0,'Données projet'!$E$15+1,1))-AVERAGE(OFFSET($H$3,0,0,'Données projet'!$E$15+1,1))</f>
        <v>525.74725170626471</v>
      </c>
      <c r="EP63" s="59">
        <f t="shared" si="46"/>
        <v>259.19103598192197</v>
      </c>
      <c r="EQ63" s="15">
        <f>IF(ISNA(VLOOKUP(A63,'Données projet'!$A$191:$I$211,3,0)),0,VLOOKUP(A63,'Données projet'!$A$191:$I$211,3,0))</f>
        <v>1</v>
      </c>
      <c r="ER63" s="15">
        <f>IF(ISNA(VLOOKUP(A63,'Données projet'!$A$191:$I$211,4,0)),0,VLOOKUP(A63,'Données projet'!$A$191:$I$211,4,0))</f>
        <v>72.87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0.34400000000000003</v>
      </c>
      <c r="EU63" s="16">
        <f>IF(ISNA(VLOOKUP(A63,'Données projet'!$A$191:$I$211,7,0)),0%,VLOOKUP(A63,'Données projet'!$A$191:$I$211,7,0))</f>
        <v>0.2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27.557862994107463</v>
      </c>
      <c r="EX63" s="21">
        <f>EXP(-LN(2)/2)*EX62+(1-EXP(-LN(2)/2))/(LN(2)/2)*ER63*EU63*VLOOKUP('Données projet'!$B$15,Paramètres!$A$1:$I$89,3,0)*0.475*44/12</f>
        <v>13.728959715453394</v>
      </c>
      <c r="EY63" s="22">
        <f t="shared" si="21"/>
        <v>41.286822709560859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6.8933333333333326</v>
      </c>
      <c r="N64" s="13">
        <f>IF('Données projet'!$A$36&gt;35,N63+M64-V63,IF(A64&lt;'Données projet'!$A$36,$K$205^A64,IF(A64='Données projet'!$A$36,'Données projet'!$B$36,N63+M64-V63)))</f>
        <v>135.64333333333323</v>
      </c>
      <c r="O64" s="13">
        <f>N64*VLOOKUP('Données projet'!$B$9,Paramètres!$A$1:$I$89,3,0)*VLOOKUP('Données projet'!$B$9,Paramètres!$A$1:$I$89,5,0)</f>
        <v>137.54233999999991</v>
      </c>
      <c r="P64" s="13">
        <f t="shared" si="33"/>
        <v>35.733411083522441</v>
      </c>
      <c r="Q64" s="20">
        <f t="shared" si="53"/>
        <v>301.78859980380139</v>
      </c>
      <c r="R64" s="59">
        <f t="shared" si="0"/>
        <v>595.12193313713465</v>
      </c>
      <c r="S64" s="59">
        <f ca="1">AVERAGE(OFFSET($R$3,0,0,'Données projet'!$E$9+1,1))-AVERAGE(OFFSET($H$3,0,0,'Données projet'!$E$9+1,1))</f>
        <v>533.26035274112917</v>
      </c>
      <c r="T64" s="59">
        <f t="shared" si="34"/>
        <v>262.58149402282521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27.223108840411829</v>
      </c>
      <c r="AB64" s="21">
        <f>EXP(-LN(2)/2)*AB63+(1-EXP(-LN(2)/2))/(LN(2)/2)*V64*Y64*VLOOKUP('Données projet'!$B$9,Paramètres!$A$1:$I$89,3,0)*0.475*44/12</f>
        <v>9.8595255214564368</v>
      </c>
      <c r="AC64" s="22">
        <f t="shared" si="3"/>
        <v>37.082634361868266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8.5662500000000001</v>
      </c>
      <c r="AI64" s="13">
        <f>IF('Données projet'!$A$62&gt;35,AI63+AH64-AQ63,IF(A64&lt;'Données projet'!$A$62,$AF$205^A64,IF(A64='Données projet'!$A$62,'Données projet'!$B$62,AI63+AH64-AQ63)))</f>
        <v>181.68250000000029</v>
      </c>
      <c r="AJ64" s="13">
        <f>AI64*VLOOKUP('Données projet'!$B$10,Paramètres!$A$1:$I$89,3,0)*VLOOKUP('Données projet'!$B$10,Paramètres!$A$1:$I$89,5,0)</f>
        <v>164.38632600000025</v>
      </c>
      <c r="AK64" s="13">
        <f t="shared" si="35"/>
        <v>41.830300823322531</v>
      </c>
      <c r="AL64" s="20">
        <f t="shared" si="4"/>
        <v>359.16062505062047</v>
      </c>
      <c r="AM64" s="59">
        <f t="shared" si="5"/>
        <v>652.49395838395378</v>
      </c>
      <c r="AN64" s="59">
        <f ca="1">AVERAGE(OFFSET($AM$3,0,0,'Données projet'!$E$10+1,1))-AVERAGE(OFFSET($H$3,0,0,'Données projet'!$E$10+1,1))</f>
        <v>482.62991869403385</v>
      </c>
      <c r="AO64" s="59">
        <f t="shared" si="36"/>
        <v>310.43914804089906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7.6323267035046118</v>
      </c>
      <c r="AV64" s="21">
        <f>EXP(-LN(2)/25)*AV63+(1-EXP(-LN(2)/25))/(LN(2)/25)*Calculateur!AQ64*Calculateur!AS64*VLOOKUP('Données projet'!$B$10,Paramètres!$A$1:$I$89,3,0)*0.475*44/12</f>
        <v>33.346338215282898</v>
      </c>
      <c r="AW64" s="21">
        <f>EXP(-LN(2)/2)*AW63+(1-EXP(-LN(2)/2))/(LN(2)/2)*AQ64*AT64*VLOOKUP('Données projet'!$B$10,Paramètres!$A$1:$I$89,3,0)*0.475*44/12</f>
        <v>2.5480244206344631</v>
      </c>
      <c r="AX64" s="21">
        <f t="shared" si="6"/>
        <v>43.526689339421971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285.19999999999987</v>
      </c>
      <c r="BE64" s="13">
        <f>BD64*VLOOKUP('Données projet'!$B$11,Paramètres!$A$1:$I$89,3,0)*VLOOKUP('Données projet'!$B$11,Paramètres!$A$1:$I$89,5,0)</f>
        <v>249.15071999999989</v>
      </c>
      <c r="BF64" s="13">
        <f t="shared" si="37"/>
        <v>60.404044320946248</v>
      </c>
      <c r="BG64" s="20">
        <f t="shared" si="7"/>
        <v>539.1412145256478</v>
      </c>
      <c r="BH64" s="59">
        <f t="shared" si="8"/>
        <v>832.47454785898117</v>
      </c>
      <c r="BI64" s="59">
        <f ca="1">AVERAGE(OFFSET($BH$3,0,0,'Données projet'!$E$11+1,1))-AVERAGE(OFFSET($H$3,0,0,'Données projet'!$E$11+1,1))</f>
        <v>384.34044781465661</v>
      </c>
      <c r="BJ64" s="59">
        <f t="shared" si="38"/>
        <v>374.99493809709708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15.821581981706785</v>
      </c>
      <c r="BQ64" s="21">
        <f>EXP(-LN(2)/25)*BQ63+(1-EXP(-LN(2)/25))/(LN(2)/25)*Calculateur!BL64*Calculateur!BN64*VLOOKUP('Données projet'!$B$11,Paramètres!$A$1:$I$89,3,0)*0.475*44/12</f>
        <v>17.975446162028732</v>
      </c>
      <c r="BR64" s="21">
        <f>EXP(-LN(2)/2)*BR63+(1-EXP(-LN(2)/2))/(LN(2)/2)*BL64*BO64*VLOOKUP('Données projet'!$B$11,Paramètres!$A$1:$I$89,3,0)*0.475*44/12</f>
        <v>2.5639687321158808</v>
      </c>
      <c r="BS64" s="22">
        <f t="shared" si="9"/>
        <v>36.360996875851399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8.5662500000000001</v>
      </c>
      <c r="BY64" s="12">
        <f>IF('Données projet'!$A$114&gt;35,BY63+BX64-CG63,IF(A64&lt;'Données projet'!$A$114,$BV$205^A64,IF(A64='Données projet'!$A$114,'Données projet'!$B$114,BY63+BX64-CG63)))</f>
        <v>181.68250000000029</v>
      </c>
      <c r="BZ64" s="13">
        <f>BY64*VLOOKUP('Données projet'!$B$12,Paramètres!$A$1:$I$89,3,0)*VLOOKUP('Données projet'!$B$12,Paramètres!$A$1:$I$89,5,0)</f>
        <v>172.88906700000027</v>
      </c>
      <c r="CA64" s="13">
        <f t="shared" si="39"/>
        <v>43.73644250861269</v>
      </c>
      <c r="CB64" s="20">
        <f t="shared" si="10"/>
        <v>377.28942906083421</v>
      </c>
      <c r="CC64" s="59">
        <f t="shared" si="11"/>
        <v>670.62276239416747</v>
      </c>
      <c r="CD64" s="59">
        <f ca="1">AVERAGE(OFFSET($CC$3,0,0,'Données projet'!$E$12+1,1))-AVERAGE(OFFSET($H$3,0,0,'Données projet'!$E$12+1,1))</f>
        <v>513.14430745499283</v>
      </c>
      <c r="CE64" s="59">
        <f t="shared" si="40"/>
        <v>324.2490378019823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8.0271022226514024</v>
      </c>
      <c r="CL64" s="21">
        <f>EXP(-LN(2)/25)*CL63+(1-EXP(-LN(2)/25))/(LN(2)/25)*Calculateur!CG64*Calculateur!CI64*VLOOKUP('Données projet'!$B$12,Paramètres!$A$1:$I$89,3,0)*0.475*44/12</f>
        <v>35.071148812625125</v>
      </c>
      <c r="CM64" s="21">
        <f>EXP(-LN(2)/2)*CM63+(1-EXP(-LN(2)/2))/(LN(2)/2)*CG64*CJ64*VLOOKUP('Données projet'!$B$12,Paramètres!$A$1:$I$89,3,0)*0.475*44/12</f>
        <v>2.6798187872190051</v>
      </c>
      <c r="CN64" s="22">
        <f t="shared" si="12"/>
        <v>45.778069822495532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5.5555555555555554</v>
      </c>
      <c r="CT64" s="12">
        <f>IF('Données projet'!$A$140&gt;35,CT63+CS64-DB63,IF(A64&lt;'Données projet'!$A$140,$CQ$205^A64,IF(A64='Données projet'!$A$140,'Données projet'!$B$140,CT63+CS64-DB63)))</f>
        <v>165.81196581196579</v>
      </c>
      <c r="CU64" s="17">
        <f>CT64*VLOOKUP('Données projet'!$B$13,Paramètres!$A$1:$I$89,3,0)*VLOOKUP('Données projet'!$B$13,Paramètres!$A$1:$I$89,5,0)</f>
        <v>129.33333333333331</v>
      </c>
      <c r="CV64" s="13">
        <f t="shared" si="41"/>
        <v>33.84226617438533</v>
      </c>
      <c r="CW64" s="20">
        <f t="shared" si="13"/>
        <v>284.19750247594328</v>
      </c>
      <c r="CX64" s="59">
        <f t="shared" si="14"/>
        <v>577.5308358092766</v>
      </c>
      <c r="CY64" s="59">
        <f ca="1">AVERAGE(OFFSET($CX$3,0,0,'Données projet'!$E$13+1,1))-AVERAGE(OFFSET($H$3,0,0,'Données projet'!$E$13+1,1))</f>
        <v>197.51452239559433</v>
      </c>
      <c r="CZ64" s="59">
        <f t="shared" si="42"/>
        <v>196.65166921588821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9.4598038523641375</v>
      </c>
      <c r="DG64" s="21">
        <f>EXP(-LN(2)/25)*DG63+(1-EXP(-LN(2)/25))/(LN(2)/25)*Calculateur!DB64*Calculateur!DD64*VLOOKUP('Données projet'!$B$13,Paramètres!$A$1:$I$89,3,0)*0.475*44/12</f>
        <v>9.6436427277117627</v>
      </c>
      <c r="DH64" s="21">
        <f>EXP(-LN(2)/2)*DH63+(1-EXP(-LN(2)/2))/(LN(2)/2)*DB64*DE64*VLOOKUP('Données projet'!$B$13,Paramètres!$A$1:$I$89,3,0)*0.475*44/12</f>
        <v>4.1850276422846084</v>
      </c>
      <c r="DI64" s="22">
        <f t="shared" si="15"/>
        <v>23.288474222360509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2.8205128205128176</v>
      </c>
      <c r="DO64" s="12">
        <f>IF('Données projet'!$A$166&gt;35,DO63+DN64-DW63,IF(A64&lt;'Données projet'!$A$166,$DL$205^A64,IF(A64='Données projet'!$A$166,'Données projet'!$B$166,DO63+DN64-DW63)))</f>
        <v>113.71794871794864</v>
      </c>
      <c r="DP64" s="17">
        <f>DO64*VLOOKUP('Données projet'!$B$14,Paramètres!$A$1:$I$89,3,0)*VLOOKUP('Données projet'!$B$14,Paramètres!$A$1:$I$89,5,0)</f>
        <v>118.85799999999992</v>
      </c>
      <c r="DQ64" s="13">
        <f t="shared" si="43"/>
        <v>31.408498497995616</v>
      </c>
      <c r="DR64" s="20">
        <f t="shared" si="16"/>
        <v>261.71415155067552</v>
      </c>
      <c r="DS64" s="59">
        <f t="shared" si="17"/>
        <v>555.04748488400878</v>
      </c>
      <c r="DT64" s="59">
        <f ca="1">AVERAGE(OFFSET($DS$3,0,0,'Données projet'!$E$14+1,1))-AVERAGE(OFFSET($H$3,0,0,'Données projet'!$E$14+1,1))</f>
        <v>239.26156489359892</v>
      </c>
      <c r="DU64" s="59">
        <f t="shared" si="44"/>
        <v>213.97034450798111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16.03490604996508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16.03490604996508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6.8933333333333326</v>
      </c>
      <c r="EJ64" s="12">
        <f>IF('Données projet'!$A$192&gt;35,EJ63+EI64-ER63,IF(A64&lt;'Données projet'!$A$192,$EG$205^A64,IF(A64='Données projet'!$A$192,'Données projet'!$B$192,EJ63+EI64-ER63)))</f>
        <v>135.64333333333323</v>
      </c>
      <c r="EK64" s="17">
        <f>EJ64*VLOOKUP('Données projet'!$B$15,Paramètres!$A$1:$I$89,3,0)*VLOOKUP('Données projet'!$B$15,Paramètres!$A$1:$I$89,5,0)</f>
        <v>135.4263039999999</v>
      </c>
      <c r="EL64" s="13">
        <f t="shared" si="45"/>
        <v>35.247219143064889</v>
      </c>
      <c r="EM64" s="20">
        <f t="shared" si="19"/>
        <v>297.25638614083783</v>
      </c>
      <c r="EN64" s="59">
        <f t="shared" si="20"/>
        <v>590.58971947417115</v>
      </c>
      <c r="EO64" s="59">
        <f ca="1">AVERAGE(OFFSET($EN$3,0,0,'Données projet'!$E$15+1,1))-AVERAGE(OFFSET($H$3,0,0,'Données projet'!$E$15+1,1))</f>
        <v>525.74725170626471</v>
      </c>
      <c r="EP64" s="59">
        <f t="shared" si="46"/>
        <v>259.19103598192197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26.804291781328565</v>
      </c>
      <c r="EX64" s="21">
        <f>EXP(-LN(2)/2)*EX63+(1-EXP(-LN(2)/2))/(LN(2)/2)*ER64*EU64*VLOOKUP('Données projet'!$B$15,Paramètres!$A$1:$I$89,3,0)*0.475*44/12</f>
        <v>9.7078405134340287</v>
      </c>
      <c r="EY64" s="22">
        <f t="shared" si="21"/>
        <v>36.512132294762594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6.8933333333333326</v>
      </c>
      <c r="N65" s="13">
        <f>IF('Données projet'!$A$36&gt;35,N64+M65-V64,IF(A65&lt;'Données projet'!$A$36,$K$205^A65,IF(A65='Données projet'!$A$36,'Données projet'!$B$36,N64+M65-V64)))</f>
        <v>142.53666666666658</v>
      </c>
      <c r="O65" s="13">
        <f>N65*VLOOKUP('Données projet'!$B$9,Paramètres!$A$1:$I$89,3,0)*VLOOKUP('Données projet'!$B$9,Paramètres!$A$1:$I$89,5,0)</f>
        <v>144.5321799999999</v>
      </c>
      <c r="P65" s="13">
        <f t="shared" si="33"/>
        <v>37.333331285279648</v>
      </c>
      <c r="Q65" s="20">
        <f t="shared" si="53"/>
        <v>316.74909882186188</v>
      </c>
      <c r="R65" s="59">
        <f t="shared" si="0"/>
        <v>610.08243215519519</v>
      </c>
      <c r="S65" s="59">
        <f ca="1">AVERAGE(OFFSET($R$3,0,0,'Données projet'!$E$9+1,1))-AVERAGE(OFFSET($H$3,0,0,'Données projet'!$E$9+1,1))</f>
        <v>533.26035274112917</v>
      </c>
      <c r="T65" s="59">
        <f t="shared" si="34"/>
        <v>262.58149402282521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26.478691497569692</v>
      </c>
      <c r="AB65" s="21">
        <f>EXP(-LN(2)/2)*AB64+(1-EXP(-LN(2)/2))/(LN(2)/2)*V65*Y65*VLOOKUP('Données projet'!$B$9,Paramètres!$A$1:$I$89,3,0)*0.475*44/12</f>
        <v>6.9717373555036781</v>
      </c>
      <c r="AC65" s="22">
        <f t="shared" si="3"/>
        <v>33.450428853073369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8.5662500000000001</v>
      </c>
      <c r="AI65" s="13">
        <f>IF('Données projet'!$A$62&gt;35,AI64+AH65-AQ64,IF(A65&lt;'Données projet'!$A$62,$AF$205^A65,IF(A65='Données projet'!$A$62,'Données projet'!$B$62,AI64+AH65-AQ64)))</f>
        <v>190.24875000000029</v>
      </c>
      <c r="AJ65" s="13">
        <f>AI65*VLOOKUP('Données projet'!$B$10,Paramètres!$A$1:$I$89,3,0)*VLOOKUP('Données projet'!$B$10,Paramètres!$A$1:$I$89,5,0)</f>
        <v>172.13706900000025</v>
      </c>
      <c r="AK65" s="13">
        <f t="shared" si="35"/>
        <v>43.5683073950158</v>
      </c>
      <c r="AL65" s="20">
        <f t="shared" si="4"/>
        <v>375.68686388798625</v>
      </c>
      <c r="AM65" s="59">
        <f t="shared" si="5"/>
        <v>669.02019722131956</v>
      </c>
      <c r="AN65" s="59">
        <f ca="1">AVERAGE(OFFSET($AM$3,0,0,'Données projet'!$E$10+1,1))-AVERAGE(OFFSET($H$3,0,0,'Données projet'!$E$10+1,1))</f>
        <v>482.62991869403385</v>
      </c>
      <c r="AO65" s="59">
        <f t="shared" si="36"/>
        <v>310.43914804089906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7.4826614321085065</v>
      </c>
      <c r="AV65" s="21">
        <f>EXP(-LN(2)/25)*AV64+(1-EXP(-LN(2)/25))/(LN(2)/25)*Calculateur!AQ65*Calculateur!AS65*VLOOKUP('Données projet'!$B$10,Paramètres!$A$1:$I$89,3,0)*0.475*44/12</f>
        <v>32.434480843178278</v>
      </c>
      <c r="AW65" s="21">
        <f>EXP(-LN(2)/2)*AW64+(1-EXP(-LN(2)/2))/(LN(2)/2)*AQ65*AT65*VLOOKUP('Données projet'!$B$10,Paramètres!$A$1:$I$89,3,0)*0.475*44/12</f>
        <v>1.8017253464595528</v>
      </c>
      <c r="AX65" s="21">
        <f t="shared" si="6"/>
        <v>41.718867621746341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290.39999999999986</v>
      </c>
      <c r="BE65" s="13">
        <f>BD65*VLOOKUP('Données projet'!$B$11,Paramètres!$A$1:$I$89,3,0)*VLOOKUP('Données projet'!$B$11,Paramètres!$A$1:$I$89,5,0)</f>
        <v>253.69343999999992</v>
      </c>
      <c r="BF65" s="13">
        <f t="shared" si="37"/>
        <v>61.376159112289358</v>
      </c>
      <c r="BG65" s="20">
        <f t="shared" si="7"/>
        <v>548.74621845390379</v>
      </c>
      <c r="BH65" s="59">
        <f t="shared" si="8"/>
        <v>842.07955178723705</v>
      </c>
      <c r="BI65" s="59">
        <f ca="1">AVERAGE(OFFSET($BH$3,0,0,'Données projet'!$E$11+1,1))-AVERAGE(OFFSET($H$3,0,0,'Données projet'!$E$11+1,1))</f>
        <v>384.34044781465661</v>
      </c>
      <c r="BJ65" s="59">
        <f t="shared" si="38"/>
        <v>374.99493809709708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15.511330409257646</v>
      </c>
      <c r="BQ65" s="21">
        <f>EXP(-LN(2)/25)*BQ64+(1-EXP(-LN(2)/25))/(LN(2)/25)*Calculateur!BL65*Calculateur!BN65*VLOOKUP('Données projet'!$B$11,Paramètres!$A$1:$I$89,3,0)*0.475*44/12</f>
        <v>17.483906641440427</v>
      </c>
      <c r="BR65" s="21">
        <f>EXP(-LN(2)/2)*BR64+(1-EXP(-LN(2)/2))/(LN(2)/2)*BL65*BO65*VLOOKUP('Données projet'!$B$11,Paramètres!$A$1:$I$89,3,0)*0.475*44/12</f>
        <v>1.8129996772294139</v>
      </c>
      <c r="BS65" s="22">
        <f t="shared" si="9"/>
        <v>34.808236727927486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8.5662500000000001</v>
      </c>
      <c r="BY65" s="12">
        <f>IF('Données projet'!$A$114&gt;35,BY64+BX65-CG64,IF(A65&lt;'Données projet'!$A$114,$BV$205^A65,IF(A65='Données projet'!$A$114,'Données projet'!$B$114,BY64+BX65-CG64)))</f>
        <v>190.24875000000029</v>
      </c>
      <c r="BZ65" s="13">
        <f>BY65*VLOOKUP('Données projet'!$B$12,Paramètres!$A$1:$I$89,3,0)*VLOOKUP('Données projet'!$B$12,Paramètres!$A$1:$I$89,5,0)</f>
        <v>181.04071050000027</v>
      </c>
      <c r="CA65" s="13">
        <f t="shared" si="39"/>
        <v>45.553647333973878</v>
      </c>
      <c r="CB65" s="20">
        <f t="shared" si="10"/>
        <v>394.65183989417164</v>
      </c>
      <c r="CC65" s="59">
        <f t="shared" si="11"/>
        <v>687.9851732275049</v>
      </c>
      <c r="CD65" s="59">
        <f ca="1">AVERAGE(OFFSET($CC$3,0,0,'Données projet'!$E$12+1,1))-AVERAGE(OFFSET($H$3,0,0,'Données projet'!$E$12+1,1))</f>
        <v>513.14430745499283</v>
      </c>
      <c r="CE65" s="59">
        <f t="shared" si="40"/>
        <v>324.2490378019823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7.8696956441141195</v>
      </c>
      <c r="CL65" s="21">
        <f>EXP(-LN(2)/25)*CL64+(1-EXP(-LN(2)/25))/(LN(2)/25)*Calculateur!CG65*Calculateur!CI65*VLOOKUP('Données projet'!$B$12,Paramètres!$A$1:$I$89,3,0)*0.475*44/12</f>
        <v>34.112126404032331</v>
      </c>
      <c r="CM65" s="21">
        <f>EXP(-LN(2)/2)*CM64+(1-EXP(-LN(2)/2))/(LN(2)/2)*CG65*CJ65*VLOOKUP('Données projet'!$B$12,Paramètres!$A$1:$I$89,3,0)*0.475*44/12</f>
        <v>1.8949180367936684</v>
      </c>
      <c r="CN65" s="22">
        <f t="shared" si="12"/>
        <v>43.876740084940117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5.5555555555555554</v>
      </c>
      <c r="CT65" s="12">
        <f>IF('Données projet'!$A$140&gt;35,CT64+CS65-DB64,IF(A65&lt;'Données projet'!$A$140,$CQ$205^A65,IF(A65='Données projet'!$A$140,'Données projet'!$B$140,CT64+CS65-DB64)))</f>
        <v>171.36752136752133</v>
      </c>
      <c r="CU65" s="17">
        <f>CT65*VLOOKUP('Données projet'!$B$13,Paramètres!$A$1:$I$89,3,0)*VLOOKUP('Données projet'!$B$13,Paramètres!$A$1:$I$89,5,0)</f>
        <v>133.66666666666666</v>
      </c>
      <c r="CV65" s="13">
        <f t="shared" si="41"/>
        <v>34.842241918705284</v>
      </c>
      <c r="CW65" s="20">
        <f t="shared" si="13"/>
        <v>293.4863491195228</v>
      </c>
      <c r="CX65" s="59">
        <f t="shared" si="14"/>
        <v>586.81968245285611</v>
      </c>
      <c r="CY65" s="59">
        <f ca="1">AVERAGE(OFFSET($CX$3,0,0,'Données projet'!$E$13+1,1))-AVERAGE(OFFSET($H$3,0,0,'Données projet'!$E$13+1,1))</f>
        <v>197.51452239559433</v>
      </c>
      <c r="CZ65" s="59">
        <f t="shared" si="42"/>
        <v>196.65166921588821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9.2743028687298956</v>
      </c>
      <c r="DG65" s="21">
        <f>EXP(-LN(2)/25)*DG64+(1-EXP(-LN(2)/25))/(LN(2)/25)*Calculateur!DB65*Calculateur!DD65*VLOOKUP('Données projet'!$B$13,Paramètres!$A$1:$I$89,3,0)*0.475*44/12</f>
        <v>9.3799368101853542</v>
      </c>
      <c r="DH65" s="21">
        <f>EXP(-LN(2)/2)*DH64+(1-EXP(-LN(2)/2))/(LN(2)/2)*DB65*DE65*VLOOKUP('Données projet'!$B$13,Paramètres!$A$1:$I$89,3,0)*0.475*44/12</f>
        <v>2.9592614253125955</v>
      </c>
      <c r="DI65" s="22">
        <f t="shared" si="15"/>
        <v>21.613501104227844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2.8205128205128176</v>
      </c>
      <c r="DO65" s="12">
        <f>IF('Données projet'!$A$166&gt;35,DO64+DN65-DW64,IF(A65&lt;'Données projet'!$A$166,$DL$205^A65,IF(A65='Données projet'!$A$166,'Données projet'!$B$166,DO64+DN65-DW64)))</f>
        <v>116.53846153846146</v>
      </c>
      <c r="DP65" s="17">
        <f>DO65*VLOOKUP('Données projet'!$B$14,Paramètres!$A$1:$I$89,3,0)*VLOOKUP('Données projet'!$B$14,Paramètres!$A$1:$I$89,5,0)</f>
        <v>121.80599999999993</v>
      </c>
      <c r="DQ65" s="13">
        <f t="shared" si="43"/>
        <v>32.09585223561038</v>
      </c>
      <c r="DR65" s="20">
        <f t="shared" si="16"/>
        <v>268.04572597702128</v>
      </c>
      <c r="DS65" s="59">
        <f t="shared" si="17"/>
        <v>561.37905931035459</v>
      </c>
      <c r="DT65" s="59">
        <f ca="1">AVERAGE(OFFSET($DS$3,0,0,'Données projet'!$E$14+1,1))-AVERAGE(OFFSET($H$3,0,0,'Données projet'!$E$14+1,1))</f>
        <v>239.26156489359892</v>
      </c>
      <c r="DU65" s="59">
        <f t="shared" si="44"/>
        <v>213.97034450798111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15.596430700789725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15.596430700789725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6.8933333333333326</v>
      </c>
      <c r="EJ65" s="12">
        <f>IF('Données projet'!$A$192&gt;35,EJ64+EI65-ER64,IF(A65&lt;'Données projet'!$A$192,$EG$205^A65,IF(A65='Données projet'!$A$192,'Données projet'!$B$192,EJ64+EI65-ER64)))</f>
        <v>142.53666666666658</v>
      </c>
      <c r="EK65" s="17">
        <f>EJ65*VLOOKUP('Données projet'!$B$15,Paramètres!$A$1:$I$89,3,0)*VLOOKUP('Données projet'!$B$15,Paramètres!$A$1:$I$89,5,0)</f>
        <v>142.30860799999991</v>
      </c>
      <c r="EL65" s="13">
        <f t="shared" si="45"/>
        <v>36.825370689552905</v>
      </c>
      <c r="EM65" s="20">
        <f t="shared" si="19"/>
        <v>311.99167955097113</v>
      </c>
      <c r="EN65" s="59">
        <f t="shared" si="20"/>
        <v>605.32501288430444</v>
      </c>
      <c r="EO65" s="59">
        <f ca="1">AVERAGE(OFFSET($EN$3,0,0,'Données projet'!$E$15+1,1))-AVERAGE(OFFSET($H$3,0,0,'Données projet'!$E$15+1,1))</f>
        <v>525.74725170626471</v>
      </c>
      <c r="EP65" s="59">
        <f t="shared" si="46"/>
        <v>259.19103598192197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26.071327012991691</v>
      </c>
      <c r="EX65" s="21">
        <f>EXP(-LN(2)/2)*EX64+(1-EXP(-LN(2)/2))/(LN(2)/2)*ER65*EU65*VLOOKUP('Données projet'!$B$15,Paramètres!$A$1:$I$89,3,0)*0.475*44/12</f>
        <v>6.864479857726697</v>
      </c>
      <c r="EY65" s="22">
        <f t="shared" si="21"/>
        <v>32.935806870718388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6.8933333333333326</v>
      </c>
      <c r="N66" s="13">
        <f>IF('Données projet'!$A$36&gt;35,N65+M66-V65,IF(A66&lt;'Données projet'!$A$36,$K$205^A66,IF(A66='Données projet'!$A$36,'Données projet'!$B$36,N65+M66-V65)))</f>
        <v>149.42999999999992</v>
      </c>
      <c r="O66" s="13">
        <f>N66*VLOOKUP('Données projet'!$B$9,Paramètres!$A$1:$I$89,3,0)*VLOOKUP('Données projet'!$B$9,Paramètres!$A$1:$I$89,5,0)</f>
        <v>151.52201999999994</v>
      </c>
      <c r="P66" s="13">
        <f t="shared" si="33"/>
        <v>38.924266634641384</v>
      </c>
      <c r="Q66" s="20">
        <f t="shared" si="53"/>
        <v>331.6939492220003</v>
      </c>
      <c r="R66" s="59">
        <f t="shared" si="0"/>
        <v>625.02728255533361</v>
      </c>
      <c r="S66" s="59">
        <f ca="1">AVERAGE(OFFSET($R$3,0,0,'Données projet'!$E$9+1,1))-AVERAGE(OFFSET($H$3,0,0,'Données projet'!$E$9+1,1))</f>
        <v>533.26035274112917</v>
      </c>
      <c r="T66" s="59">
        <f t="shared" si="34"/>
        <v>262.58149402282521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25.754630286114779</v>
      </c>
      <c r="AB66" s="21">
        <f>EXP(-LN(2)/2)*AB65+(1-EXP(-LN(2)/2))/(LN(2)/2)*V66*Y66*VLOOKUP('Données projet'!$B$9,Paramètres!$A$1:$I$89,3,0)*0.475*44/12</f>
        <v>4.9297627607282193</v>
      </c>
      <c r="AC66" s="22">
        <f t="shared" si="3"/>
        <v>30.684393046842999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8.5662500000000001</v>
      </c>
      <c r="AI66" s="13">
        <f>IF('Données projet'!$A$62&gt;35,AI65+AH66-AQ65,IF(A66&lt;'Données projet'!$A$62,$AF$205^A66,IF(A66='Données projet'!$A$62,'Données projet'!$B$62,AI65+AH66-AQ65)))</f>
        <v>198.81500000000028</v>
      </c>
      <c r="AJ66" s="13">
        <f>AI66*VLOOKUP('Données projet'!$B$10,Paramètres!$A$1:$I$89,3,0)*VLOOKUP('Données projet'!$B$10,Paramètres!$A$1:$I$89,5,0)</f>
        <v>179.88781200000022</v>
      </c>
      <c r="AK66" s="13">
        <f t="shared" si="35"/>
        <v>45.297225497901827</v>
      </c>
      <c r="AL66" s="20">
        <f t="shared" si="4"/>
        <v>392.19727364217937</v>
      </c>
      <c r="AM66" s="59">
        <f t="shared" si="5"/>
        <v>685.53060697551268</v>
      </c>
      <c r="AN66" s="59">
        <f ca="1">AVERAGE(OFFSET($AM$3,0,0,'Données projet'!$E$10+1,1))-AVERAGE(OFFSET($H$3,0,0,'Données projet'!$E$10+1,1))</f>
        <v>482.62991869403385</v>
      </c>
      <c r="AO66" s="59">
        <f t="shared" si="36"/>
        <v>310.43914804089906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7.3359310053976774</v>
      </c>
      <c r="AV66" s="21">
        <f>EXP(-LN(2)/25)*AV65+(1-EXP(-LN(2)/25))/(LN(2)/25)*Calculateur!AQ66*Calculateur!AS66*VLOOKUP('Données projet'!$B$10,Paramètres!$A$1:$I$89,3,0)*0.475*44/12</f>
        <v>31.547558258866349</v>
      </c>
      <c r="AW66" s="21">
        <f>EXP(-LN(2)/2)*AW65+(1-EXP(-LN(2)/2))/(LN(2)/2)*AQ66*AT66*VLOOKUP('Données projet'!$B$10,Paramètres!$A$1:$I$89,3,0)*0.475*44/12</f>
        <v>1.2740122103172316</v>
      </c>
      <c r="AX66" s="21">
        <f t="shared" si="6"/>
        <v>40.15750147458126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295.59999999999985</v>
      </c>
      <c r="BE66" s="13">
        <f>BD66*VLOOKUP('Données projet'!$B$11,Paramètres!$A$1:$I$89,3,0)*VLOOKUP('Données projet'!$B$11,Paramètres!$A$1:$I$89,5,0)</f>
        <v>258.23615999999993</v>
      </c>
      <c r="BF66" s="13">
        <f t="shared" si="37"/>
        <v>62.346249722937728</v>
      </c>
      <c r="BG66" s="20">
        <f t="shared" si="7"/>
        <v>558.34769693411636</v>
      </c>
      <c r="BH66" s="59">
        <f t="shared" si="8"/>
        <v>851.68103026744961</v>
      </c>
      <c r="BI66" s="59">
        <f ca="1">AVERAGE(OFFSET($BH$3,0,0,'Données projet'!$E$11+1,1))-AVERAGE(OFFSET($H$3,0,0,'Données projet'!$E$11+1,1))</f>
        <v>384.34044781465661</v>
      </c>
      <c r="BJ66" s="59">
        <f t="shared" si="38"/>
        <v>374.99493809709708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15.207162680909459</v>
      </c>
      <c r="BQ66" s="21">
        <f>EXP(-LN(2)/25)*BQ65+(1-EXP(-LN(2)/25))/(LN(2)/25)*Calculateur!BL66*Calculateur!BN66*VLOOKUP('Données projet'!$B$11,Paramètres!$A$1:$I$89,3,0)*0.475*44/12</f>
        <v>17.005808294891548</v>
      </c>
      <c r="BR66" s="21">
        <f>EXP(-LN(2)/2)*BR65+(1-EXP(-LN(2)/2))/(LN(2)/2)*BL66*BO66*VLOOKUP('Données projet'!$B$11,Paramètres!$A$1:$I$89,3,0)*0.475*44/12</f>
        <v>1.2819843660579406</v>
      </c>
      <c r="BS66" s="22">
        <f t="shared" si="9"/>
        <v>33.494955341858947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8.5662500000000001</v>
      </c>
      <c r="BY66" s="12">
        <f>IF('Données projet'!$A$114&gt;35,BY65+BX66-CG65,IF(A66&lt;'Données projet'!$A$114,$BV$205^A66,IF(A66='Données projet'!$A$114,'Données projet'!$B$114,BY65+BX66-CG65)))</f>
        <v>198.81500000000028</v>
      </c>
      <c r="BZ66" s="13">
        <f>BY66*VLOOKUP('Données projet'!$B$12,Paramètres!$A$1:$I$89,3,0)*VLOOKUP('Données projet'!$B$12,Paramètres!$A$1:$I$89,5,0)</f>
        <v>189.19235400000025</v>
      </c>
      <c r="CA66" s="13">
        <f t="shared" si="39"/>
        <v>47.361349543153693</v>
      </c>
      <c r="CB66" s="20">
        <f t="shared" si="10"/>
        <v>411.99770033765975</v>
      </c>
      <c r="CC66" s="59">
        <f t="shared" si="11"/>
        <v>705.33103367099307</v>
      </c>
      <c r="CD66" s="59">
        <f ca="1">AVERAGE(OFFSET($CC$3,0,0,'Données projet'!$E$12+1,1))-AVERAGE(OFFSET($H$3,0,0,'Données projet'!$E$12+1,1))</f>
        <v>513.14430745499283</v>
      </c>
      <c r="CE66" s="59">
        <f t="shared" si="40"/>
        <v>324.2490378019823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7.7153757125734197</v>
      </c>
      <c r="CL66" s="21">
        <f>EXP(-LN(2)/25)*CL65+(1-EXP(-LN(2)/25))/(LN(2)/25)*Calculateur!CG66*Calculateur!CI66*VLOOKUP('Données projet'!$B$12,Paramètres!$A$1:$I$89,3,0)*0.475*44/12</f>
        <v>33.179328513635305</v>
      </c>
      <c r="CM66" s="21">
        <f>EXP(-LN(2)/2)*CM65+(1-EXP(-LN(2)/2))/(LN(2)/2)*CG66*CJ66*VLOOKUP('Données projet'!$B$12,Paramètres!$A$1:$I$89,3,0)*0.475*44/12</f>
        <v>1.3399093936095028</v>
      </c>
      <c r="CN66" s="22">
        <f t="shared" si="12"/>
        <v>42.234613619818226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5.5555555555555554</v>
      </c>
      <c r="CT66" s="12">
        <f>IF('Données projet'!$A$140&gt;35,CT65+CS66-DB65,IF(A66&lt;'Données projet'!$A$140,$CQ$205^A66,IF(A66='Données projet'!$A$140,'Données projet'!$B$140,CT65+CS66-DB65)))</f>
        <v>176.92307692307688</v>
      </c>
      <c r="CU66" s="17">
        <f>CT66*VLOOKUP('Données projet'!$B$13,Paramètres!$A$1:$I$89,3,0)*VLOOKUP('Données projet'!$B$13,Paramètres!$A$1:$I$89,5,0)</f>
        <v>137.99999999999997</v>
      </c>
      <c r="CV66" s="13">
        <f t="shared" si="41"/>
        <v>35.838450602130571</v>
      </c>
      <c r="CW66" s="20">
        <f t="shared" si="13"/>
        <v>302.76863479871071</v>
      </c>
      <c r="CX66" s="59">
        <f t="shared" si="14"/>
        <v>596.10196813204402</v>
      </c>
      <c r="CY66" s="59">
        <f ca="1">AVERAGE(OFFSET($CX$3,0,0,'Données projet'!$E$13+1,1))-AVERAGE(OFFSET($H$3,0,0,'Données projet'!$E$13+1,1))</f>
        <v>197.51452239559433</v>
      </c>
      <c r="CZ66" s="59">
        <f t="shared" si="42"/>
        <v>196.65166921588821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9.0924394462402933</v>
      </c>
      <c r="DG66" s="21">
        <f>EXP(-LN(2)/25)*DG65+(1-EXP(-LN(2)/25))/(LN(2)/25)*Calculateur!DB66*Calculateur!DD66*VLOOKUP('Données projet'!$B$13,Paramètres!$A$1:$I$89,3,0)*0.475*44/12</f>
        <v>9.1234419448413977</v>
      </c>
      <c r="DH66" s="21">
        <f>EXP(-LN(2)/2)*DH65+(1-EXP(-LN(2)/2))/(LN(2)/2)*DB66*DE66*VLOOKUP('Données projet'!$B$13,Paramètres!$A$1:$I$89,3,0)*0.475*44/12</f>
        <v>2.0925138211423042</v>
      </c>
      <c r="DI66" s="22">
        <f t="shared" si="15"/>
        <v>20.308395212223996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2.8205128205128176</v>
      </c>
      <c r="DO66" s="12">
        <f>IF('Données projet'!$A$166&gt;35,DO65+DN66-DW65,IF(A66&lt;'Données projet'!$A$166,$DL$205^A66,IF(A66='Données projet'!$A$166,'Données projet'!$B$166,DO65+DN66-DW65)))</f>
        <v>119.35897435897428</v>
      </c>
      <c r="DP66" s="17">
        <f>DO66*VLOOKUP('Données projet'!$B$14,Paramètres!$A$1:$I$89,3,0)*VLOOKUP('Données projet'!$B$14,Paramètres!$A$1:$I$89,5,0)</f>
        <v>124.75399999999992</v>
      </c>
      <c r="DQ66" s="13">
        <f t="shared" si="43"/>
        <v>32.781272112057259</v>
      </c>
      <c r="DR66" s="20">
        <f t="shared" si="16"/>
        <v>274.37393226183292</v>
      </c>
      <c r="DS66" s="59">
        <f t="shared" si="17"/>
        <v>567.70726559516629</v>
      </c>
      <c r="DT66" s="59">
        <f ca="1">AVERAGE(OFFSET($DS$3,0,0,'Données projet'!$E$14+1,1))-AVERAGE(OFFSET($H$3,0,0,'Données projet'!$E$14+1,1))</f>
        <v>239.26156489359892</v>
      </c>
      <c r="DU66" s="59">
        <f t="shared" si="44"/>
        <v>213.97034450798111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15.169945483095985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15.169945483095985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6.8933333333333326</v>
      </c>
      <c r="EJ66" s="12">
        <f>IF('Données projet'!$A$192&gt;35,EJ65+EI66-ER65,IF(A66&lt;'Données projet'!$A$192,$EG$205^A66,IF(A66='Données projet'!$A$192,'Données projet'!$B$192,EJ65+EI66-ER65)))</f>
        <v>149.42999999999992</v>
      </c>
      <c r="EK66" s="17">
        <f>EJ66*VLOOKUP('Données projet'!$B$15,Paramètres!$A$1:$I$89,3,0)*VLOOKUP('Données projet'!$B$15,Paramètres!$A$1:$I$89,5,0)</f>
        <v>149.19091199999994</v>
      </c>
      <c r="EL66" s="13">
        <f t="shared" si="45"/>
        <v>38.394659632339028</v>
      </c>
      <c r="EM66" s="20">
        <f t="shared" si="19"/>
        <v>326.71153725965706</v>
      </c>
      <c r="EN66" s="59">
        <f t="shared" si="20"/>
        <v>620.04487059299038</v>
      </c>
      <c r="EO66" s="59">
        <f ca="1">AVERAGE(OFFSET($EN$3,0,0,'Données projet'!$E$15+1,1))-AVERAGE(OFFSET($H$3,0,0,'Données projet'!$E$15+1,1))</f>
        <v>525.74725170626471</v>
      </c>
      <c r="EP66" s="59">
        <f t="shared" si="46"/>
        <v>259.19103598192197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25.358405204789932</v>
      </c>
      <c r="EX66" s="21">
        <f>EXP(-LN(2)/2)*EX65+(1-EXP(-LN(2)/2))/(LN(2)/2)*ER66*EU66*VLOOKUP('Données projet'!$B$15,Paramètres!$A$1:$I$89,3,0)*0.475*44/12</f>
        <v>4.8539202567170143</v>
      </c>
      <c r="EY66" s="22">
        <f t="shared" si="21"/>
        <v>30.212325461506946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6.8933333333333326</v>
      </c>
      <c r="N67" s="13">
        <f>IF('Données projet'!$A$36&gt;35,N66+M67-V66,IF(A67&lt;'Données projet'!$A$36,$K$205^A67,IF(A67='Données projet'!$A$36,'Données projet'!$B$36,N66+M67-V66)))</f>
        <v>156.32333333333327</v>
      </c>
      <c r="O67" s="13">
        <f>N67*VLOOKUP('Données projet'!$B$9,Paramètres!$A$1:$I$89,3,0)*VLOOKUP('Données projet'!$B$9,Paramètres!$A$1:$I$89,5,0)</f>
        <v>158.51185999999996</v>
      </c>
      <c r="P67" s="13">
        <f t="shared" si="33"/>
        <v>40.506678950569523</v>
      </c>
      <c r="Q67" s="20">
        <f t="shared" ref="Q67:Q98" si="54">(O67+P67)*0.475*44/12</f>
        <v>346.6239553389085</v>
      </c>
      <c r="R67" s="59">
        <f t="shared" ref="R67:R130" si="55">Q67+(I67+J67)*44/12</f>
        <v>639.95728867224182</v>
      </c>
      <c r="S67" s="59">
        <f ca="1">AVERAGE(OFFSET($R$3,0,0,'Données projet'!$E$9+1,1))-AVERAGE(OFFSET($H$3,0,0,'Données projet'!$E$9+1,1))</f>
        <v>533.26035274112917</v>
      </c>
      <c r="T67" s="59">
        <f t="shared" si="34"/>
        <v>262.58149402282521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25.050368566563826</v>
      </c>
      <c r="AB67" s="21">
        <f>EXP(-LN(2)/2)*AB66+(1-EXP(-LN(2)/2))/(LN(2)/2)*V67*Y67*VLOOKUP('Données projet'!$B$9,Paramètres!$A$1:$I$89,3,0)*0.475*44/12</f>
        <v>3.4858686777518395</v>
      </c>
      <c r="AC67" s="22">
        <f t="shared" si="3"/>
        <v>28.536237244315664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8.5662500000000001</v>
      </c>
      <c r="AI67" s="13">
        <f>IF('Données projet'!$A$62&gt;35,AI66+AH67-AQ66,IF(A67&lt;'Données projet'!$A$62,$AF$205^A67,IF(A67='Données projet'!$A$62,'Données projet'!$B$62,AI66+AH67-AQ66)))</f>
        <v>207.38125000000028</v>
      </c>
      <c r="AJ67" s="13">
        <f>AI67*VLOOKUP('Données projet'!$B$10,Paramètres!$A$1:$I$89,3,0)*VLOOKUP('Données projet'!$B$10,Paramètres!$A$1:$I$89,5,0)</f>
        <v>187.63855500000025</v>
      </c>
      <c r="AK67" s="13">
        <f t="shared" si="35"/>
        <v>47.017491484907552</v>
      </c>
      <c r="AL67" s="20">
        <f t="shared" si="4"/>
        <v>408.6926142945477</v>
      </c>
      <c r="AM67" s="59">
        <f t="shared" si="5"/>
        <v>702.02594762788101</v>
      </c>
      <c r="AN67" s="59">
        <f ca="1">AVERAGE(OFFSET($AM$3,0,0,'Données projet'!$E$10+1,1))-AVERAGE(OFFSET($H$3,0,0,'Données projet'!$E$10+1,1))</f>
        <v>482.62991869403385</v>
      </c>
      <c r="AO67" s="59">
        <f t="shared" si="36"/>
        <v>310.43914804089906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7.192077872857924</v>
      </c>
      <c r="AV67" s="21">
        <f>EXP(-LN(2)/25)*AV66+(1-EXP(-LN(2)/25))/(LN(2)/25)*Calculateur!AQ67*Calculateur!AS67*VLOOKUP('Données projet'!$B$10,Paramètres!$A$1:$I$89,3,0)*0.475*44/12</f>
        <v>30.684888619263663</v>
      </c>
      <c r="AW67" s="21">
        <f>EXP(-LN(2)/2)*AW66+(1-EXP(-LN(2)/2))/(LN(2)/2)*AQ67*AT67*VLOOKUP('Données projet'!$B$10,Paramètres!$A$1:$I$89,3,0)*0.475*44/12</f>
        <v>0.90086267322977642</v>
      </c>
      <c r="AX67" s="21">
        <f t="shared" si="6"/>
        <v>38.777829165351363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300.79999999999984</v>
      </c>
      <c r="BE67" s="13">
        <f>BD67*VLOOKUP('Données projet'!$B$11,Paramètres!$A$1:$I$89,3,0)*VLOOKUP('Données projet'!$B$11,Paramètres!$A$1:$I$89,5,0)</f>
        <v>262.7788799999999</v>
      </c>
      <c r="BF67" s="13">
        <f t="shared" si="37"/>
        <v>63.314355869176104</v>
      </c>
      <c r="BG67" s="20">
        <f t="shared" si="7"/>
        <v>567.94571913881475</v>
      </c>
      <c r="BH67" s="59">
        <f t="shared" si="8"/>
        <v>861.27905247214812</v>
      </c>
      <c r="BI67" s="59">
        <f ca="1">AVERAGE(OFFSET($BH$3,0,0,'Données projet'!$E$11+1,1))-AVERAGE(OFFSET($H$3,0,0,'Données projet'!$E$11+1,1))</f>
        <v>384.34044781465661</v>
      </c>
      <c r="BJ67" s="59">
        <f t="shared" si="38"/>
        <v>374.99493809709708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14.908959496190185</v>
      </c>
      <c r="BQ67" s="21">
        <f>EXP(-LN(2)/25)*BQ66+(1-EXP(-LN(2)/25))/(LN(2)/25)*Calculateur!BL67*Calculateur!BN67*VLOOKUP('Données projet'!$B$11,Paramètres!$A$1:$I$89,3,0)*0.475*44/12</f>
        <v>16.540783572771147</v>
      </c>
      <c r="BR67" s="21">
        <f>EXP(-LN(2)/2)*BR66+(1-EXP(-LN(2)/2))/(LN(2)/2)*BL67*BO67*VLOOKUP('Données projet'!$B$11,Paramètres!$A$1:$I$89,3,0)*0.475*44/12</f>
        <v>0.90649983861470718</v>
      </c>
      <c r="BS67" s="22">
        <f t="shared" si="9"/>
        <v>32.356242907576039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8.5662500000000001</v>
      </c>
      <c r="BY67" s="12">
        <f>IF('Données projet'!$A$114&gt;35,BY66+BX67-CG66,IF(A67&lt;'Données projet'!$A$114,$BV$205^A67,IF(A67='Données projet'!$A$114,'Données projet'!$B$114,BY66+BX67-CG66)))</f>
        <v>207.38125000000028</v>
      </c>
      <c r="BZ67" s="13">
        <f>BY67*VLOOKUP('Données projet'!$B$12,Paramètres!$A$1:$I$89,3,0)*VLOOKUP('Données projet'!$B$12,Paramètres!$A$1:$I$89,5,0)</f>
        <v>197.34399750000026</v>
      </c>
      <c r="CA67" s="13">
        <f t="shared" si="39"/>
        <v>49.160005373002484</v>
      </c>
      <c r="CB67" s="20">
        <f t="shared" si="10"/>
        <v>429.32780500381313</v>
      </c>
      <c r="CC67" s="59">
        <f t="shared" si="11"/>
        <v>722.66113833714644</v>
      </c>
      <c r="CD67" s="59">
        <f ca="1">AVERAGE(OFFSET($CC$3,0,0,'Données projet'!$E$12+1,1))-AVERAGE(OFFSET($H$3,0,0,'Données projet'!$E$12+1,1))</f>
        <v>513.14430745499283</v>
      </c>
      <c r="CE67" s="59">
        <f t="shared" si="40"/>
        <v>324.2490378019823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7.5640819007643687</v>
      </c>
      <c r="CL67" s="21">
        <f>EXP(-LN(2)/25)*CL66+(1-EXP(-LN(2)/25))/(LN(2)/25)*Calculateur!CG67*Calculateur!CI67*VLOOKUP('Données projet'!$B$12,Paramètres!$A$1:$I$89,3,0)*0.475*44/12</f>
        <v>32.272038030604897</v>
      </c>
      <c r="CM67" s="21">
        <f>EXP(-LN(2)/2)*CM66+(1-EXP(-LN(2)/2))/(LN(2)/2)*CG67*CJ67*VLOOKUP('Données projet'!$B$12,Paramètres!$A$1:$I$89,3,0)*0.475*44/12</f>
        <v>0.94745901839683433</v>
      </c>
      <c r="CN67" s="22">
        <f t="shared" si="12"/>
        <v>40.783578949766103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5.5555555555555554</v>
      </c>
      <c r="CT67" s="12">
        <f>IF('Données projet'!$A$140&gt;35,CT66+CS67-DB66,IF(A67&lt;'Données projet'!$A$140,$CQ$205^A67,IF(A67='Données projet'!$A$140,'Données projet'!$B$140,CT66+CS67-DB66)))</f>
        <v>182.47863247863242</v>
      </c>
      <c r="CU67" s="17">
        <f>CT67*VLOOKUP('Données projet'!$B$13,Paramètres!$A$1:$I$89,3,0)*VLOOKUP('Données projet'!$B$13,Paramètres!$A$1:$I$89,5,0)</f>
        <v>142.33333333333329</v>
      </c>
      <c r="CV67" s="13">
        <f t="shared" si="41"/>
        <v>36.831024085819266</v>
      </c>
      <c r="CW67" s="20">
        <f t="shared" si="13"/>
        <v>312.04458917169069</v>
      </c>
      <c r="CX67" s="59">
        <f t="shared" si="14"/>
        <v>605.377922505024</v>
      </c>
      <c r="CY67" s="59">
        <f ca="1">AVERAGE(OFFSET($CX$3,0,0,'Données projet'!$E$13+1,1))-AVERAGE(OFFSET($H$3,0,0,'Données projet'!$E$13+1,1))</f>
        <v>197.51452239559433</v>
      </c>
      <c r="CZ67" s="59">
        <f t="shared" si="42"/>
        <v>196.65166921588821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8.9141422545399767</v>
      </c>
      <c r="DG67" s="21">
        <f>EXP(-LN(2)/25)*DG66+(1-EXP(-LN(2)/25))/(LN(2)/25)*Calculateur!DB67*Calculateur!DD67*VLOOKUP('Données projet'!$B$13,Paramètres!$A$1:$I$89,3,0)*0.475*44/12</f>
        <v>8.8739609450787498</v>
      </c>
      <c r="DH67" s="21">
        <f>EXP(-LN(2)/2)*DH66+(1-EXP(-LN(2)/2))/(LN(2)/2)*DB67*DE67*VLOOKUP('Données projet'!$B$13,Paramètres!$A$1:$I$89,3,0)*0.475*44/12</f>
        <v>1.4796307126562978</v>
      </c>
      <c r="DI67" s="22">
        <f t="shared" si="15"/>
        <v>19.267733912275023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2.8205128205128176</v>
      </c>
      <c r="DO67" s="12">
        <f>IF('Données projet'!$A$166&gt;35,DO66+DN67-DW66,IF(A67&lt;'Données projet'!$A$166,$DL$205^A67,IF(A67='Données projet'!$A$166,'Données projet'!$B$166,DO66+DN67-DW66)))</f>
        <v>122.1794871794871</v>
      </c>
      <c r="DP67" s="17">
        <f>DO67*VLOOKUP('Données projet'!$B$14,Paramètres!$A$1:$I$89,3,0)*VLOOKUP('Données projet'!$B$14,Paramètres!$A$1:$I$89,5,0)</f>
        <v>127.70199999999991</v>
      </c>
      <c r="DQ67" s="13">
        <f t="shared" si="43"/>
        <v>33.464809084200624</v>
      </c>
      <c r="DR67" s="20">
        <f t="shared" si="16"/>
        <v>280.69885915498259</v>
      </c>
      <c r="DS67" s="59">
        <f t="shared" si="17"/>
        <v>574.0321924883159</v>
      </c>
      <c r="DT67" s="59">
        <f ca="1">AVERAGE(OFFSET($DS$3,0,0,'Données projet'!$E$14+1,1))-AVERAGE(OFFSET($H$3,0,0,'Données projet'!$E$14+1,1))</f>
        <v>239.26156489359892</v>
      </c>
      <c r="DU67" s="59">
        <f t="shared" si="44"/>
        <v>213.97034450798111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14.755122526107964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14.755122526107964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6.8933333333333326</v>
      </c>
      <c r="EJ67" s="12">
        <f>IF('Données projet'!$A$192&gt;35,EJ66+EI67-ER66,IF(A67&lt;'Données projet'!$A$192,$EG$205^A67,IF(A67='Données projet'!$A$192,'Données projet'!$B$192,EJ66+EI67-ER66)))</f>
        <v>156.32333333333327</v>
      </c>
      <c r="EK67" s="17">
        <f>EJ67*VLOOKUP('Données projet'!$B$15,Paramètres!$A$1:$I$89,3,0)*VLOOKUP('Données projet'!$B$15,Paramètres!$A$1:$I$89,5,0)</f>
        <v>156.07321599999995</v>
      </c>
      <c r="EL67" s="13">
        <f t="shared" si="45"/>
        <v>39.955541506835537</v>
      </c>
      <c r="EM67" s="20">
        <f t="shared" si="19"/>
        <v>341.41675265773847</v>
      </c>
      <c r="EN67" s="59">
        <f t="shared" si="20"/>
        <v>634.75008599107173</v>
      </c>
      <c r="EO67" s="59">
        <f ca="1">AVERAGE(OFFSET($EN$3,0,0,'Données projet'!$E$15+1,1))-AVERAGE(OFFSET($H$3,0,0,'Données projet'!$E$15+1,1))</f>
        <v>525.74725170626471</v>
      </c>
      <c r="EP67" s="59">
        <f t="shared" si="46"/>
        <v>259.19103598192197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24.66497828092438</v>
      </c>
      <c r="EX67" s="21">
        <f>EXP(-LN(2)/2)*EX66+(1-EXP(-LN(2)/2))/(LN(2)/2)*ER67*EU67*VLOOKUP('Données projet'!$B$15,Paramètres!$A$1:$I$89,3,0)*0.475*44/12</f>
        <v>3.4322399288633485</v>
      </c>
      <c r="EY67" s="22">
        <f t="shared" si="21"/>
        <v>28.09721820978773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6.8933333333333326</v>
      </c>
      <c r="N68" s="13">
        <f>IF('Données projet'!$A$36&gt;35,N67+M68-V67,IF(A68&lt;'Données projet'!$A$36,$K$205^A68,IF(A68='Données projet'!$A$36,'Données projet'!$B$36,N67+M68-V67)))</f>
        <v>163.21666666666661</v>
      </c>
      <c r="O68" s="13">
        <f>N68*VLOOKUP('Données projet'!$B$9,Paramètres!$A$1:$I$89,3,0)*VLOOKUP('Données projet'!$B$9,Paramètres!$A$1:$I$89,5,0)</f>
        <v>165.50169999999997</v>
      </c>
      <c r="P68" s="13">
        <f t="shared" si="33"/>
        <v>42.080987019777631</v>
      </c>
      <c r="Q68" s="20">
        <f t="shared" si="54"/>
        <v>361.539846559446</v>
      </c>
      <c r="R68" s="59">
        <f t="shared" si="55"/>
        <v>654.87317989277926</v>
      </c>
      <c r="S68" s="59">
        <f ca="1">AVERAGE(OFFSET($R$3,0,0,'Données projet'!$E$9+1,1))-AVERAGE(OFFSET($H$3,0,0,'Données projet'!$E$9+1,1))</f>
        <v>533.26035274112917</v>
      </c>
      <c r="T68" s="59">
        <f t="shared" si="34"/>
        <v>262.58149402282521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24.365364920769508</v>
      </c>
      <c r="AB68" s="21">
        <f>EXP(-LN(2)/2)*AB67+(1-EXP(-LN(2)/2))/(LN(2)/2)*V68*Y68*VLOOKUP('Données projet'!$B$9,Paramètres!$A$1:$I$89,3,0)*0.475*44/12</f>
        <v>2.4648813803641101</v>
      </c>
      <c r="AC68" s="22">
        <f t="shared" ref="AC68:AC131" si="57">SUM(Z68:AB68)</f>
        <v>26.83024630113362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8.5662500000000001</v>
      </c>
      <c r="AI68" s="13">
        <f>IF('Données projet'!$A$62&gt;35,AI67+AH68-AQ67,IF(A68&lt;'Données projet'!$A$62,$AF$205^A68,IF(A68='Données projet'!$A$62,'Données projet'!$B$62,AI67+AH68-AQ67)))</f>
        <v>215.94750000000028</v>
      </c>
      <c r="AJ68" s="13">
        <f>AI68*VLOOKUP('Données projet'!$B$10,Paramètres!$A$1:$I$89,3,0)*VLOOKUP('Données projet'!$B$10,Paramètres!$A$1:$I$89,5,0)</f>
        <v>195.38929800000025</v>
      </c>
      <c r="AK68" s="13">
        <f t="shared" si="35"/>
        <v>48.729503620609371</v>
      </c>
      <c r="AL68" s="20">
        <f t="shared" ref="AL68:AL131" si="58">(AJ68+AK68)*0.475*44/12</f>
        <v>425.17357948922836</v>
      </c>
      <c r="AM68" s="59">
        <f t="shared" ref="AM68:AM131" si="59">AL68+(AD68+AE68)*44/12</f>
        <v>718.50691282256162</v>
      </c>
      <c r="AN68" s="59">
        <f ca="1">AVERAGE(OFFSET($AM$3,0,0,'Données projet'!$E$10+1,1))-AVERAGE(OFFSET($H$3,0,0,'Données projet'!$E$10+1,1))</f>
        <v>482.62991869403385</v>
      </c>
      <c r="AO68" s="59">
        <f t="shared" si="36"/>
        <v>310.43914804089906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7.0510456125055283</v>
      </c>
      <c r="AV68" s="21">
        <f>EXP(-LN(2)/25)*AV67+(1-EXP(-LN(2)/25))/(LN(2)/25)*Calculateur!AQ68*Calculateur!AS68*VLOOKUP('Données projet'!$B$10,Paramètres!$A$1:$I$89,3,0)*0.475*44/12</f>
        <v>29.845808726321739</v>
      </c>
      <c r="AW68" s="21">
        <f>EXP(-LN(2)/2)*AW67+(1-EXP(-LN(2)/2))/(LN(2)/2)*AQ68*AT68*VLOOKUP('Données projet'!$B$10,Paramètres!$A$1:$I$89,3,0)*0.475*44/12</f>
        <v>0.63700610515861578</v>
      </c>
      <c r="AX68" s="21">
        <f t="shared" ref="AX68:AX131" si="60">SUM(AU68:AW68)</f>
        <v>37.533860443985887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306</v>
      </c>
      <c r="BB68" s="12">
        <f>VLOOKUP(A68,'Données projet'!$A$87:$I$107,9,0)</f>
        <v>5.2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305.99999999999983</v>
      </c>
      <c r="BE68" s="13">
        <f>BD68*VLOOKUP('Données projet'!$B$11,Paramètres!$A$1:$I$89,3,0)*VLOOKUP('Données projet'!$B$11,Paramètres!$A$1:$I$89,5,0)</f>
        <v>267.32159999999988</v>
      </c>
      <c r="BF68" s="13">
        <f t="shared" si="37"/>
        <v>64.280515815446321</v>
      </c>
      <c r="BG68" s="20">
        <f t="shared" ref="BG68:BG131" si="61">(BE68+BF68)*0.475*44/12</f>
        <v>577.54035171190208</v>
      </c>
      <c r="BH68" s="59">
        <f t="shared" ref="BH68:BH131" si="62">BG68+(AY68+AZ68)*44/12</f>
        <v>870.87368504523533</v>
      </c>
      <c r="BI68" s="59">
        <f ca="1">AVERAGE(OFFSET($BH$3,0,0,'Données projet'!$E$11+1,1))-AVERAGE(OFFSET($H$3,0,0,'Données projet'!$E$11+1,1))</f>
        <v>384.34044781465661</v>
      </c>
      <c r="BJ68" s="59">
        <f t="shared" si="38"/>
        <v>374.99493809709708</v>
      </c>
      <c r="BK68" s="15">
        <f>IF(ISNA(VLOOKUP(A68,'Données projet'!$A$87:$I$107,3,0)),0,VLOOKUP(A68,'Données projet'!$A$87:$I$107,3,0))</f>
        <v>11</v>
      </c>
      <c r="BL68" s="15">
        <f>IF(ISNA(VLOOKUP(A68,'Données projet'!$A$87:$I$107,4,0)),0,VLOOKUP(A68,'Données projet'!$A$87:$I$107,4,0))</f>
        <v>13</v>
      </c>
      <c r="BM68" s="16">
        <f>IF(ISNA(VLOOKUP(A68,'Données projet'!$A$87:$I$107,5,0)),0%,VLOOKUP(A68,'Données projet'!$A$87:$I$107,5,0)*VLOOKUP('Données projet'!$B$11,Paramètres!$A$1:$I$89,7,0))</f>
        <v>0.13250000000000001</v>
      </c>
      <c r="BN68" s="16">
        <f>IF(ISNA(VLOOKUP(A68,'Données projet'!$A$87:$I$107,6,0)),0%,VLOOKUP(A68,'Données projet'!$A$87:$I$107,6,0)*VLOOKUP('Données projet'!$B$11,Paramètres!$A$1:$I$89,7,0))</f>
        <v>0.13250000000000001</v>
      </c>
      <c r="BO68" s="16">
        <f>IF(ISNA(VLOOKUP(A68,'Données projet'!$A$87:$I$107,7,0)),0%,VLOOKUP(A68,'Données projet'!$A$87:$I$107,7,0))</f>
        <v>0.25</v>
      </c>
      <c r="BP68" s="21">
        <f>EXP(-LN(2)/35)*BP67+(1-EXP(-LN(2)/35))/(LN(2)/35)*BL68*BM68*VLOOKUP('Données projet'!$B$11,Paramètres!$A$1:$I$89,3,0)*0.475*44/12</f>
        <v>16.280089189869351</v>
      </c>
      <c r="BQ68" s="21">
        <f>EXP(-LN(2)/25)*BQ67+(1-EXP(-LN(2)/25))/(LN(2)/25)*Calculateur!BL68*Calculateur!BN68*VLOOKUP('Données projet'!$B$11,Paramètres!$A$1:$I$89,3,0)*0.475*44/12</f>
        <v>17.745410496516513</v>
      </c>
      <c r="BR68" s="21">
        <f>EXP(-LN(2)/2)*BR67+(1-EXP(-LN(2)/2))/(LN(2)/2)*BL68*BO68*VLOOKUP('Données projet'!$B$11,Paramètres!$A$1:$I$89,3,0)*0.475*44/12</f>
        <v>3.3198537989765886</v>
      </c>
      <c r="BS68" s="22">
        <f t="shared" ref="BS68:BS131" si="63">SUM(BP68:BR68)</f>
        <v>37.345353485362452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8.5662500000000001</v>
      </c>
      <c r="BY68" s="12">
        <f>IF('Données projet'!$A$114&gt;35,BY67+BX68-CG67,IF(A68&lt;'Données projet'!$A$114,$BV$205^A68,IF(A68='Données projet'!$A$114,'Données projet'!$B$114,BY67+BX68-CG67)))</f>
        <v>215.94750000000028</v>
      </c>
      <c r="BZ68" s="13">
        <f>BY68*VLOOKUP('Données projet'!$B$12,Paramètres!$A$1:$I$89,3,0)*VLOOKUP('Données projet'!$B$12,Paramètres!$A$1:$I$89,5,0)</f>
        <v>205.49564100000026</v>
      </c>
      <c r="CA68" s="13">
        <f t="shared" si="39"/>
        <v>50.9500312363934</v>
      </c>
      <c r="CB68" s="20">
        <f t="shared" ref="CB68:CB131" si="64">(BZ68+CA68)*0.475*44/12</f>
        <v>446.64287914505229</v>
      </c>
      <c r="CC68" s="59">
        <f t="shared" ref="CC68:CC131" si="65">CB68+(BT68+BU68)*44/12</f>
        <v>739.97621247838561</v>
      </c>
      <c r="CD68" s="59">
        <f ca="1">AVERAGE(OFFSET($CC$3,0,0,'Données projet'!$E$12+1,1))-AVERAGE(OFFSET($H$3,0,0,'Données projet'!$E$12+1,1))</f>
        <v>513.14430745499283</v>
      </c>
      <c r="CE68" s="59">
        <f t="shared" si="40"/>
        <v>324.2490378019823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7.4157548683247807</v>
      </c>
      <c r="CL68" s="21">
        <f>EXP(-LN(2)/25)*CL67+(1-EXP(-LN(2)/25))/(LN(2)/25)*Calculateur!CG68*Calculateur!CI68*VLOOKUP('Données projet'!$B$12,Paramètres!$A$1:$I$89,3,0)*0.475*44/12</f>
        <v>31.389557453545283</v>
      </c>
      <c r="CM68" s="21">
        <f>EXP(-LN(2)/2)*CM67+(1-EXP(-LN(2)/2))/(LN(2)/2)*CG68*CJ68*VLOOKUP('Données projet'!$B$12,Paramètres!$A$1:$I$89,3,0)*0.475*44/12</f>
        <v>0.6699546968047515</v>
      </c>
      <c r="CN68" s="22">
        <f t="shared" ref="CN68:CN131" si="66">SUM(CK68:CM68)</f>
        <v>39.475267018674813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5.5555555555555554</v>
      </c>
      <c r="CT68" s="12">
        <f>IF('Données projet'!$A$140&gt;35,CT67+CS68-DB67,IF(A68&lt;'Données projet'!$A$140,$CQ$205^A68,IF(A68='Données projet'!$A$140,'Données projet'!$B$140,CT67+CS68-DB67)))</f>
        <v>188.03418803418796</v>
      </c>
      <c r="CU68" s="17">
        <f>CT68*VLOOKUP('Données projet'!$B$13,Paramètres!$A$1:$I$89,3,0)*VLOOKUP('Données projet'!$B$13,Paramètres!$A$1:$I$89,5,0)</f>
        <v>146.66666666666663</v>
      </c>
      <c r="CV68" s="13">
        <f t="shared" si="41"/>
        <v>37.82008574568669</v>
      </c>
      <c r="CW68" s="20">
        <f t="shared" ref="CW68:CW131" si="67">(CU68+CV68)*0.475*44/12</f>
        <v>321.31442711818204</v>
      </c>
      <c r="CX68" s="59">
        <f t="shared" ref="CX68:CX131" si="68">CW68+(CO68+CP68)*44/12</f>
        <v>614.6477604515153</v>
      </c>
      <c r="CY68" s="59">
        <f ca="1">AVERAGE(OFFSET($CX$3,0,0,'Données projet'!$E$13+1,1))-AVERAGE(OFFSET($H$3,0,0,'Données projet'!$E$13+1,1))</f>
        <v>197.51452239559433</v>
      </c>
      <c r="CZ68" s="59">
        <f t="shared" si="42"/>
        <v>196.65166921588821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8.7393413620183544</v>
      </c>
      <c r="DG68" s="21">
        <f>EXP(-LN(2)/25)*DG67+(1-EXP(-LN(2)/25))/(LN(2)/25)*Calculateur!DB68*Calculateur!DD68*VLOOKUP('Données projet'!$B$13,Paramètres!$A$1:$I$89,3,0)*0.475*44/12</f>
        <v>8.6313020163742475</v>
      </c>
      <c r="DH68" s="21">
        <f>EXP(-LN(2)/2)*DH67+(1-EXP(-LN(2)/2))/(LN(2)/2)*DB68*DE68*VLOOKUP('Données projet'!$B$13,Paramètres!$A$1:$I$89,3,0)*0.475*44/12</f>
        <v>1.0462569105711521</v>
      </c>
      <c r="DI68" s="22">
        <f t="shared" ref="DI68:DI131" si="69">SUM(DF68:DH68)</f>
        <v>18.416900288963753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125</v>
      </c>
      <c r="DM68" s="12">
        <f>VLOOKUP(A68,'Données projet'!$A$165:$I$185,9,0)</f>
        <v>2.8205128205128176</v>
      </c>
      <c r="DN68" s="12">
        <f t="array" ref="DN68">INDEX(DM:DM,MIN(IF(ISNUMBER(DM68:DM264),ROW(DM68:DM264),"")))</f>
        <v>2.8205128205128176</v>
      </c>
      <c r="DO68" s="12">
        <f>IF('Données projet'!$A$166&gt;35,DO67+DN68-DW67,IF(A68&lt;'Données projet'!$A$166,$DL$205^A68,IF(A68='Données projet'!$A$166,'Données projet'!$B$166,DO67+DN68-DW67)))</f>
        <v>124.99999999999991</v>
      </c>
      <c r="DP68" s="17">
        <f>DO68*VLOOKUP('Données projet'!$B$14,Paramètres!$A$1:$I$89,3,0)*VLOOKUP('Données projet'!$B$14,Paramètres!$A$1:$I$89,5,0)</f>
        <v>130.64999999999992</v>
      </c>
      <c r="DQ68" s="13">
        <f t="shared" si="43"/>
        <v>34.146511621978362</v>
      </c>
      <c r="DR68" s="20">
        <f t="shared" ref="DR68:DR131" si="70">(DP68+DQ68)*0.475*44/12</f>
        <v>287.02059107494546</v>
      </c>
      <c r="DS68" s="59">
        <f t="shared" ref="DS68:DS131" si="71">DR68+(DJ68+DK68)*44/12</f>
        <v>580.35392440827877</v>
      </c>
      <c r="DT68" s="59">
        <f ca="1">AVERAGE(OFFSET($DS$3,0,0,'Données projet'!$E$14+1,1))-AVERAGE(OFFSET($H$3,0,0,'Données projet'!$E$14+1,1))</f>
        <v>239.26156489359892</v>
      </c>
      <c r="DU68" s="59">
        <f t="shared" si="44"/>
        <v>213.97034450798111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9.615384615384615</v>
      </c>
      <c r="DX68" s="16">
        <f>IF(ISNA(VLOOKUP(A68,'Données projet'!$A$165:$I$185,5,0)),0%,VLOOKUP(A68,'Données projet'!$A$165:$I$185,5,0)*VLOOKUP('Données projet'!$B$14,Paramètres!$A$1:$I$89,7,0))</f>
        <v>4.3000000000000003E-2</v>
      </c>
      <c r="DY68" s="16">
        <f>IF(ISNA(VLOOKUP(A68,'Données projet'!$A$165:$I$185,6,0)),0%,VLOOKUP(A68,'Données projet'!$A$165:$I$185,6,0)*VLOOKUP('Données projet'!$B$14,Paramètres!$A$1:$I$89,7,0))</f>
        <v>0.215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0.47772902451516441</v>
      </c>
      <c r="EB68" s="21">
        <f>EXP(-LN(2)/25)*EB67+(1-EXP(-LN(2)/25))/(LN(2)/25)*Calculateur!DW68*Calculateur!DY68*VLOOKUP('Données projet'!$B$14,Paramètres!$A$1:$I$89,3,0)*0.475*44/12</f>
        <v>16.730883041276467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17.20861206579163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6.8933333333333326</v>
      </c>
      <c r="EJ68" s="12">
        <f>IF('Données projet'!$A$192&gt;35,EJ67+EI68-ER67,IF(A68&lt;'Données projet'!$A$192,$EG$205^A68,IF(A68='Données projet'!$A$192,'Données projet'!$B$192,EJ67+EI68-ER67)))</f>
        <v>163.21666666666661</v>
      </c>
      <c r="EK68" s="17">
        <f>EJ68*VLOOKUP('Données projet'!$B$15,Paramètres!$A$1:$I$89,3,0)*VLOOKUP('Données projet'!$B$15,Paramètres!$A$1:$I$89,5,0)</f>
        <v>162.95551999999995</v>
      </c>
      <c r="EL68" s="13">
        <f t="shared" si="45"/>
        <v>41.508429401707161</v>
      </c>
      <c r="EM68" s="20">
        <f t="shared" ref="EM68:EM131" si="73">(EK68+EL68)*0.475*44/12</f>
        <v>356.10804520797319</v>
      </c>
      <c r="EN68" s="59">
        <f t="shared" ref="EN68:EN131" si="74">EM68+(EE68+EF68)*44/12</f>
        <v>649.44137854130645</v>
      </c>
      <c r="EO68" s="59">
        <f ca="1">AVERAGE(OFFSET($EN$3,0,0,'Données projet'!$E$15+1,1))-AVERAGE(OFFSET($H$3,0,0,'Données projet'!$E$15+1,1))</f>
        <v>525.74725170626471</v>
      </c>
      <c r="EP68" s="59">
        <f t="shared" si="46"/>
        <v>259.19103598192197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23.990513152757668</v>
      </c>
      <c r="EX68" s="21">
        <f>EXP(-LN(2)/2)*EX67+(1-EXP(-LN(2)/2))/(LN(2)/2)*ER68*EU68*VLOOKUP('Données projet'!$B$15,Paramètres!$A$1:$I$89,3,0)*0.475*44/12</f>
        <v>2.4269601283585072</v>
      </c>
      <c r="EY68" s="22">
        <f t="shared" ref="EY68:EY131" si="75">SUM(EV68:EX68)</f>
        <v>26.417473281116173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6.8933333333333326</v>
      </c>
      <c r="N69" s="13">
        <f>IF('Données projet'!$A$36&gt;35,N68+M69-V68,IF(A69&lt;'Données projet'!$A$36,$K$205^A69,IF(A69='Données projet'!$A$36,'Données projet'!$B$36,N68+M69-V68)))</f>
        <v>170.10999999999996</v>
      </c>
      <c r="O69" s="13">
        <f>N69*VLOOKUP('Données projet'!$B$9,Paramètres!$A$1:$I$89,3,0)*VLOOKUP('Données projet'!$B$9,Paramètres!$A$1:$I$89,5,0)</f>
        <v>172.49153999999996</v>
      </c>
      <c r="P69" s="13">
        <f t="shared" ref="P69:P132" si="87">EXP(-1.0587+0.8836*LN(O69)+0.284)</f>
        <v>43.64757225366332</v>
      </c>
      <c r="Q69" s="20">
        <f t="shared" si="54"/>
        <v>376.44228717513016</v>
      </c>
      <c r="R69" s="59">
        <f t="shared" si="55"/>
        <v>669.77562050846348</v>
      </c>
      <c r="S69" s="59">
        <f ca="1">AVERAGE(OFFSET($R$3,0,0,'Données projet'!$E$9+1,1))-AVERAGE(OFFSET($H$3,0,0,'Données projet'!$E$9+1,1))</f>
        <v>533.26035274112917</v>
      </c>
      <c r="T69" s="59">
        <f t="shared" ref="T69:T132" si="88">$T$3</f>
        <v>262.58149402282521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23.699092735692211</v>
      </c>
      <c r="AB69" s="21">
        <f>EXP(-LN(2)/2)*AB68+(1-EXP(-LN(2)/2))/(LN(2)/2)*V69*Y69*VLOOKUP('Données projet'!$B$9,Paramètres!$A$1:$I$89,3,0)*0.475*44/12</f>
        <v>1.7429343388759202</v>
      </c>
      <c r="AC69" s="22">
        <f t="shared" si="57"/>
        <v>25.442027074568131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8.5662500000000001</v>
      </c>
      <c r="AI69" s="13">
        <f>IF('Données projet'!$A$62&gt;35,AI68+AH69-AQ68,IF(A69&lt;'Données projet'!$A$62,$AF$205^A69,IF(A69='Données projet'!$A$62,'Données projet'!$B$62,AI68+AH69-AQ68)))</f>
        <v>224.51375000000027</v>
      </c>
      <c r="AJ69" s="13">
        <f>AI69*VLOOKUP('Données projet'!$B$10,Paramètres!$A$1:$I$89,3,0)*VLOOKUP('Données projet'!$B$10,Paramètres!$A$1:$I$89,5,0)</f>
        <v>203.14004100000022</v>
      </c>
      <c r="AK69" s="13">
        <f t="shared" ref="AK69:AK132" si="89">EXP(-1.0587+0.8836*LN(AJ69)+0.284)</f>
        <v>50.433626784032469</v>
      </c>
      <c r="AL69" s="20">
        <f t="shared" si="58"/>
        <v>441.64080472385695</v>
      </c>
      <c r="AM69" s="59">
        <f t="shared" si="59"/>
        <v>734.9741380571902</v>
      </c>
      <c r="AN69" s="59">
        <f ca="1">AVERAGE(OFFSET($AM$3,0,0,'Données projet'!$E$10+1,1))-AVERAGE(OFFSET($H$3,0,0,'Données projet'!$E$10+1,1))</f>
        <v>482.62991869403385</v>
      </c>
      <c r="AO69" s="59">
        <f t="shared" ref="AO69:AO132" si="90">$AO$3</f>
        <v>310.43914804089906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6.912778908757458</v>
      </c>
      <c r="AV69" s="21">
        <f>EXP(-LN(2)/25)*AV68+(1-EXP(-LN(2)/25))/(LN(2)/25)*Calculateur!AQ69*Calculateur!AS69*VLOOKUP('Données projet'!$B$10,Paramètres!$A$1:$I$89,3,0)*0.475*44/12</f>
        <v>29.029673517177603</v>
      </c>
      <c r="AW69" s="21">
        <f>EXP(-LN(2)/2)*AW68+(1-EXP(-LN(2)/2))/(LN(2)/2)*AQ69*AT69*VLOOKUP('Données projet'!$B$10,Paramètres!$A$1:$I$89,3,0)*0.475*44/12</f>
        <v>0.45043133661488821</v>
      </c>
      <c r="AX69" s="21">
        <f t="shared" si="60"/>
        <v>36.39288376254995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4.5999999999999996</v>
      </c>
      <c r="BD69" s="12">
        <f>IF('Données projet'!$A$88&gt;35,BD68+BC69-BL68,IF(A69&lt;'Données projet'!$A$88,$BA$205^A69,IF(A69='Données projet'!$A$88,'Données projet'!$B$88,BD68+BC69-BL68)))</f>
        <v>297.59999999999985</v>
      </c>
      <c r="BE69" s="13">
        <f>BD69*VLOOKUP('Données projet'!$B$11,Paramètres!$A$1:$I$89,3,0)*VLOOKUP('Données projet'!$B$11,Paramètres!$A$1:$I$89,5,0)</f>
        <v>259.98335999999989</v>
      </c>
      <c r="BF69" s="13">
        <f t="shared" ref="BF69:BF132" si="91">EXP(-1.0587+0.8836*LN(BE69)+0.284)</f>
        <v>62.718830967388186</v>
      </c>
      <c r="BG69" s="20">
        <f t="shared" si="61"/>
        <v>562.03964926820083</v>
      </c>
      <c r="BH69" s="59">
        <f t="shared" si="62"/>
        <v>855.3729826015342</v>
      </c>
      <c r="BI69" s="59">
        <f ca="1">AVERAGE(OFFSET($BH$3,0,0,'Données projet'!$E$11+1,1))-AVERAGE(OFFSET($H$3,0,0,'Données projet'!$E$11+1,1))</f>
        <v>384.34044781465661</v>
      </c>
      <c r="BJ69" s="59">
        <f t="shared" ref="BJ69:BJ132" si="92">$BJ$3</f>
        <v>374.99493809709708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15.960846570729926</v>
      </c>
      <c r="BQ69" s="21">
        <f>EXP(-LN(2)/25)*BQ68+(1-EXP(-LN(2)/25))/(LN(2)/25)*Calculateur!BL69*Calculateur!BN69*VLOOKUP('Données projet'!$B$11,Paramètres!$A$1:$I$89,3,0)*0.475*44/12</f>
        <v>17.260161313298688</v>
      </c>
      <c r="BR69" s="21">
        <f>EXP(-LN(2)/2)*BR68+(1-EXP(-LN(2)/2))/(LN(2)/2)*BL69*BO69*VLOOKUP('Données projet'!$B$11,Paramètres!$A$1:$I$89,3,0)*0.475*44/12</f>
        <v>2.3474911338042674</v>
      </c>
      <c r="BS69" s="22">
        <f t="shared" si="63"/>
        <v>35.568499017832885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8.5662500000000001</v>
      </c>
      <c r="BY69" s="12">
        <f>IF('Données projet'!$A$114&gt;35,BY68+BX69-CG68,IF(A69&lt;'Données projet'!$A$114,$BV$205^A69,IF(A69='Données projet'!$A$114,'Données projet'!$B$114,BY68+BX69-CG68)))</f>
        <v>224.51375000000027</v>
      </c>
      <c r="BZ69" s="13">
        <f>BY69*VLOOKUP('Données projet'!$B$12,Paramètres!$A$1:$I$89,3,0)*VLOOKUP('Données projet'!$B$12,Paramètres!$A$1:$I$89,5,0)</f>
        <v>213.64728450000027</v>
      </c>
      <c r="CA69" s="13">
        <f t="shared" ref="CA69:CA132" si="93">EXP(-1.0587+0.8836*LN(BZ69)+0.284)</f>
        <v>52.731808639320761</v>
      </c>
      <c r="CB69" s="20">
        <f t="shared" si="64"/>
        <v>463.9435872176507</v>
      </c>
      <c r="CC69" s="59">
        <f t="shared" si="65"/>
        <v>757.27692055098396</v>
      </c>
      <c r="CD69" s="59">
        <f ca="1">AVERAGE(OFFSET($CC$3,0,0,'Données projet'!$E$12+1,1))-AVERAGE(OFFSET($H$3,0,0,'Données projet'!$E$12+1,1))</f>
        <v>513.14430745499283</v>
      </c>
      <c r="CE69" s="59">
        <f t="shared" ref="CE69:CE132" si="94">$CE$3</f>
        <v>324.2490378019823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7.2703364385207765</v>
      </c>
      <c r="CL69" s="21">
        <f>EXP(-LN(2)/25)*CL68+(1-EXP(-LN(2)/25))/(LN(2)/25)*Calculateur!CG69*Calculateur!CI69*VLOOKUP('Données projet'!$B$12,Paramètres!$A$1:$I$89,3,0)*0.475*44/12</f>
        <v>30.531208354273002</v>
      </c>
      <c r="CM69" s="21">
        <f>EXP(-LN(2)/2)*CM68+(1-EXP(-LN(2)/2))/(LN(2)/2)*CG69*CJ69*VLOOKUP('Données projet'!$B$12,Paramètres!$A$1:$I$89,3,0)*0.475*44/12</f>
        <v>0.47372950919841722</v>
      </c>
      <c r="CN69" s="22">
        <f t="shared" si="66"/>
        <v>38.275274301992191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5.5555555555555554</v>
      </c>
      <c r="CT69" s="12">
        <f>IF('Données projet'!$A$140&gt;35,CT68+CS69-DB68,IF(A69&lt;'Données projet'!$A$140,$CQ$205^A69,IF(A69='Données projet'!$A$140,'Données projet'!$B$140,CT68+CS69-DB68)))</f>
        <v>193.58974358974351</v>
      </c>
      <c r="CU69" s="17">
        <f>CT69*VLOOKUP('Données projet'!$B$13,Paramètres!$A$1:$I$89,3,0)*VLOOKUP('Données projet'!$B$13,Paramètres!$A$1:$I$89,5,0)</f>
        <v>150.99999999999994</v>
      </c>
      <c r="CV69" s="13">
        <f t="shared" ref="CV69:CV132" si="95">EXP(-1.0587+0.8836*LN(CU69)+0.284)</f>
        <v>38.805751252807752</v>
      </c>
      <c r="CW69" s="20">
        <f t="shared" si="67"/>
        <v>330.57835009864004</v>
      </c>
      <c r="CX69" s="59">
        <f t="shared" si="68"/>
        <v>623.91168343197342</v>
      </c>
      <c r="CY69" s="59">
        <f ca="1">AVERAGE(OFFSET($CX$3,0,0,'Données projet'!$E$13+1,1))-AVERAGE(OFFSET($H$3,0,0,'Données projet'!$E$13+1,1))</f>
        <v>197.51452239559433</v>
      </c>
      <c r="CZ69" s="59">
        <f t="shared" ref="CZ69:CZ132" si="96">$CZ$3</f>
        <v>196.65166921588821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8.5679682083810658</v>
      </c>
      <c r="DG69" s="21">
        <f>EXP(-LN(2)/25)*DG68+(1-EXP(-LN(2)/25))/(LN(2)/25)*Calculateur!DB69*Calculateur!DD69*VLOOKUP('Données projet'!$B$13,Paramètres!$A$1:$I$89,3,0)*0.475*44/12</f>
        <v>8.3952786088360476</v>
      </c>
      <c r="DH69" s="21">
        <f>EXP(-LN(2)/2)*DH68+(1-EXP(-LN(2)/2))/(LN(2)/2)*DB69*DE69*VLOOKUP('Données projet'!$B$13,Paramètres!$A$1:$I$89,3,0)*0.475*44/12</f>
        <v>0.73981535632814888</v>
      </c>
      <c r="DI69" s="22">
        <f t="shared" si="69"/>
        <v>17.703062173545259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2.6923076923076907</v>
      </c>
      <c r="DO69" s="12">
        <f>IF('Données projet'!$A$166&gt;35,DO68+DN69-DW68,IF(A69&lt;'Données projet'!$A$166,$DL$205^A69,IF(A69='Données projet'!$A$166,'Données projet'!$B$166,DO68+DN69-DW68)))</f>
        <v>118.07692307692299</v>
      </c>
      <c r="DP69" s="17">
        <f>DO69*VLOOKUP('Données projet'!$B$14,Paramètres!$A$1:$I$89,3,0)*VLOOKUP('Données projet'!$B$14,Paramètres!$A$1:$I$89,5,0)</f>
        <v>123.41399999999993</v>
      </c>
      <c r="DQ69" s="13">
        <f t="shared" ref="DQ69:DQ132" si="97">EXP(-1.0587+0.8836*LN(DP69)+0.284)</f>
        <v>32.469954043567462</v>
      </c>
      <c r="DR69" s="20">
        <f t="shared" si="70"/>
        <v>271.49788662587986</v>
      </c>
      <c r="DS69" s="59">
        <f t="shared" si="71"/>
        <v>564.83121995921317</v>
      </c>
      <c r="DT69" s="59">
        <f ca="1">AVERAGE(OFFSET($DS$3,0,0,'Données projet'!$E$14+1,1))-AVERAGE(OFFSET($H$3,0,0,'Données projet'!$E$14+1,1))</f>
        <v>239.26156489359892</v>
      </c>
      <c r="DU69" s="59">
        <f t="shared" ref="DU69:DU132" si="98">$DU$3</f>
        <v>213.97034450798111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0.46836104973035503</v>
      </c>
      <c r="EB69" s="21">
        <f>EXP(-LN(2)/25)*EB68+(1-EXP(-LN(2)/25))/(LN(2)/25)*Calculateur!DW69*Calculateur!DY69*VLOOKUP('Données projet'!$B$14,Paramètres!$A$1:$I$89,3,0)*0.475*44/12</f>
        <v>16.273376164673863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16.741737214404218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6.8933333333333326</v>
      </c>
      <c r="EJ69" s="12">
        <f>IF('Données projet'!$A$192&gt;35,EJ68+EI69-ER68,IF(A69&lt;'Données projet'!$A$192,$EG$205^A69,IF(A69='Données projet'!$A$192,'Données projet'!$B$192,EJ68+EI69-ER68)))</f>
        <v>170.10999999999996</v>
      </c>
      <c r="EK69" s="17">
        <f>EJ69*VLOOKUP('Données projet'!$B$15,Paramètres!$A$1:$I$89,3,0)*VLOOKUP('Données projet'!$B$15,Paramètres!$A$1:$I$89,5,0)</f>
        <v>169.83782399999996</v>
      </c>
      <c r="EL69" s="13">
        <f t="shared" ref="EL69:EL132" si="99">EXP(-1.0587+0.8836*LN(EK69)+0.284)</f>
        <v>43.053699538834387</v>
      </c>
      <c r="EM69" s="20">
        <f t="shared" si="73"/>
        <v>370.78607016346979</v>
      </c>
      <c r="EN69" s="59">
        <f t="shared" si="74"/>
        <v>664.1194034968031</v>
      </c>
      <c r="EO69" s="59">
        <f ca="1">AVERAGE(OFFSET($EN$3,0,0,'Données projet'!$E$15+1,1))-AVERAGE(OFFSET($H$3,0,0,'Données projet'!$E$15+1,1))</f>
        <v>525.74725170626471</v>
      </c>
      <c r="EP69" s="59">
        <f t="shared" ref="EP69:EP132" si="100">$EP$3</f>
        <v>259.19103598192197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23.334491308989254</v>
      </c>
      <c r="EX69" s="21">
        <f>EXP(-LN(2)/2)*EX68+(1-EXP(-LN(2)/2))/(LN(2)/2)*ER69*EU69*VLOOKUP('Données projet'!$B$15,Paramètres!$A$1:$I$89,3,0)*0.475*44/12</f>
        <v>1.7161199644316742</v>
      </c>
      <c r="EY69" s="22">
        <f t="shared" si="75"/>
        <v>25.050611273420927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6.8933333333333326</v>
      </c>
      <c r="N70" s="13">
        <f>IF('Données projet'!$A$36&gt;35,N69+M70-V69,IF(A70&lt;'Données projet'!$A$36,$K$205^A70,IF(A70='Données projet'!$A$36,'Données projet'!$B$36,N69+M70-V69)))</f>
        <v>177.0033333333333</v>
      </c>
      <c r="O70" s="13">
        <f>N70*VLOOKUP('Données projet'!$B$9,Paramètres!$A$1:$I$89,3,0)*VLOOKUP('Données projet'!$B$9,Paramètres!$A$1:$I$89,5,0)</f>
        <v>179.48137999999997</v>
      </c>
      <c r="P70" s="13">
        <f t="shared" si="87"/>
        <v>45.20678340248292</v>
      </c>
      <c r="Q70" s="20">
        <f t="shared" si="54"/>
        <v>391.33188459265767</v>
      </c>
      <c r="R70" s="59">
        <f t="shared" si="55"/>
        <v>684.66521792599099</v>
      </c>
      <c r="S70" s="59">
        <f ca="1">AVERAGE(OFFSET($R$3,0,0,'Données projet'!$E$9+1,1))-AVERAGE(OFFSET($H$3,0,0,'Données projet'!$E$9+1,1))</f>
        <v>533.26035274112917</v>
      </c>
      <c r="T70" s="59">
        <f t="shared" si="88"/>
        <v>262.58149402282521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23.051039798553585</v>
      </c>
      <c r="AB70" s="21">
        <f>EXP(-LN(2)/2)*AB69+(1-EXP(-LN(2)/2))/(LN(2)/2)*V70*Y70*VLOOKUP('Données projet'!$B$9,Paramètres!$A$1:$I$89,3,0)*0.475*44/12</f>
        <v>1.2324406901820553</v>
      </c>
      <c r="AC70" s="22">
        <f t="shared" si="57"/>
        <v>24.283480488735641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233.08</v>
      </c>
      <c r="AG70" s="12">
        <f>VLOOKUP(A70,'Données projet'!$A$61:$I$81,9,0)</f>
        <v>8.5662500000000001</v>
      </c>
      <c r="AH70" s="12">
        <f t="array" ref="AH70">INDEX(AG:AG,MIN(IF(ISNUMBER(AG70:AG266),ROW(AG70:AG266),"")))</f>
        <v>8.5662500000000001</v>
      </c>
      <c r="AI70" s="13">
        <f>IF('Données projet'!$A$62&gt;35,AI69+AH70-AQ69,IF(A70&lt;'Données projet'!$A$62,$AF$205^A70,IF(A70='Données projet'!$A$62,'Données projet'!$B$62,AI69+AH70-AQ69)))</f>
        <v>233.08000000000027</v>
      </c>
      <c r="AJ70" s="13">
        <f>AI70*VLOOKUP('Données projet'!$B$10,Paramètres!$A$1:$I$89,3,0)*VLOOKUP('Données projet'!$B$10,Paramètres!$A$1:$I$89,5,0)</f>
        <v>210.89078400000022</v>
      </c>
      <c r="AK70" s="13">
        <f t="shared" si="89"/>
        <v>52.130196433530017</v>
      </c>
      <c r="AL70" s="20">
        <f t="shared" si="58"/>
        <v>458.09487425506512</v>
      </c>
      <c r="AM70" s="59">
        <f t="shared" si="59"/>
        <v>751.42820758839844</v>
      </c>
      <c r="AN70" s="59">
        <f ca="1">AVERAGE(OFFSET($AM$3,0,0,'Données projet'!$E$10+1,1))-AVERAGE(OFFSET($H$3,0,0,'Données projet'!$E$10+1,1))</f>
        <v>482.62991869403385</v>
      </c>
      <c r="AO70" s="59">
        <f t="shared" si="90"/>
        <v>310.43914804089906</v>
      </c>
      <c r="AP70" s="15">
        <f>IF(ISNA(VLOOKUP(A70,'Données projet'!$A$61:$I$81,3,0)),0,VLOOKUP(A70,'Données projet'!$A$61:$I$81,3,0))</f>
        <v>4</v>
      </c>
      <c r="AQ70" s="15">
        <f>IF(ISNA(VLOOKUP(A70,'Données projet'!$A$61:$I$81,4,0)),0,VLOOKUP(A70,'Données projet'!$A$61:$I$81,4,0))</f>
        <v>44.170000000000016</v>
      </c>
      <c r="AR70" s="16">
        <f>IF(ISNA(VLOOKUP(A70,'Données projet'!$A$61:$I$81,5,0)),0%,VLOOKUP(A70,'Données projet'!$A$61:$I$81,5,0)*VLOOKUP('Données projet'!$B$10,Paramètres!$A$1:$I$89,7,0))</f>
        <v>0.15049999999999999</v>
      </c>
      <c r="AS70" s="16">
        <f>IF(ISNA(VLOOKUP(A70,'Données projet'!$A$61:$I$81,6,0)),0%,VLOOKUP(A70,'Données projet'!$A$61:$I$81,6,0)*VLOOKUP('Données projet'!$B$10,Paramètres!$A$1:$I$89,7,0))</f>
        <v>8.6000000000000007E-2</v>
      </c>
      <c r="AT70" s="16">
        <f>IF(ISNA(VLOOKUP(A70,'Données projet'!$A$61:$I$81,7,0)),0%,VLOOKUP(A70,'Données projet'!$A$61:$I$81,7,0))</f>
        <v>0.1</v>
      </c>
      <c r="AU70" s="21">
        <f>EXP(-LN(2)/35)*AU69+(1-EXP(-LN(2)/35))/(LN(2)/35)*AQ70*AR70*VLOOKUP('Données projet'!$B$10,Paramètres!$A$1:$I$89,3,0)*0.475*44/12</f>
        <v>13.426334812272373</v>
      </c>
      <c r="AV70" s="21">
        <f>EXP(-LN(2)/25)*AV69+(1-EXP(-LN(2)/25))/(LN(2)/25)*Calculateur!AQ70*Calculateur!AS70*VLOOKUP('Données projet'!$B$10,Paramètres!$A$1:$I$89,3,0)*0.475*44/12</f>
        <v>32.020387680767008</v>
      </c>
      <c r="AW70" s="21">
        <f>EXP(-LN(2)/2)*AW69+(1-EXP(-LN(2)/2))/(LN(2)/2)*AQ70*AT70*VLOOKUP('Données projet'!$B$10,Paramètres!$A$1:$I$89,3,0)*0.475*44/12</f>
        <v>4.0893098764428064</v>
      </c>
      <c r="AX70" s="21">
        <f t="shared" si="60"/>
        <v>49.536032369482186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4.5999999999999996</v>
      </c>
      <c r="BD70" s="12">
        <f>IF('Données projet'!$A$88&gt;35,BD69+BC70-BL69,IF(A70&lt;'Données projet'!$A$88,$BA$205^A70,IF(A70='Données projet'!$A$88,'Données projet'!$B$88,BD69+BC70-BL69)))</f>
        <v>302.19999999999987</v>
      </c>
      <c r="BE70" s="13">
        <f>BD70*VLOOKUP('Données projet'!$B$11,Paramètres!$A$1:$I$89,3,0)*VLOOKUP('Données projet'!$B$11,Paramètres!$A$1:$I$89,5,0)</f>
        <v>264.00191999999993</v>
      </c>
      <c r="BF70" s="13">
        <f t="shared" si="91"/>
        <v>63.574665748345318</v>
      </c>
      <c r="BG70" s="20">
        <f t="shared" si="61"/>
        <v>570.52922017836795</v>
      </c>
      <c r="BH70" s="59">
        <f t="shared" si="62"/>
        <v>863.86255351170121</v>
      </c>
      <c r="BI70" s="59">
        <f ca="1">AVERAGE(OFFSET($BH$3,0,0,'Données projet'!$E$11+1,1))-AVERAGE(OFFSET($H$3,0,0,'Données projet'!$E$11+1,1))</f>
        <v>384.34044781465661</v>
      </c>
      <c r="BJ70" s="59">
        <f t="shared" si="92"/>
        <v>374.99493809709708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15.647864104633053</v>
      </c>
      <c r="BQ70" s="21">
        <f>EXP(-LN(2)/25)*BQ69+(1-EXP(-LN(2)/25))/(LN(2)/25)*Calculateur!BL70*Calculateur!BN70*VLOOKUP('Données projet'!$B$11,Paramètres!$A$1:$I$89,3,0)*0.475*44/12</f>
        <v>16.7881812945141</v>
      </c>
      <c r="BR70" s="21">
        <f>EXP(-LN(2)/2)*BR69+(1-EXP(-LN(2)/2))/(LN(2)/2)*BL70*BO70*VLOOKUP('Données projet'!$B$11,Paramètres!$A$1:$I$89,3,0)*0.475*44/12</f>
        <v>1.6599268994882945</v>
      </c>
      <c r="BS70" s="22">
        <f t="shared" si="63"/>
        <v>34.095972298635452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>
        <f>VLOOKUP(A70,'Données projet'!$A$113:$I$133,2,0)</f>
        <v>233.08</v>
      </c>
      <c r="BW70" s="12">
        <f>VLOOKUP(A70,'Données projet'!$A$113:$I$133,9,0)</f>
        <v>8.5662500000000001</v>
      </c>
      <c r="BX70" s="12">
        <f t="array" ref="BX70">INDEX(BW:BW,MIN(IF(ISNUMBER(BW70:BW266),ROW(BW70:BW266),"")))</f>
        <v>8.5662500000000001</v>
      </c>
      <c r="BY70" s="12">
        <f>IF('Données projet'!$A$114&gt;35,BY69+BX70-CG69,IF(A70&lt;'Données projet'!$A$114,$BV$205^A70,IF(A70='Données projet'!$A$114,'Données projet'!$B$114,BY69+BX70-CG69)))</f>
        <v>233.08000000000027</v>
      </c>
      <c r="BZ70" s="13">
        <f>BY70*VLOOKUP('Données projet'!$B$12,Paramètres!$A$1:$I$89,3,0)*VLOOKUP('Données projet'!$B$12,Paramètres!$A$1:$I$89,5,0)</f>
        <v>221.79892800000027</v>
      </c>
      <c r="CA70" s="13">
        <f t="shared" si="93"/>
        <v>54.505688326452656</v>
      </c>
      <c r="CB70" s="20">
        <f t="shared" si="64"/>
        <v>481.23054010190549</v>
      </c>
      <c r="CC70" s="59">
        <f t="shared" si="65"/>
        <v>774.56387343523875</v>
      </c>
      <c r="CD70" s="59">
        <f ca="1">AVERAGE(OFFSET($CC$3,0,0,'Données projet'!$E$12+1,1))-AVERAGE(OFFSET($H$3,0,0,'Données projet'!$E$12+1,1))</f>
        <v>513.14430745499283</v>
      </c>
      <c r="CE70" s="59">
        <f t="shared" si="94"/>
        <v>324.2490378019823</v>
      </c>
      <c r="CF70" s="15">
        <f>IF(ISNA(VLOOKUP(A70,'Données projet'!$A$113:$I$133,3,0)),0,VLOOKUP(A70,'Données projet'!$A$113:$I$133,3,0))</f>
        <v>4</v>
      </c>
      <c r="CG70" s="15">
        <f>IF(ISNA(VLOOKUP(A70,'Données projet'!$A$113:$I$133,4,0)),0,VLOOKUP(A70,'Données projet'!$A$113:$I$133,4,0))</f>
        <v>44.170000000000016</v>
      </c>
      <c r="CH70" s="16">
        <f>IF(ISNA(VLOOKUP(A70,'Données projet'!$A$113:$I$133,5,0)),0%,VLOOKUP(A70,'Données projet'!$A$113:$I$133,5,0)*VLOOKUP('Données projet'!$B$12,Paramètres!$A$1:$I$89,7,0))</f>
        <v>0.15049999999999999</v>
      </c>
      <c r="CI70" s="16">
        <f>IF(ISNA(VLOOKUP(A70,'Données projet'!$A$113:$I$133,6,0)),0%,VLOOKUP(A70,'Données projet'!$A$113:$I$133,6,0)*VLOOKUP('Données projet'!$B$12,Paramètres!$A$1:$I$89,7,0))</f>
        <v>8.6000000000000007E-2</v>
      </c>
      <c r="CJ70" s="16">
        <f>IF(ISNA(VLOOKUP(A70,'Données projet'!$A$113:$I$133,7,0)),0%,VLOOKUP(A70,'Données projet'!$A$113:$I$133,7,0))</f>
        <v>0.1</v>
      </c>
      <c r="CK70" s="21">
        <f>EXP(-LN(2)/35)*CK69+(1-EXP(-LN(2)/35))/(LN(2)/35)*CG70*CH70*VLOOKUP('Données projet'!$B$12,Paramètres!$A$1:$I$89,3,0)*0.475*44/12</f>
        <v>14.120800406010598</v>
      </c>
      <c r="CL70" s="21">
        <f>EXP(-LN(2)/25)*CL69+(1-EXP(-LN(2)/25))/(LN(2)/25)*Calculateur!CG70*Calculateur!CI70*VLOOKUP('Données projet'!$B$12,Paramètres!$A$1:$I$89,3,0)*0.475*44/12</f>
        <v>33.676614629772203</v>
      </c>
      <c r="CM70" s="21">
        <f>EXP(-LN(2)/2)*CM69+(1-EXP(-LN(2)/2))/(LN(2)/2)*CG70*CJ70*VLOOKUP('Données projet'!$B$12,Paramètres!$A$1:$I$89,3,0)*0.475*44/12</f>
        <v>4.3008259045346762</v>
      </c>
      <c r="CN70" s="22">
        <f t="shared" si="66"/>
        <v>52.098240940317481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5.5555555555555554</v>
      </c>
      <c r="CT70" s="12">
        <f>IF('Données projet'!$A$140&gt;35,CT69+CS70-DB69,IF(A70&lt;'Données projet'!$A$140,$CQ$205^A70,IF(A70='Données projet'!$A$140,'Données projet'!$B$140,CT69+CS70-DB69)))</f>
        <v>199.14529914529905</v>
      </c>
      <c r="CU70" s="17">
        <f>CT70*VLOOKUP('Données projet'!$B$13,Paramètres!$A$1:$I$89,3,0)*VLOOKUP('Données projet'!$B$13,Paramètres!$A$1:$I$89,5,0)</f>
        <v>155.33333333333326</v>
      </c>
      <c r="CV70" s="13">
        <f t="shared" si="95"/>
        <v>39.788129261718112</v>
      </c>
      <c r="CW70" s="20">
        <f t="shared" si="67"/>
        <v>339.83654735304776</v>
      </c>
      <c r="CX70" s="59">
        <f t="shared" si="68"/>
        <v>633.16988068638102</v>
      </c>
      <c r="CY70" s="59">
        <f ca="1">AVERAGE(OFFSET($CX$3,0,0,'Données projet'!$E$13+1,1))-AVERAGE(OFFSET($H$3,0,0,'Données projet'!$E$13+1,1))</f>
        <v>197.51452239559433</v>
      </c>
      <c r="CZ70" s="59">
        <f t="shared" si="96"/>
        <v>196.65166921588821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8.3999555777593002</v>
      </c>
      <c r="DG70" s="21">
        <f>EXP(-LN(2)/25)*DG69+(1-EXP(-LN(2)/25))/(LN(2)/25)*Calculateur!DB70*Calculateur!DD70*VLOOKUP('Données projet'!$B$13,Paramètres!$A$1:$I$89,3,0)*0.475*44/12</f>
        <v>8.1657092737889112</v>
      </c>
      <c r="DH70" s="21">
        <f>EXP(-LN(2)/2)*DH69+(1-EXP(-LN(2)/2))/(LN(2)/2)*DB70*DE70*VLOOKUP('Données projet'!$B$13,Paramètres!$A$1:$I$89,3,0)*0.475*44/12</f>
        <v>0.52312845528557606</v>
      </c>
      <c r="DI70" s="22">
        <f t="shared" si="69"/>
        <v>17.088793306833789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2.6923076923076907</v>
      </c>
      <c r="DO70" s="12">
        <f>IF('Données projet'!$A$166&gt;35,DO69+DN70-DW69,IF(A70&lt;'Données projet'!$A$166,$DL$205^A70,IF(A70='Données projet'!$A$166,'Données projet'!$B$166,DO69+DN70-DW69)))</f>
        <v>120.76923076923069</v>
      </c>
      <c r="DP70" s="17">
        <f>DO70*VLOOKUP('Données projet'!$B$14,Paramètres!$A$1:$I$89,3,0)*VLOOKUP('Données projet'!$B$14,Paramètres!$A$1:$I$89,5,0)</f>
        <v>126.22799999999992</v>
      </c>
      <c r="DQ70" s="13">
        <f t="shared" si="97"/>
        <v>33.123272875637802</v>
      </c>
      <c r="DR70" s="20">
        <f t="shared" si="70"/>
        <v>277.53680025840237</v>
      </c>
      <c r="DS70" s="59">
        <f t="shared" si="71"/>
        <v>570.87013359173568</v>
      </c>
      <c r="DT70" s="59">
        <f ca="1">AVERAGE(OFFSET($DS$3,0,0,'Données projet'!$E$14+1,1))-AVERAGE(OFFSET($H$3,0,0,'Données projet'!$E$14+1,1))</f>
        <v>239.26156489359892</v>
      </c>
      <c r="DU70" s="59">
        <f t="shared" si="98"/>
        <v>213.97034450798111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0.45917677521717531</v>
      </c>
      <c r="EB70" s="21">
        <f>EXP(-LN(2)/25)*EB69+(1-EXP(-LN(2)/25))/(LN(2)/25)*Calculateur!DW70*Calculateur!DY70*VLOOKUP('Données projet'!$B$14,Paramètres!$A$1:$I$89,3,0)*0.475*44/12</f>
        <v>15.828379837671196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16.287556612888373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6.8933333333333326</v>
      </c>
      <c r="EJ70" s="12">
        <f>IF('Données projet'!$A$192&gt;35,EJ69+EI70-ER69,IF(A70&lt;'Données projet'!$A$192,$EG$205^A70,IF(A70='Données projet'!$A$192,'Données projet'!$B$192,EJ69+EI70-ER69)))</f>
        <v>177.0033333333333</v>
      </c>
      <c r="EK70" s="17">
        <f>EJ70*VLOOKUP('Données projet'!$B$15,Paramètres!$A$1:$I$89,3,0)*VLOOKUP('Données projet'!$B$15,Paramètres!$A$1:$I$89,5,0)</f>
        <v>176.72012799999999</v>
      </c>
      <c r="EL70" s="13">
        <f t="shared" si="99"/>
        <v>44.591695923346833</v>
      </c>
      <c r="EM70" s="20">
        <f t="shared" si="73"/>
        <v>385.45142666649571</v>
      </c>
      <c r="EN70" s="59">
        <f t="shared" si="74"/>
        <v>678.78475999982902</v>
      </c>
      <c r="EO70" s="59">
        <f ca="1">AVERAGE(OFFSET($EN$3,0,0,'Données projet'!$E$15+1,1))-AVERAGE(OFFSET($H$3,0,0,'Données projet'!$E$15+1,1))</f>
        <v>525.74725170626471</v>
      </c>
      <c r="EP70" s="59">
        <f t="shared" si="100"/>
        <v>259.19103598192197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22.696408417037375</v>
      </c>
      <c r="EX70" s="21">
        <f>EXP(-LN(2)/2)*EX69+(1-EXP(-LN(2)/2))/(LN(2)/2)*ER70*EU70*VLOOKUP('Données projet'!$B$15,Paramètres!$A$1:$I$89,3,0)*0.475*44/12</f>
        <v>1.2134800641792536</v>
      </c>
      <c r="EY70" s="22">
        <f t="shared" si="75"/>
        <v>23.90988848121663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6.8933333333333326</v>
      </c>
      <c r="N71" s="13">
        <f>IF('Données projet'!$A$36&gt;35,N70+M71-V70,IF(A71&lt;'Données projet'!$A$36,$K$205^A71,IF(A71='Données projet'!$A$36,'Données projet'!$B$36,N70+M71-V70)))</f>
        <v>183.89666666666665</v>
      </c>
      <c r="O71" s="13">
        <f>N71*VLOOKUP('Données projet'!$B$9,Paramètres!$A$1:$I$89,3,0)*VLOOKUP('Données projet'!$B$9,Paramètres!$A$1:$I$89,5,0)</f>
        <v>186.47121999999999</v>
      </c>
      <c r="P71" s="13">
        <f t="shared" si="87"/>
        <v>46.758940514498235</v>
      </c>
      <c r="Q71" s="20">
        <f t="shared" si="54"/>
        <v>406.20919622941773</v>
      </c>
      <c r="R71" s="59">
        <f t="shared" si="55"/>
        <v>699.54252956275104</v>
      </c>
      <c r="S71" s="59">
        <f ca="1">AVERAGE(OFFSET($R$3,0,0,'Données projet'!$E$9+1,1))-AVERAGE(OFFSET($H$3,0,0,'Données projet'!$E$9+1,1))</f>
        <v>533.26035274112917</v>
      </c>
      <c r="T71" s="59">
        <f t="shared" si="88"/>
        <v>262.58149402282521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22.420707903060638</v>
      </c>
      <c r="AB71" s="21">
        <f>EXP(-LN(2)/2)*AB70+(1-EXP(-LN(2)/2))/(LN(2)/2)*V71*Y71*VLOOKUP('Données projet'!$B$9,Paramètres!$A$1:$I$89,3,0)*0.475*44/12</f>
        <v>0.87146716943796021</v>
      </c>
      <c r="AC71" s="22">
        <f t="shared" si="57"/>
        <v>23.292175072498598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8.2474999999999987</v>
      </c>
      <c r="AI71" s="13">
        <f>IF('Données projet'!$A$62&gt;35,AI70+AH71-AQ70,IF(A71&lt;'Données projet'!$A$62,$AF$205^A71,IF(A71='Données projet'!$A$62,'Données projet'!$B$62,AI70+AH71-AQ70)))</f>
        <v>197.15750000000025</v>
      </c>
      <c r="AJ71" s="13">
        <f>AI71*VLOOKUP('Données projet'!$B$10,Paramètres!$A$1:$I$89,3,0)*VLOOKUP('Données projet'!$B$10,Paramètres!$A$1:$I$89,5,0)</f>
        <v>178.38810600000022</v>
      </c>
      <c r="AK71" s="13">
        <f t="shared" si="89"/>
        <v>44.96338191961236</v>
      </c>
      <c r="AL71" s="20">
        <f t="shared" si="58"/>
        <v>389.00384145999186</v>
      </c>
      <c r="AM71" s="59">
        <f t="shared" si="59"/>
        <v>682.33717479332518</v>
      </c>
      <c r="AN71" s="59">
        <f ca="1">AVERAGE(OFFSET($AM$3,0,0,'Données projet'!$E$10+1,1))-AVERAGE(OFFSET($H$3,0,0,'Données projet'!$E$10+1,1))</f>
        <v>482.62991869403385</v>
      </c>
      <c r="AO71" s="59">
        <f t="shared" si="90"/>
        <v>310.43914804089906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13.163052575859325</v>
      </c>
      <c r="AV71" s="21">
        <f>EXP(-LN(2)/25)*AV70+(1-EXP(-LN(2)/25))/(LN(2)/25)*Calculateur!AQ71*Calculateur!AS71*VLOOKUP('Données projet'!$B$10,Paramètres!$A$1:$I$89,3,0)*0.475*44/12</f>
        <v>31.144788495757432</v>
      </c>
      <c r="AW71" s="21">
        <f>EXP(-LN(2)/2)*AW70+(1-EXP(-LN(2)/2))/(LN(2)/2)*AQ71*AT71*VLOOKUP('Données projet'!$B$10,Paramètres!$A$1:$I$89,3,0)*0.475*44/12</f>
        <v>2.8915787440058316</v>
      </c>
      <c r="AX71" s="21">
        <f t="shared" si="60"/>
        <v>47.199419815622591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4.5999999999999996</v>
      </c>
      <c r="BD71" s="12">
        <f>IF('Données projet'!$A$88&gt;35,BD70+BC71-BL70,IF(A71&lt;'Données projet'!$A$88,$BA$205^A71,IF(A71='Données projet'!$A$88,'Données projet'!$B$88,BD70+BC71-BL70)))</f>
        <v>306.7999999999999</v>
      </c>
      <c r="BE71" s="13">
        <f>BD71*VLOOKUP('Données projet'!$B$11,Paramètres!$A$1:$I$89,3,0)*VLOOKUP('Données projet'!$B$11,Paramètres!$A$1:$I$89,5,0)</f>
        <v>268.02047999999996</v>
      </c>
      <c r="BF71" s="13">
        <f t="shared" si="91"/>
        <v>64.42898543616613</v>
      </c>
      <c r="BG71" s="20">
        <f t="shared" si="61"/>
        <v>579.01615230132256</v>
      </c>
      <c r="BH71" s="59">
        <f t="shared" si="62"/>
        <v>872.34948563465582</v>
      </c>
      <c r="BI71" s="59">
        <f ca="1">AVERAGE(OFFSET($BH$3,0,0,'Données projet'!$E$11+1,1))-AVERAGE(OFFSET($H$3,0,0,'Données projet'!$E$11+1,1))</f>
        <v>384.34044781465661</v>
      </c>
      <c r="BJ71" s="59">
        <f t="shared" si="92"/>
        <v>374.99493809709708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15.341019033795886</v>
      </c>
      <c r="BQ71" s="21">
        <f>EXP(-LN(2)/25)*BQ70+(1-EXP(-LN(2)/25))/(LN(2)/25)*Calculateur!BL71*Calculateur!BN71*VLOOKUP('Données projet'!$B$11,Paramètres!$A$1:$I$89,3,0)*0.475*44/12</f>
        <v>16.329107594163528</v>
      </c>
      <c r="BR71" s="21">
        <f>EXP(-LN(2)/2)*BR70+(1-EXP(-LN(2)/2))/(LN(2)/2)*BL71*BO71*VLOOKUP('Données projet'!$B$11,Paramètres!$A$1:$I$89,3,0)*0.475*44/12</f>
        <v>1.1737455669021337</v>
      </c>
      <c r="BS71" s="22">
        <f t="shared" si="63"/>
        <v>32.843872194861547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8.2474999999999987</v>
      </c>
      <c r="BY71" s="12">
        <f>IF('Données projet'!$A$114&gt;35,BY70+BX71-CG70,IF(A71&lt;'Données projet'!$A$114,$BV$205^A71,IF(A71='Données projet'!$A$114,'Données projet'!$B$114,BY70+BX71-CG70)))</f>
        <v>197.15750000000025</v>
      </c>
      <c r="BZ71" s="13">
        <f>BY71*VLOOKUP('Données projet'!$B$12,Paramètres!$A$1:$I$89,3,0)*VLOOKUP('Données projet'!$B$12,Paramètres!$A$1:$I$89,5,0)</f>
        <v>187.61507700000024</v>
      </c>
      <c r="CA71" s="13">
        <f t="shared" si="93"/>
        <v>47.012293232743751</v>
      </c>
      <c r="CB71" s="20">
        <f t="shared" si="64"/>
        <v>408.64266982202912</v>
      </c>
      <c r="CC71" s="59">
        <f t="shared" si="65"/>
        <v>701.97600315536238</v>
      </c>
      <c r="CD71" s="59">
        <f ca="1">AVERAGE(OFFSET($CC$3,0,0,'Données projet'!$E$12+1,1))-AVERAGE(OFFSET($H$3,0,0,'Données projet'!$E$12+1,1))</f>
        <v>513.14430745499283</v>
      </c>
      <c r="CE71" s="59">
        <f t="shared" si="94"/>
        <v>324.2490378019823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13.843900122886531</v>
      </c>
      <c r="CL71" s="21">
        <f>EXP(-LN(2)/25)*CL70+(1-EXP(-LN(2)/25))/(LN(2)/25)*Calculateur!CG71*Calculateur!CI71*VLOOKUP('Données projet'!$B$12,Paramètres!$A$1:$I$89,3,0)*0.475*44/12</f>
        <v>32.75572583174489</v>
      </c>
      <c r="CM71" s="21">
        <f>EXP(-LN(2)/2)*CM70+(1-EXP(-LN(2)/2))/(LN(2)/2)*CG71*CJ71*VLOOKUP('Données projet'!$B$12,Paramètres!$A$1:$I$89,3,0)*0.475*44/12</f>
        <v>3.0411431617992366</v>
      </c>
      <c r="CN71" s="22">
        <f t="shared" si="66"/>
        <v>49.640769116430654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5.5555555555555554</v>
      </c>
      <c r="CT71" s="12">
        <f>IF('Données projet'!$A$140&gt;35,CT70+CS71-DB70,IF(A71&lt;'Données projet'!$A$140,$CQ$205^A71,IF(A71='Données projet'!$A$140,'Données projet'!$B$140,CT70+CS71-DB70)))</f>
        <v>204.70085470085459</v>
      </c>
      <c r="CU71" s="17">
        <f>CT71*VLOOKUP('Données projet'!$B$13,Paramètres!$A$1:$I$89,3,0)*VLOOKUP('Données projet'!$B$13,Paramètres!$A$1:$I$89,5,0)</f>
        <v>159.6666666666666</v>
      </c>
      <c r="CV71" s="13">
        <f t="shared" si="95"/>
        <v>40.767322019750679</v>
      </c>
      <c r="CW71" s="20">
        <f t="shared" si="67"/>
        <v>349.08919696217669</v>
      </c>
      <c r="CX71" s="59">
        <f t="shared" si="68"/>
        <v>642.42253029551</v>
      </c>
      <c r="CY71" s="59">
        <f ca="1">AVERAGE(OFFSET($CX$3,0,0,'Données projet'!$E$13+1,1))-AVERAGE(OFFSET($H$3,0,0,'Données projet'!$E$13+1,1))</f>
        <v>197.51452239559433</v>
      </c>
      <c r="CZ71" s="59">
        <f t="shared" si="96"/>
        <v>196.65166921588821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8.2352375723464419</v>
      </c>
      <c r="DG71" s="21">
        <f>EXP(-LN(2)/25)*DG70+(1-EXP(-LN(2)/25))/(LN(2)/25)*Calculateur!DB71*Calculateur!DD71*VLOOKUP('Données projet'!$B$13,Paramètres!$A$1:$I$89,3,0)*0.475*44/12</f>
        <v>7.9424175242811659</v>
      </c>
      <c r="DH71" s="21">
        <f>EXP(-LN(2)/2)*DH70+(1-EXP(-LN(2)/2))/(LN(2)/2)*DB71*DE71*VLOOKUP('Données projet'!$B$13,Paramètres!$A$1:$I$89,3,0)*0.475*44/12</f>
        <v>0.36990767816407444</v>
      </c>
      <c r="DI71" s="22">
        <f t="shared" si="69"/>
        <v>16.547562774791682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2.6923076923076907</v>
      </c>
      <c r="DO71" s="12">
        <f>IF('Données projet'!$A$166&gt;35,DO70+DN71-DW70,IF(A71&lt;'Données projet'!$A$166,$DL$205^A71,IF(A71='Données projet'!$A$166,'Données projet'!$B$166,DO70+DN71-DW70)))</f>
        <v>123.46153846153838</v>
      </c>
      <c r="DP71" s="17">
        <f>DO71*VLOOKUP('Données projet'!$B$14,Paramètres!$A$1:$I$89,3,0)*VLOOKUP('Données projet'!$B$14,Paramètres!$A$1:$I$89,5,0)</f>
        <v>129.04199999999992</v>
      </c>
      <c r="DQ71" s="13">
        <f t="shared" si="97"/>
        <v>33.77489845718803</v>
      </c>
      <c r="DR71" s="20">
        <f t="shared" si="70"/>
        <v>283.5727648129357</v>
      </c>
      <c r="DS71" s="59">
        <f t="shared" si="71"/>
        <v>576.90609814626896</v>
      </c>
      <c r="DT71" s="59">
        <f ca="1">AVERAGE(OFFSET($DS$3,0,0,'Données projet'!$E$14+1,1))-AVERAGE(OFFSET($H$3,0,0,'Données projet'!$E$14+1,1))</f>
        <v>239.26156489359892</v>
      </c>
      <c r="DU71" s="59">
        <f t="shared" si="98"/>
        <v>213.97034450798111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0.45017259872534476</v>
      </c>
      <c r="EB71" s="21">
        <f>EXP(-LN(2)/25)*EB70+(1-EXP(-LN(2)/25))/(LN(2)/25)*Calculateur!DW71*Calculateur!DY71*VLOOKUP('Données projet'!$B$14,Paramètres!$A$1:$I$89,3,0)*0.475*44/12</f>
        <v>15.395551958631758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15.845724557357103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6.8933333333333326</v>
      </c>
      <c r="EJ71" s="12">
        <f>IF('Données projet'!$A$192&gt;35,EJ70+EI71-ER70,IF(A71&lt;'Données projet'!$A$192,$EG$205^A71,IF(A71='Données projet'!$A$192,'Données projet'!$B$192,EJ70+EI71-ER70)))</f>
        <v>183.89666666666665</v>
      </c>
      <c r="EK71" s="17">
        <f>EJ71*VLOOKUP('Données projet'!$B$15,Paramètres!$A$1:$I$89,3,0)*VLOOKUP('Données projet'!$B$15,Paramètres!$A$1:$I$89,5,0)</f>
        <v>183.60243199999999</v>
      </c>
      <c r="EL71" s="13">
        <f t="shared" si="99"/>
        <v>46.122734248901445</v>
      </c>
      <c r="EM71" s="20">
        <f t="shared" si="73"/>
        <v>400.10466455016996</v>
      </c>
      <c r="EN71" s="59">
        <f t="shared" si="74"/>
        <v>693.43799788350327</v>
      </c>
      <c r="EO71" s="59">
        <f ca="1">AVERAGE(OFFSET($EN$3,0,0,'Données projet'!$E$15+1,1))-AVERAGE(OFFSET($H$3,0,0,'Données projet'!$E$15+1,1))</f>
        <v>525.74725170626471</v>
      </c>
      <c r="EP71" s="59">
        <f t="shared" si="100"/>
        <v>259.19103598192197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22.075773935321244</v>
      </c>
      <c r="EX71" s="21">
        <f>EXP(-LN(2)/2)*EX70+(1-EXP(-LN(2)/2))/(LN(2)/2)*ER71*EU71*VLOOKUP('Données projet'!$B$15,Paramètres!$A$1:$I$89,3,0)*0.475*44/12</f>
        <v>0.85805998221583712</v>
      </c>
      <c r="EY71" s="22">
        <f t="shared" si="75"/>
        <v>22.933833917537083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>
        <f>VLOOKUP(A72,'Données projet'!$A$35:$I$55,2,0)</f>
        <v>190.79</v>
      </c>
      <c r="L72" s="12">
        <f>VLOOKUP(A72,'Données projet'!$A$35:$I$55,9,0)</f>
        <v>6.8933333333333326</v>
      </c>
      <c r="M72" s="12">
        <f t="array" ref="M72">INDEX(L:L,MIN(IF(ISNUMBER(L72:L268),ROW(L72:L268),"")))</f>
        <v>6.8933333333333326</v>
      </c>
      <c r="N72" s="13">
        <f>IF('Données projet'!$A$36&gt;35,N71+M72-V71,IF(A72&lt;'Données projet'!$A$36,$K$205^A72,IF(A72='Données projet'!$A$36,'Données projet'!$B$36,N71+M72-V71)))</f>
        <v>190.79</v>
      </c>
      <c r="O72" s="13">
        <f>N72*VLOOKUP('Données projet'!$B$9,Paramètres!$A$1:$I$89,3,0)*VLOOKUP('Données projet'!$B$9,Paramètres!$A$1:$I$89,5,0)</f>
        <v>193.46106</v>
      </c>
      <c r="P72" s="13">
        <f t="shared" si="87"/>
        <v>48.304338284801261</v>
      </c>
      <c r="Q72" s="20">
        <f t="shared" si="54"/>
        <v>421.07473534602883</v>
      </c>
      <c r="R72" s="59">
        <f t="shared" si="55"/>
        <v>714.40806867936215</v>
      </c>
      <c r="S72" s="59">
        <f ca="1">AVERAGE(OFFSET($R$3,0,0,'Données projet'!$E$9+1,1))-AVERAGE(OFFSET($H$3,0,0,'Données projet'!$E$9+1,1))</f>
        <v>533.26035274112917</v>
      </c>
      <c r="T72" s="59">
        <f t="shared" si="88"/>
        <v>262.58149402282521</v>
      </c>
      <c r="U72" s="15">
        <f>IF(ISNA(VLOOKUP(A72,'Données projet'!$A$35:$I$55,3,0)),0,VLOOKUP(A72,'Données projet'!$A$35:$I$55,3,0))</f>
        <v>2</v>
      </c>
      <c r="V72" s="15">
        <f>IF(ISNA(VLOOKUP(A72,'Données projet'!$A$35:$I$55,4,0)),0,VLOOKUP(A72,'Données projet'!$A$35:$I$55,4,0))</f>
        <v>42.22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0.34400000000000003</v>
      </c>
      <c r="Y72" s="16">
        <f>IF(ISNA(VLOOKUP(A72,'Données projet'!$A$35:$I$55,7,0)),0%,VLOOKUP(A72,'Données projet'!$A$35:$I$55,7,0))</f>
        <v>0.2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38.02378583479539</v>
      </c>
      <c r="AB72" s="21">
        <f>EXP(-LN(2)/2)*AB71+(1-EXP(-LN(2)/2))/(LN(2)/2)*V72*Y72*VLOOKUP('Données projet'!$B$9,Paramètres!$A$1:$I$89,3,0)*0.475*44/12</f>
        <v>8.6949015897559168</v>
      </c>
      <c r="AC72" s="22">
        <f t="shared" si="57"/>
        <v>46.718687424551305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8.2474999999999987</v>
      </c>
      <c r="AI72" s="13">
        <f>IF('Données projet'!$A$62&gt;35,AI71+AH72-AQ71,IF(A72&lt;'Données projet'!$A$62,$AF$205^A72,IF(A72='Données projet'!$A$62,'Données projet'!$B$62,AI71+AH72-AQ71)))</f>
        <v>205.40500000000026</v>
      </c>
      <c r="AJ72" s="13">
        <f>AI72*VLOOKUP('Données projet'!$B$10,Paramètres!$A$1:$I$89,3,0)*VLOOKUP('Données projet'!$B$10,Paramètres!$A$1:$I$89,5,0)</f>
        <v>185.85044400000024</v>
      </c>
      <c r="AK72" s="13">
        <f t="shared" si="89"/>
        <v>46.621369253856919</v>
      </c>
      <c r="AL72" s="20">
        <f t="shared" si="58"/>
        <v>404.88840808380127</v>
      </c>
      <c r="AM72" s="59">
        <f t="shared" si="59"/>
        <v>698.22174141713458</v>
      </c>
      <c r="AN72" s="59">
        <f ca="1">AVERAGE(OFFSET($AM$3,0,0,'Données projet'!$E$10+1,1))-AVERAGE(OFFSET($H$3,0,0,'Données projet'!$E$10+1,1))</f>
        <v>482.62991869403385</v>
      </c>
      <c r="AO72" s="59">
        <f t="shared" si="90"/>
        <v>310.43914804089906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12.904933143516029</v>
      </c>
      <c r="AV72" s="21">
        <f>EXP(-LN(2)/25)*AV71+(1-EXP(-LN(2)/25))/(LN(2)/25)*Calculateur!AQ72*Calculateur!AS72*VLOOKUP('Données projet'!$B$10,Paramètres!$A$1:$I$89,3,0)*0.475*44/12</f>
        <v>30.293132616507702</v>
      </c>
      <c r="AW72" s="21">
        <f>EXP(-LN(2)/2)*AW71+(1-EXP(-LN(2)/2))/(LN(2)/2)*AQ72*AT72*VLOOKUP('Données projet'!$B$10,Paramètres!$A$1:$I$89,3,0)*0.475*44/12</f>
        <v>2.0446549382214037</v>
      </c>
      <c r="AX72" s="21">
        <f t="shared" si="60"/>
        <v>45.242720698245137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4.5999999999999996</v>
      </c>
      <c r="BD72" s="12">
        <f>IF('Données projet'!$A$88&gt;35,BD71+BC72-BL71,IF(A72&lt;'Données projet'!$A$88,$BA$205^A72,IF(A72='Données projet'!$A$88,'Données projet'!$B$88,BD71+BC72-BL71)))</f>
        <v>311.39999999999992</v>
      </c>
      <c r="BE72" s="13">
        <f>BD72*VLOOKUP('Données projet'!$B$11,Paramètres!$A$1:$I$89,3,0)*VLOOKUP('Données projet'!$B$11,Paramètres!$A$1:$I$89,5,0)</f>
        <v>272.03904</v>
      </c>
      <c r="BF72" s="13">
        <f t="shared" si="91"/>
        <v>65.281815371368268</v>
      </c>
      <c r="BG72" s="20">
        <f t="shared" si="61"/>
        <v>587.50048977179972</v>
      </c>
      <c r="BH72" s="59">
        <f t="shared" si="62"/>
        <v>880.83382310513298</v>
      </c>
      <c r="BI72" s="59">
        <f ca="1">AVERAGE(OFFSET($BH$3,0,0,'Données projet'!$E$11+1,1))-AVERAGE(OFFSET($H$3,0,0,'Données projet'!$E$11+1,1))</f>
        <v>384.34044781465661</v>
      </c>
      <c r="BJ72" s="59">
        <f t="shared" si="92"/>
        <v>374.99493809709708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15.040191007640823</v>
      </c>
      <c r="BQ72" s="21">
        <f>EXP(-LN(2)/25)*BQ71+(1-EXP(-LN(2)/25))/(LN(2)/25)*Calculateur!BL72*Calculateur!BN72*VLOOKUP('Données projet'!$B$11,Paramètres!$A$1:$I$89,3,0)*0.475*44/12</f>
        <v>15.882587288290678</v>
      </c>
      <c r="BR72" s="21">
        <f>EXP(-LN(2)/2)*BR71+(1-EXP(-LN(2)/2))/(LN(2)/2)*BL72*BO72*VLOOKUP('Données projet'!$B$11,Paramètres!$A$1:$I$89,3,0)*0.475*44/12</f>
        <v>0.82996344974414726</v>
      </c>
      <c r="BS72" s="22">
        <f t="shared" si="63"/>
        <v>31.75274174567565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8.2474999999999987</v>
      </c>
      <c r="BY72" s="12">
        <f>IF('Données projet'!$A$114&gt;35,BY71+BX72-CG71,IF(A72&lt;'Données projet'!$A$114,$BV$205^A72,IF(A72='Données projet'!$A$114,'Données projet'!$B$114,BY71+BX72-CG71)))</f>
        <v>205.40500000000026</v>
      </c>
      <c r="BZ72" s="13">
        <f>BY72*VLOOKUP('Données projet'!$B$12,Paramètres!$A$1:$I$89,3,0)*VLOOKUP('Données projet'!$B$12,Paramètres!$A$1:$I$89,5,0)</f>
        <v>195.46339800000024</v>
      </c>
      <c r="CA72" s="13">
        <f t="shared" si="93"/>
        <v>48.745832468583117</v>
      </c>
      <c r="CB72" s="20">
        <f t="shared" si="64"/>
        <v>425.33107639944933</v>
      </c>
      <c r="CC72" s="59">
        <f t="shared" si="65"/>
        <v>718.66440973278259</v>
      </c>
      <c r="CD72" s="59">
        <f ca="1">AVERAGE(OFFSET($CC$3,0,0,'Données projet'!$E$12+1,1))-AVERAGE(OFFSET($H$3,0,0,'Données projet'!$E$12+1,1))</f>
        <v>513.14430745499283</v>
      </c>
      <c r="CE72" s="59">
        <f t="shared" si="94"/>
        <v>324.2490378019823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13.57242968542203</v>
      </c>
      <c r="CL72" s="21">
        <f>EXP(-LN(2)/25)*CL71+(1-EXP(-LN(2)/25))/(LN(2)/25)*Calculateur!CG72*Calculateur!CI72*VLOOKUP('Données projet'!$B$12,Paramètres!$A$1:$I$89,3,0)*0.475*44/12</f>
        <v>31.860018786327068</v>
      </c>
      <c r="CM72" s="21">
        <f>EXP(-LN(2)/2)*CM71+(1-EXP(-LN(2)/2))/(LN(2)/2)*CG72*CJ72*VLOOKUP('Données projet'!$B$12,Paramètres!$A$1:$I$89,3,0)*0.475*44/12</f>
        <v>2.1504129522673381</v>
      </c>
      <c r="CN72" s="22">
        <f t="shared" si="66"/>
        <v>47.582861424016436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>
        <f>VLOOKUP(A72,'Données projet'!$A$139:$I$159,2,0)</f>
        <v>210.25641025641025</v>
      </c>
      <c r="CR72" s="12">
        <f>VLOOKUP(A72,'Données projet'!$A$139:$I$159,9,0)</f>
        <v>5.5555555555555554</v>
      </c>
      <c r="CS72" s="12">
        <f t="array" ref="CS72">INDEX(CR:CR,MIN(IF(ISNUMBER(CR72:CR268),ROW(CR72:CR268),"")))</f>
        <v>5.5555555555555554</v>
      </c>
      <c r="CT72" s="12">
        <f>IF('Données projet'!$A$140&gt;35,CT71+CS72-DB71,IF(A72&lt;'Données projet'!$A$140,$CQ$205^A72,IF(A72='Données projet'!$A$140,'Données projet'!$B$140,CT71+CS72-DB71)))</f>
        <v>210.25641025641013</v>
      </c>
      <c r="CU72" s="17">
        <f>CT72*VLOOKUP('Données projet'!$B$13,Paramètres!$A$1:$I$89,3,0)*VLOOKUP('Données projet'!$B$13,Paramètres!$A$1:$I$89,5,0)</f>
        <v>163.99999999999991</v>
      </c>
      <c r="CV72" s="13">
        <f t="shared" si="95"/>
        <v>41.743425908362248</v>
      </c>
      <c r="CW72" s="20">
        <f t="shared" si="67"/>
        <v>358.33646679039742</v>
      </c>
      <c r="CX72" s="59">
        <f t="shared" si="68"/>
        <v>651.66980012373074</v>
      </c>
      <c r="CY72" s="59">
        <f ca="1">AVERAGE(OFFSET($CX$3,0,0,'Données projet'!$E$13+1,1))-AVERAGE(OFFSET($H$3,0,0,'Données projet'!$E$13+1,1))</f>
        <v>197.51452239559433</v>
      </c>
      <c r="CZ72" s="59">
        <f t="shared" si="96"/>
        <v>196.65166921588821</v>
      </c>
      <c r="DA72" s="15">
        <f>IF(ISNA(VLOOKUP(A72,'Données projet'!$A$139:$I$159,3,0)),0,VLOOKUP(A72,'Données projet'!$A$139:$I$159,3,0))</f>
        <v>9</v>
      </c>
      <c r="DB72" s="15">
        <f>IF(ISNA(VLOOKUP(A72,'Données projet'!$A$139:$I$159,4,0)),0,VLOOKUP(A72,'Données projet'!$A$139:$I$159,4,0))</f>
        <v>210.25641025641025</v>
      </c>
      <c r="DC72" s="16">
        <f>IF(ISNA(VLOOKUP(A72,'Données projet'!$A$139:$I$159,5,0)),0%,VLOOKUP(A72,'Données projet'!$A$139:$I$159,5,0)*VLOOKUP('Données projet'!$B$13,Paramètres!$A$1:$I$89,7,0))</f>
        <v>0.1075</v>
      </c>
      <c r="DD72" s="16">
        <f>IF(ISNA(VLOOKUP(A72,'Données projet'!$A$139:$I$159,6,0)),0%,VLOOKUP(A72,'Données projet'!$A$139:$I$159,6,0)*VLOOKUP('Données projet'!$B$13,Paramètres!$A$1:$I$89,7,0))</f>
        <v>0.1075</v>
      </c>
      <c r="DE72" s="16">
        <f>IF(ISNA(VLOOKUP(A72,'Données projet'!$A$139:$I$159,7,0)),0%,VLOOKUP(A72,'Données projet'!$A$139:$I$159,7,0))</f>
        <v>0.25</v>
      </c>
      <c r="DF72" s="21">
        <f>EXP(-LN(2)/35)*DF71+(1-EXP(-LN(2)/35))/(LN(2)/35)*DB72*DC72*VLOOKUP('Données projet'!$B$13,Paramètres!$A$1:$I$89,3,0)*0.475*44/12</f>
        <v>27.563192377717577</v>
      </c>
      <c r="DG72" s="21">
        <f>EXP(-LN(2)/25)*DG71+(1-EXP(-LN(2)/25))/(LN(2)/25)*Calculateur!DB72*Calculateur!DD72*VLOOKUP('Données projet'!$B$13,Paramètres!$A$1:$I$89,3,0)*0.475*44/12</f>
        <v>27.137937128243308</v>
      </c>
      <c r="DH72" s="21">
        <f>EXP(-LN(2)/2)*DH71+(1-EXP(-LN(2)/2))/(LN(2)/2)*DB72*DE72*VLOOKUP('Données projet'!$B$13,Paramètres!$A$1:$I$89,3,0)*0.475*44/12</f>
        <v>38.946167726463699</v>
      </c>
      <c r="DI72" s="22">
        <f t="shared" si="69"/>
        <v>93.647297232424592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2.6923076923076907</v>
      </c>
      <c r="DO72" s="12">
        <f>IF('Données projet'!$A$166&gt;35,DO71+DN72-DW71,IF(A72&lt;'Données projet'!$A$166,$DL$205^A72,IF(A72='Données projet'!$A$166,'Données projet'!$B$166,DO71+DN72-DW71)))</f>
        <v>126.15384615384608</v>
      </c>
      <c r="DP72" s="17">
        <f>DO72*VLOOKUP('Données projet'!$B$14,Paramètres!$A$1:$I$89,3,0)*VLOOKUP('Données projet'!$B$14,Paramètres!$A$1:$I$89,5,0)</f>
        <v>131.85599999999994</v>
      </c>
      <c r="DQ72" s="13">
        <f t="shared" si="97"/>
        <v>34.424871965010759</v>
      </c>
      <c r="DR72" s="20">
        <f t="shared" si="70"/>
        <v>289.60585200572694</v>
      </c>
      <c r="DS72" s="59">
        <f t="shared" si="71"/>
        <v>582.93918533906026</v>
      </c>
      <c r="DT72" s="59">
        <f ca="1">AVERAGE(OFFSET($DS$3,0,0,'Données projet'!$E$14+1,1))-AVERAGE(OFFSET($H$3,0,0,'Données projet'!$E$14+1,1))</f>
        <v>239.26156489359892</v>
      </c>
      <c r="DU72" s="59">
        <f t="shared" si="98"/>
        <v>213.97034450798111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0.44134498864251365</v>
      </c>
      <c r="EB72" s="21">
        <f>EXP(-LN(2)/25)*EB71+(1-EXP(-LN(2)/25))/(LN(2)/25)*Calculateur!DW72*Calculateur!DY72*VLOOKUP('Données projet'!$B$14,Paramètres!$A$1:$I$89,3,0)*0.475*44/12</f>
        <v>14.974559780706082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15.415904769348597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>
        <f>VLOOKUP(A72,'Données projet'!$A$191:$I$211,2,0)</f>
        <v>190.79</v>
      </c>
      <c r="EH72" s="12">
        <f>VLOOKUP(A72,'Données projet'!$A$191:$I$211,9,0)</f>
        <v>6.8933333333333326</v>
      </c>
      <c r="EI72" s="12">
        <f t="array" ref="EI72">INDEX(EH:EH,MIN(IF(ISNUMBER(EH72:EH268),ROW(EH72:EH268),"")))</f>
        <v>6.8933333333333326</v>
      </c>
      <c r="EJ72" s="12">
        <f>IF('Données projet'!$A$192&gt;35,EJ71+EI72-ER71,IF(A72&lt;'Données projet'!$A$192,$EG$205^A72,IF(A72='Données projet'!$A$192,'Données projet'!$B$192,EJ71+EI72-ER71)))</f>
        <v>190.79</v>
      </c>
      <c r="EK72" s="17">
        <f>EJ72*VLOOKUP('Données projet'!$B$15,Paramètres!$A$1:$I$89,3,0)*VLOOKUP('Données projet'!$B$15,Paramètres!$A$1:$I$89,5,0)</f>
        <v>190.484736</v>
      </c>
      <c r="EL72" s="13">
        <f t="shared" si="99"/>
        <v>47.647105200942853</v>
      </c>
      <c r="EM72" s="20">
        <f t="shared" si="73"/>
        <v>414.74629009164209</v>
      </c>
      <c r="EN72" s="59">
        <f t="shared" si="74"/>
        <v>708.07962342497535</v>
      </c>
      <c r="EO72" s="59">
        <f ca="1">AVERAGE(OFFSET($EN$3,0,0,'Données projet'!$E$15+1,1))-AVERAGE(OFFSET($H$3,0,0,'Données projet'!$E$15+1,1))</f>
        <v>525.74725170626471</v>
      </c>
      <c r="EP72" s="59">
        <f t="shared" si="100"/>
        <v>259.19103598192197</v>
      </c>
      <c r="EQ72" s="15">
        <f>IF(ISNA(VLOOKUP(A72,'Données projet'!$A$191:$I$211,3,0)),0,VLOOKUP(A72,'Données projet'!$A$191:$I$211,3,0))</f>
        <v>2</v>
      </c>
      <c r="ER72" s="15">
        <f>IF(ISNA(VLOOKUP(A72,'Données projet'!$A$191:$I$211,4,0)),0,VLOOKUP(A72,'Données projet'!$A$191:$I$211,4,0))</f>
        <v>42.22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0.34400000000000003</v>
      </c>
      <c r="EU72" s="16">
        <f>IF(ISNA(VLOOKUP(A72,'Données projet'!$A$191:$I$211,7,0)),0%,VLOOKUP(A72,'Données projet'!$A$191:$I$211,7,0))</f>
        <v>0.2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37.438804514260077</v>
      </c>
      <c r="EX72" s="21">
        <f>EXP(-LN(2)/2)*EX71+(1-EXP(-LN(2)/2))/(LN(2)/2)*ER72*EU72*VLOOKUP('Données projet'!$B$15,Paramètres!$A$1:$I$89,3,0)*0.475*44/12</f>
        <v>8.5611338729904407</v>
      </c>
      <c r="EY72" s="22">
        <f t="shared" si="75"/>
        <v>45.999938387250516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6.7437500000000021</v>
      </c>
      <c r="N73" s="13">
        <f>IF('Données projet'!$A$36&gt;35,N72+M73-V72,IF(A73&lt;'Données projet'!$A$36,$K$205^A73,IF(A73='Données projet'!$A$36,'Données projet'!$B$36,N72+M73-V72)))</f>
        <v>155.31375</v>
      </c>
      <c r="O73" s="13">
        <f>N73*VLOOKUP('Données projet'!$B$9,Paramètres!$A$1:$I$89,3,0)*VLOOKUP('Données projet'!$B$9,Paramètres!$A$1:$I$89,5,0)</f>
        <v>157.48814250000001</v>
      </c>
      <c r="P73" s="13">
        <f t="shared" si="87"/>
        <v>40.275438230597821</v>
      </c>
      <c r="Q73" s="20">
        <f t="shared" si="54"/>
        <v>344.43823643912452</v>
      </c>
      <c r="R73" s="59">
        <f t="shared" si="55"/>
        <v>637.77156977245784</v>
      </c>
      <c r="S73" s="59">
        <f ca="1">AVERAGE(OFFSET($R$3,0,0,'Données projet'!$E$9+1,1))-AVERAGE(OFFSET($H$3,0,0,'Données projet'!$E$9+1,1))</f>
        <v>533.26035274112917</v>
      </c>
      <c r="T73" s="59">
        <f t="shared" si="88"/>
        <v>262.58149402282521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36.984023411558915</v>
      </c>
      <c r="AB73" s="21">
        <f>EXP(-LN(2)/2)*AB72+(1-EXP(-LN(2)/2))/(LN(2)/2)*V73*Y73*VLOOKUP('Données projet'!$B$9,Paramètres!$A$1:$I$89,3,0)*0.475*44/12</f>
        <v>6.1482238758661021</v>
      </c>
      <c r="AC73" s="22">
        <f t="shared" si="57"/>
        <v>43.132247287425017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8.2474999999999987</v>
      </c>
      <c r="AI73" s="13">
        <f>IF('Données projet'!$A$62&gt;35,AI72+AH73-AQ72,IF(A73&lt;'Données projet'!$A$62,$AF$205^A73,IF(A73='Données projet'!$A$62,'Données projet'!$B$62,AI72+AH73-AQ72)))</f>
        <v>213.65250000000026</v>
      </c>
      <c r="AJ73" s="13">
        <f>AI73*VLOOKUP('Données projet'!$B$10,Paramètres!$A$1:$I$89,3,0)*VLOOKUP('Données projet'!$B$10,Paramètres!$A$1:$I$89,5,0)</f>
        <v>193.31278200000023</v>
      </c>
      <c r="AK73" s="13">
        <f t="shared" si="89"/>
        <v>48.271623476583684</v>
      </c>
      <c r="AL73" s="20">
        <f t="shared" si="58"/>
        <v>420.75950620505029</v>
      </c>
      <c r="AM73" s="59">
        <f t="shared" si="59"/>
        <v>714.0928395383836</v>
      </c>
      <c r="AN73" s="59">
        <f ca="1">AVERAGE(OFFSET($AM$3,0,0,'Données projet'!$E$10+1,1))-AVERAGE(OFFSET($H$3,0,0,'Données projet'!$E$10+1,1))</f>
        <v>482.62991869403385</v>
      </c>
      <c r="AO73" s="59">
        <f t="shared" si="90"/>
        <v>310.43914804089906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12.651875275803677</v>
      </c>
      <c r="AV73" s="21">
        <f>EXP(-LN(2)/25)*AV72+(1-EXP(-LN(2)/25))/(LN(2)/25)*Calculateur!AQ73*Calculateur!AS73*VLOOKUP('Données projet'!$B$10,Paramètres!$A$1:$I$89,3,0)*0.475*44/12</f>
        <v>29.464765312062688</v>
      </c>
      <c r="AW73" s="21">
        <f>EXP(-LN(2)/2)*AW72+(1-EXP(-LN(2)/2))/(LN(2)/2)*AQ73*AT73*VLOOKUP('Données projet'!$B$10,Paramètres!$A$1:$I$89,3,0)*0.475*44/12</f>
        <v>1.445789372002916</v>
      </c>
      <c r="AX73" s="21">
        <f t="shared" si="60"/>
        <v>43.562429959869277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316</v>
      </c>
      <c r="BB73" s="12">
        <f>VLOOKUP(A73,'Données projet'!$A$87:$I$107,9,0)</f>
        <v>4.5999999999999996</v>
      </c>
      <c r="BC73" s="12">
        <f t="array" ref="BC73">INDEX(BB:BB,MIN(IF(ISNUMBER(BB73:BB269),ROW(BB73:BB269),"")))</f>
        <v>4.5999999999999996</v>
      </c>
      <c r="BD73" s="12">
        <f>IF('Données projet'!$A$88&gt;35,BD72+BC73-BL72,IF(A73&lt;'Données projet'!$A$88,$BA$205^A73,IF(A73='Données projet'!$A$88,'Données projet'!$B$88,BD72+BC73-BL72)))</f>
        <v>315.99999999999994</v>
      </c>
      <c r="BE73" s="13">
        <f>BD73*VLOOKUP('Données projet'!$B$11,Paramètres!$A$1:$I$89,3,0)*VLOOKUP('Données projet'!$B$11,Paramètres!$A$1:$I$89,5,0)</f>
        <v>276.05759999999998</v>
      </c>
      <c r="BF73" s="13">
        <f t="shared" si="91"/>
        <v>66.133180102831929</v>
      </c>
      <c r="BG73" s="20">
        <f t="shared" si="61"/>
        <v>595.98227534576563</v>
      </c>
      <c r="BH73" s="59">
        <f t="shared" si="62"/>
        <v>889.31560867909889</v>
      </c>
      <c r="BI73" s="59">
        <f ca="1">AVERAGE(OFFSET($BH$3,0,0,'Données projet'!$E$11+1,1))-AVERAGE(OFFSET($H$3,0,0,'Données projet'!$E$11+1,1))</f>
        <v>384.34044781465661</v>
      </c>
      <c r="BJ73" s="59">
        <f t="shared" si="92"/>
        <v>374.99493809709708</v>
      </c>
      <c r="BK73" s="15">
        <f>IF(ISNA(VLOOKUP(A73,'Données projet'!$A$87:$I$107,3,0)),0,VLOOKUP(A73,'Données projet'!$A$87:$I$107,3,0))</f>
        <v>12</v>
      </c>
      <c r="BL73" s="15">
        <f>IF(ISNA(VLOOKUP(A73,'Données projet'!$A$87:$I$107,4,0)),0,VLOOKUP(A73,'Données projet'!$A$87:$I$107,4,0))</f>
        <v>13</v>
      </c>
      <c r="BM73" s="16">
        <f>IF(ISNA(VLOOKUP(A73,'Données projet'!$A$87:$I$107,5,0)),0%,VLOOKUP(A73,'Données projet'!$A$87:$I$107,5,0)*VLOOKUP('Données projet'!$B$11,Paramètres!$A$1:$I$89,7,0))</f>
        <v>0.13250000000000001</v>
      </c>
      <c r="BN73" s="16">
        <f>IF(ISNA(VLOOKUP(A73,'Données projet'!$A$87:$I$107,6,0)),0%,VLOOKUP(A73,'Données projet'!$A$87:$I$107,6,0)*VLOOKUP('Données projet'!$B$11,Paramètres!$A$1:$I$89,7,0))</f>
        <v>0.13250000000000001</v>
      </c>
      <c r="BO73" s="16">
        <f>IF(ISNA(VLOOKUP(A73,'Données projet'!$A$87:$I$107,7,0)),0%,VLOOKUP(A73,'Données projet'!$A$87:$I$107,7,0))</f>
        <v>0.25</v>
      </c>
      <c r="BP73" s="21">
        <f>EXP(-LN(2)/35)*BP72+(1-EXP(-LN(2)/35))/(LN(2)/35)*BL73*BM73*VLOOKUP('Données projet'!$B$11,Paramètres!$A$1:$I$89,3,0)*0.475*44/12</f>
        <v>16.408747331423758</v>
      </c>
      <c r="BQ73" s="21">
        <f>EXP(-LN(2)/25)*BQ72+(1-EXP(-LN(2)/25))/(LN(2)/25)*Calculateur!BL73*Calculateur!BN73*VLOOKUP('Données projet'!$B$11,Paramètres!$A$1:$I$89,3,0)*0.475*44/12</f>
        <v>17.1052126240482</v>
      </c>
      <c r="BR73" s="21">
        <f>EXP(-LN(2)/2)*BR72+(1-EXP(-LN(2)/2))/(LN(2)/2)*BL73*BO73*VLOOKUP('Données projet'!$B$11,Paramètres!$A$1:$I$89,3,0)*0.475*44/12</f>
        <v>3.2657343993986849</v>
      </c>
      <c r="BS73" s="22">
        <f t="shared" si="63"/>
        <v>36.779694354870642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8.2474999999999987</v>
      </c>
      <c r="BY73" s="12">
        <f>IF('Données projet'!$A$114&gt;35,BY72+BX73-CG72,IF(A73&lt;'Données projet'!$A$114,$BV$205^A73,IF(A73='Données projet'!$A$114,'Données projet'!$B$114,BY72+BX73-CG72)))</f>
        <v>213.65250000000026</v>
      </c>
      <c r="BZ73" s="13">
        <f>BY73*VLOOKUP('Données projet'!$B$12,Paramètres!$A$1:$I$89,3,0)*VLOOKUP('Données projet'!$B$12,Paramètres!$A$1:$I$89,5,0)</f>
        <v>203.31171900000027</v>
      </c>
      <c r="CA73" s="13">
        <f t="shared" si="93"/>
        <v>50.47128620705211</v>
      </c>
      <c r="CB73" s="20">
        <f t="shared" si="64"/>
        <v>442.00540073561621</v>
      </c>
      <c r="CC73" s="59">
        <f t="shared" si="65"/>
        <v>735.33873406894952</v>
      </c>
      <c r="CD73" s="59">
        <f ca="1">AVERAGE(OFFSET($CC$3,0,0,'Données projet'!$E$12+1,1))-AVERAGE(OFFSET($H$3,0,0,'Données projet'!$E$12+1,1))</f>
        <v>513.14430745499283</v>
      </c>
      <c r="CE73" s="59">
        <f t="shared" si="94"/>
        <v>324.2490378019823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13.306282617655592</v>
      </c>
      <c r="CL73" s="21">
        <f>EXP(-LN(2)/25)*CL72+(1-EXP(-LN(2)/25))/(LN(2)/25)*Calculateur!CG73*Calculateur!CI73*VLOOKUP('Données projet'!$B$12,Paramètres!$A$1:$I$89,3,0)*0.475*44/12</f>
        <v>30.988804897169384</v>
      </c>
      <c r="CM73" s="21">
        <f>EXP(-LN(2)/2)*CM72+(1-EXP(-LN(2)/2))/(LN(2)/2)*CG73*CJ73*VLOOKUP('Données projet'!$B$12,Paramètres!$A$1:$I$89,3,0)*0.475*44/12</f>
        <v>1.5205715808996183</v>
      </c>
      <c r="CN73" s="22">
        <f t="shared" si="66"/>
        <v>45.815659095724598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-1.1368683772161603E-13</v>
      </c>
      <c r="CU73" s="17">
        <f>CT73*VLOOKUP('Données projet'!$B$13,Paramètres!$A$1:$I$89,3,0)*VLOOKUP('Données projet'!$B$13,Paramètres!$A$1:$I$89,5,0)</f>
        <v>-8.8675733422860506E-14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197.51452239559433</v>
      </c>
      <c r="CZ73" s="59">
        <f t="shared" si="96"/>
        <v>196.65166921588821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27.022694987077848</v>
      </c>
      <c r="DG73" s="21">
        <f>EXP(-LN(2)/25)*DG72+(1-EXP(-LN(2)/25))/(LN(2)/25)*Calculateur!DB73*Calculateur!DD73*VLOOKUP('Données projet'!$B$13,Paramètres!$A$1:$I$89,3,0)*0.475*44/12</f>
        <v>26.395848810349406</v>
      </c>
      <c r="DH73" s="21">
        <f>EXP(-LN(2)/2)*DH72+(1-EXP(-LN(2)/2))/(LN(2)/2)*DB73*DE73*VLOOKUP('Données projet'!$B$13,Paramètres!$A$1:$I$89,3,0)*0.475*44/12</f>
        <v>27.539099300611149</v>
      </c>
      <c r="DI73" s="22">
        <f t="shared" si="69"/>
        <v>80.957643098038403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128.84615384615384</v>
      </c>
      <c r="DM73" s="12">
        <f>VLOOKUP(A73,'Données projet'!$A$165:$I$185,9,0)</f>
        <v>2.6923076923076907</v>
      </c>
      <c r="DN73" s="12">
        <f t="array" ref="DN73">INDEX(DM:DM,MIN(IF(ISNUMBER(DM73:DM269),ROW(DM73:DM269),"")))</f>
        <v>2.6923076923076907</v>
      </c>
      <c r="DO73" s="12">
        <f>IF('Données projet'!$A$166&gt;35,DO72+DN73-DW72,IF(A73&lt;'Données projet'!$A$166,$DL$205^A73,IF(A73='Données projet'!$A$166,'Données projet'!$B$166,DO72+DN73-DW72)))</f>
        <v>128.84615384615375</v>
      </c>
      <c r="DP73" s="17">
        <f>DO73*VLOOKUP('Données projet'!$B$14,Paramètres!$A$1:$I$89,3,0)*VLOOKUP('Données projet'!$B$14,Paramètres!$A$1:$I$89,5,0)</f>
        <v>134.66999999999993</v>
      </c>
      <c r="DQ73" s="13">
        <f t="shared" si="97"/>
        <v>35.07323271794791</v>
      </c>
      <c r="DR73" s="20">
        <f t="shared" si="70"/>
        <v>295.63613031709252</v>
      </c>
      <c r="DS73" s="59">
        <f t="shared" si="71"/>
        <v>588.96946365042584</v>
      </c>
      <c r="DT73" s="59">
        <f ca="1">AVERAGE(OFFSET($DS$3,0,0,'Données projet'!$E$14+1,1))-AVERAGE(OFFSET($H$3,0,0,'Données projet'!$E$14+1,1))</f>
        <v>239.26156489359892</v>
      </c>
      <c r="DU73" s="59">
        <f t="shared" si="98"/>
        <v>213.97034450798111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8.9743589743589745</v>
      </c>
      <c r="DX73" s="16">
        <f>IF(ISNA(VLOOKUP(A73,'Données projet'!$A$165:$I$185,5,0)),0%,VLOOKUP(A73,'Données projet'!$A$165:$I$185,5,0)*VLOOKUP('Données projet'!$B$14,Paramètres!$A$1:$I$89,7,0))</f>
        <v>4.3000000000000003E-2</v>
      </c>
      <c r="DY73" s="16">
        <f>IF(ISNA(VLOOKUP(A73,'Données projet'!$A$165:$I$185,6,0)),0%,VLOOKUP(A73,'Données projet'!$A$165:$I$185,6,0)*VLOOKUP('Données projet'!$B$14,Paramètres!$A$1:$I$89,7,0))</f>
        <v>0.215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0.87857090548991645</v>
      </c>
      <c r="EB73" s="21">
        <f>EXP(-LN(2)/25)*EB72+(1-EXP(-LN(2)/25))/(LN(2)/25)*Calculateur!DW73*Calculateur!DY73*VLOOKUP('Données projet'!$B$14,Paramètres!$A$1:$I$89,3,0)*0.475*44/12</f>
        <v>16.785703764835688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17.664274670325604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6.7437500000000021</v>
      </c>
      <c r="EJ73" s="12">
        <f>IF('Données projet'!$A$192&gt;35,EJ72+EI73-ER72,IF(A73&lt;'Données projet'!$A$192,$EG$205^A73,IF(A73='Données projet'!$A$192,'Données projet'!$B$192,EJ72+EI73-ER72)))</f>
        <v>155.31375</v>
      </c>
      <c r="EK73" s="17">
        <f>EJ73*VLOOKUP('Données projet'!$B$15,Paramètres!$A$1:$I$89,3,0)*VLOOKUP('Données projet'!$B$15,Paramètres!$A$1:$I$89,5,0)</f>
        <v>155.06524800000003</v>
      </c>
      <c r="EL73" s="13">
        <f t="shared" si="99"/>
        <v>39.727447068479464</v>
      </c>
      <c r="EM73" s="20">
        <f t="shared" si="73"/>
        <v>339.2639439109351</v>
      </c>
      <c r="EN73" s="59">
        <f t="shared" si="74"/>
        <v>632.59727724426841</v>
      </c>
      <c r="EO73" s="59">
        <f ca="1">AVERAGE(OFFSET($EN$3,0,0,'Données projet'!$E$15+1,1))-AVERAGE(OFFSET($H$3,0,0,'Données projet'!$E$15+1,1))</f>
        <v>525.74725170626471</v>
      </c>
      <c r="EP73" s="59">
        <f t="shared" si="100"/>
        <v>259.19103598192197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36.415038435996472</v>
      </c>
      <c r="EX73" s="21">
        <f>EXP(-LN(2)/2)*EX72+(1-EXP(-LN(2)/2))/(LN(2)/2)*ER73*EU73*VLOOKUP('Données projet'!$B$15,Paramètres!$A$1:$I$89,3,0)*0.475*44/12</f>
        <v>6.0536358162373922</v>
      </c>
      <c r="EY73" s="22">
        <f t="shared" si="75"/>
        <v>42.468674252233868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6.7437500000000021</v>
      </c>
      <c r="N74" s="13">
        <f>IF('Données projet'!$A$36&gt;35,N73+M74-V73,IF(A74&lt;'Données projet'!$A$36,$K$205^A74,IF(A74='Données projet'!$A$36,'Données projet'!$B$36,N73+M74-V73)))</f>
        <v>162.0575</v>
      </c>
      <c r="O74" s="13">
        <f>N74*VLOOKUP('Données projet'!$B$9,Paramètres!$A$1:$I$89,3,0)*VLOOKUP('Données projet'!$B$9,Paramètres!$A$1:$I$89,5,0)</f>
        <v>164.32630500000002</v>
      </c>
      <c r="P74" s="13">
        <f t="shared" si="87"/>
        <v>41.816805184010924</v>
      </c>
      <c r="Q74" s="20">
        <f t="shared" si="54"/>
        <v>359.03258357048571</v>
      </c>
      <c r="R74" s="59">
        <f t="shared" si="55"/>
        <v>652.36591690381897</v>
      </c>
      <c r="S74" s="59">
        <f ca="1">AVERAGE(OFFSET($R$3,0,0,'Données projet'!$E$9+1,1))-AVERAGE(OFFSET($H$3,0,0,'Données projet'!$E$9+1,1))</f>
        <v>533.26035274112917</v>
      </c>
      <c r="T74" s="59">
        <f t="shared" si="88"/>
        <v>262.58149402282521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35.972693346464574</v>
      </c>
      <c r="AB74" s="21">
        <f>EXP(-LN(2)/2)*AB73+(1-EXP(-LN(2)/2))/(LN(2)/2)*V74*Y74*VLOOKUP('Données projet'!$B$9,Paramètres!$A$1:$I$89,3,0)*0.475*44/12</f>
        <v>4.3474507948779593</v>
      </c>
      <c r="AC74" s="22">
        <f t="shared" si="57"/>
        <v>40.320144141342531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8.2474999999999987</v>
      </c>
      <c r="AI74" s="13">
        <f>IF('Données projet'!$A$62&gt;35,AI73+AH74-AQ73,IF(A74&lt;'Données projet'!$A$62,$AF$205^A74,IF(A74='Données projet'!$A$62,'Données projet'!$B$62,AI73+AH74-AQ73)))</f>
        <v>221.90000000000026</v>
      </c>
      <c r="AJ74" s="13">
        <f>AI74*VLOOKUP('Données projet'!$B$10,Paramètres!$A$1:$I$89,3,0)*VLOOKUP('Données projet'!$B$10,Paramètres!$A$1:$I$89,5,0)</f>
        <v>200.77512000000021</v>
      </c>
      <c r="AK74" s="13">
        <f t="shared" si="89"/>
        <v>49.914477272475111</v>
      </c>
      <c r="AL74" s="20">
        <f t="shared" si="58"/>
        <v>436.61771524956117</v>
      </c>
      <c r="AM74" s="59">
        <f t="shared" si="59"/>
        <v>729.95104858289449</v>
      </c>
      <c r="AN74" s="59">
        <f ca="1">AVERAGE(OFFSET($AM$3,0,0,'Données projet'!$E$10+1,1))-AVERAGE(OFFSET($H$3,0,0,'Données projet'!$E$10+1,1))</f>
        <v>482.62991869403385</v>
      </c>
      <c r="AO74" s="59">
        <f t="shared" si="90"/>
        <v>310.43914804089906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12.403779718527106</v>
      </c>
      <c r="AV74" s="21">
        <f>EXP(-LN(2)/25)*AV73+(1-EXP(-LN(2)/25))/(LN(2)/25)*Calculateur!AQ74*Calculateur!AS74*VLOOKUP('Données projet'!$B$10,Paramètres!$A$1:$I$89,3,0)*0.475*44/12</f>
        <v>28.659049755119668</v>
      </c>
      <c r="AW74" s="21">
        <f>EXP(-LN(2)/2)*AW73+(1-EXP(-LN(2)/2))/(LN(2)/2)*AQ74*AT74*VLOOKUP('Données projet'!$B$10,Paramètres!$A$1:$I$89,3,0)*0.475*44/12</f>
        <v>1.022327469110702</v>
      </c>
      <c r="AX74" s="21">
        <f t="shared" si="60"/>
        <v>42.085156942757472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4.2</v>
      </c>
      <c r="BD74" s="12">
        <f>IF('Données projet'!$A$88&gt;35,BD73+BC74-BL73,IF(A74&lt;'Données projet'!$A$88,$BA$205^A74,IF(A74='Données projet'!$A$88,'Données projet'!$B$88,BD73+BC74-BL73)))</f>
        <v>307.19999999999993</v>
      </c>
      <c r="BE74" s="13">
        <f>BD74*VLOOKUP('Données projet'!$B$11,Paramètres!$A$1:$I$89,3,0)*VLOOKUP('Données projet'!$B$11,Paramètres!$A$1:$I$89,5,0)</f>
        <v>268.36991999999998</v>
      </c>
      <c r="BF74" s="13">
        <f t="shared" si="91"/>
        <v>64.503203342054107</v>
      </c>
      <c r="BG74" s="20">
        <f t="shared" si="61"/>
        <v>579.75402315407757</v>
      </c>
      <c r="BH74" s="59">
        <f t="shared" si="62"/>
        <v>873.08735648741094</v>
      </c>
      <c r="BI74" s="59">
        <f ca="1">AVERAGE(OFFSET($BH$3,0,0,'Données projet'!$E$11+1,1))-AVERAGE(OFFSET($H$3,0,0,'Données projet'!$E$11+1,1))</f>
        <v>384.34044781465661</v>
      </c>
      <c r="BJ74" s="59">
        <f t="shared" si="92"/>
        <v>374.99493809709708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16.086981804602168</v>
      </c>
      <c r="BQ74" s="21">
        <f>EXP(-LN(2)/25)*BQ73+(1-EXP(-LN(2)/25))/(LN(2)/25)*Calculateur!BL74*Calculateur!BN74*VLOOKUP('Données projet'!$B$11,Paramètres!$A$1:$I$89,3,0)*0.475*44/12</f>
        <v>16.637469685319566</v>
      </c>
      <c r="BR74" s="21">
        <f>EXP(-LN(2)/2)*BR73+(1-EXP(-LN(2)/2))/(LN(2)/2)*BL74*BO74*VLOOKUP('Données projet'!$B$11,Paramètres!$A$1:$I$89,3,0)*0.475*44/12</f>
        <v>2.3092229393689871</v>
      </c>
      <c r="BS74" s="22">
        <f t="shared" si="63"/>
        <v>35.03367442929072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8.2474999999999987</v>
      </c>
      <c r="BY74" s="12">
        <f>IF('Données projet'!$A$114&gt;35,BY73+BX74-CG73,IF(A74&lt;'Données projet'!$A$114,$BV$205^A74,IF(A74='Données projet'!$A$114,'Données projet'!$B$114,BY73+BX74-CG73)))</f>
        <v>221.90000000000026</v>
      </c>
      <c r="BZ74" s="13">
        <f>BY74*VLOOKUP('Données projet'!$B$12,Paramètres!$A$1:$I$89,3,0)*VLOOKUP('Données projet'!$B$12,Paramètres!$A$1:$I$89,5,0)</f>
        <v>211.16004000000024</v>
      </c>
      <c r="CA74" s="13">
        <f t="shared" si="93"/>
        <v>52.189002292756228</v>
      </c>
      <c r="CB74" s="20">
        <f t="shared" si="64"/>
        <v>458.66624865988416</v>
      </c>
      <c r="CC74" s="59">
        <f t="shared" si="65"/>
        <v>751.99958199321748</v>
      </c>
      <c r="CD74" s="59">
        <f ca="1">AVERAGE(OFFSET($CC$3,0,0,'Données projet'!$E$12+1,1))-AVERAGE(OFFSET($H$3,0,0,'Données projet'!$E$12+1,1))</f>
        <v>513.14430745499283</v>
      </c>
      <c r="CE74" s="59">
        <f t="shared" si="94"/>
        <v>324.2490378019823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13.045354531554372</v>
      </c>
      <c r="CL74" s="21">
        <f>EXP(-LN(2)/25)*CL73+(1-EXP(-LN(2)/25))/(LN(2)/25)*Calculateur!CG74*Calculateur!CI74*VLOOKUP('Données projet'!$B$12,Paramètres!$A$1:$I$89,3,0)*0.475*44/12</f>
        <v>30.141414397625862</v>
      </c>
      <c r="CM74" s="21">
        <f>EXP(-LN(2)/2)*CM73+(1-EXP(-LN(2)/2))/(LN(2)/2)*CG74*CJ74*VLOOKUP('Données projet'!$B$12,Paramètres!$A$1:$I$89,3,0)*0.475*44/12</f>
        <v>1.075206476133669</v>
      </c>
      <c r="CN74" s="22">
        <f t="shared" si="66"/>
        <v>44.261975405313905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-1.1368683772161603E-13</v>
      </c>
      <c r="CU74" s="17">
        <f>CT74*VLOOKUP('Données projet'!$B$13,Paramètres!$A$1:$I$89,3,0)*VLOOKUP('Données projet'!$B$13,Paramètres!$A$1:$I$89,5,0)</f>
        <v>-8.8675733422860506E-14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197.51452239559433</v>
      </c>
      <c r="CZ74" s="59">
        <f t="shared" si="96"/>
        <v>196.65166921588821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26.49279642059771</v>
      </c>
      <c r="DG74" s="21">
        <f>EXP(-LN(2)/25)*DG73+(1-EXP(-LN(2)/25))/(LN(2)/25)*Calculateur!DB74*Calculateur!DD74*VLOOKUP('Données projet'!$B$13,Paramètres!$A$1:$I$89,3,0)*0.475*44/12</f>
        <v>25.674052936533041</v>
      </c>
      <c r="DH74" s="21">
        <f>EXP(-LN(2)/2)*DH73+(1-EXP(-LN(2)/2))/(LN(2)/2)*DB74*DE74*VLOOKUP('Données projet'!$B$13,Paramètres!$A$1:$I$89,3,0)*0.475*44/12</f>
        <v>19.473083863231853</v>
      </c>
      <c r="DI74" s="22">
        <f t="shared" si="69"/>
        <v>71.639933220362607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2.1794871794871766</v>
      </c>
      <c r="DO74" s="12">
        <f>IF('Données projet'!$A$166&gt;35,DO73+DN74-DW73,IF(A74&lt;'Données projet'!$A$166,$DL$205^A74,IF(A74='Données projet'!$A$166,'Données projet'!$B$166,DO73+DN74-DW73)))</f>
        <v>122.05128205128196</v>
      </c>
      <c r="DP74" s="17">
        <f>DO74*VLOOKUP('Données projet'!$B$14,Paramètres!$A$1:$I$89,3,0)*VLOOKUP('Données projet'!$B$14,Paramètres!$A$1:$I$89,5,0)</f>
        <v>127.56799999999991</v>
      </c>
      <c r="DQ74" s="13">
        <f t="shared" si="97"/>
        <v>33.43377937608831</v>
      </c>
      <c r="DR74" s="20">
        <f t="shared" si="70"/>
        <v>280.41143241335362</v>
      </c>
      <c r="DS74" s="59">
        <f t="shared" si="71"/>
        <v>573.74476574668688</v>
      </c>
      <c r="DT74" s="59">
        <f ca="1">AVERAGE(OFFSET($DS$3,0,0,'Données projet'!$E$14+1,1))-AVERAGE(OFFSET($H$3,0,0,'Données projet'!$E$14+1,1))</f>
        <v>239.26156489359892</v>
      </c>
      <c r="DU74" s="59">
        <f t="shared" si="98"/>
        <v>213.97034450798111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0.8613426659085982</v>
      </c>
      <c r="EB74" s="21">
        <f>EXP(-LN(2)/25)*EB73+(1-EXP(-LN(2)/25))/(LN(2)/25)*Calculateur!DW74*Calculateur!DY74*VLOOKUP('Données projet'!$B$14,Paramètres!$A$1:$I$89,3,0)*0.475*44/12</f>
        <v>16.32669781266446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17.188040478573058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6.7437500000000021</v>
      </c>
      <c r="EJ74" s="12">
        <f>IF('Données projet'!$A$192&gt;35,EJ73+EI74-ER73,IF(A74&lt;'Données projet'!$A$192,$EG$205^A74,IF(A74='Données projet'!$A$192,'Données projet'!$B$192,EJ73+EI74-ER73)))</f>
        <v>162.0575</v>
      </c>
      <c r="EK74" s="17">
        <f>EJ74*VLOOKUP('Données projet'!$B$15,Paramètres!$A$1:$I$89,3,0)*VLOOKUP('Données projet'!$B$15,Paramètres!$A$1:$I$89,5,0)</f>
        <v>161.79820800000002</v>
      </c>
      <c r="EL74" s="13">
        <f t="shared" si="99"/>
        <v>41.247842047280763</v>
      </c>
      <c r="EM74" s="20">
        <f t="shared" si="73"/>
        <v>353.63853716568065</v>
      </c>
      <c r="EN74" s="59">
        <f t="shared" si="74"/>
        <v>646.9718704990139</v>
      </c>
      <c r="EO74" s="59">
        <f ca="1">AVERAGE(OFFSET($EN$3,0,0,'Données projet'!$E$15+1,1))-AVERAGE(OFFSET($H$3,0,0,'Données projet'!$E$15+1,1))</f>
        <v>525.74725170626471</v>
      </c>
      <c r="EP74" s="59">
        <f t="shared" si="100"/>
        <v>259.19103598192197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35.419267294980507</v>
      </c>
      <c r="EX74" s="21">
        <f>EXP(-LN(2)/2)*EX73+(1-EXP(-LN(2)/2))/(LN(2)/2)*ER74*EU74*VLOOKUP('Données projet'!$B$15,Paramètres!$A$1:$I$89,3,0)*0.475*44/12</f>
        <v>4.2805669364952212</v>
      </c>
      <c r="EY74" s="22">
        <f t="shared" si="75"/>
        <v>39.699834231475727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6.7437500000000021</v>
      </c>
      <c r="N75" s="13">
        <f>IF('Données projet'!$A$36&gt;35,N74+M75-V74,IF(A75&lt;'Données projet'!$A$36,$K$205^A75,IF(A75='Données projet'!$A$36,'Données projet'!$B$36,N74+M75-V74)))</f>
        <v>168.80125000000001</v>
      </c>
      <c r="O75" s="13">
        <f>N75*VLOOKUP('Données projet'!$B$9,Paramètres!$A$1:$I$89,3,0)*VLOOKUP('Données projet'!$B$9,Paramètres!$A$1:$I$89,5,0)</f>
        <v>171.16446750000003</v>
      </c>
      <c r="P75" s="13">
        <f t="shared" si="87"/>
        <v>43.350721861592397</v>
      </c>
      <c r="Q75" s="20">
        <f t="shared" si="54"/>
        <v>373.61395480477341</v>
      </c>
      <c r="R75" s="59">
        <f t="shared" si="55"/>
        <v>666.94728813810673</v>
      </c>
      <c r="S75" s="59">
        <f ca="1">AVERAGE(OFFSET($R$3,0,0,'Données projet'!$E$9+1,1))-AVERAGE(OFFSET($H$3,0,0,'Données projet'!$E$9+1,1))</f>
        <v>533.26035274112917</v>
      </c>
      <c r="T75" s="59">
        <f t="shared" si="88"/>
        <v>262.58149402282521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34.989018155183771</v>
      </c>
      <c r="AB75" s="21">
        <f>EXP(-LN(2)/2)*AB74+(1-EXP(-LN(2)/2))/(LN(2)/2)*V75*Y75*VLOOKUP('Données projet'!$B$9,Paramètres!$A$1:$I$89,3,0)*0.475*44/12</f>
        <v>3.0741119379330515</v>
      </c>
      <c r="AC75" s="22">
        <f t="shared" si="57"/>
        <v>38.063130093116825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8.2474999999999987</v>
      </c>
      <c r="AI75" s="13">
        <f>IF('Données projet'!$A$62&gt;35,AI74+AH75-AQ74,IF(A75&lt;'Données projet'!$A$62,$AF$205^A75,IF(A75='Données projet'!$A$62,'Données projet'!$B$62,AI74+AH75-AQ74)))</f>
        <v>230.14750000000026</v>
      </c>
      <c r="AJ75" s="13">
        <f>AI75*VLOOKUP('Données projet'!$B$10,Paramètres!$A$1:$I$89,3,0)*VLOOKUP('Données projet'!$B$10,Paramètres!$A$1:$I$89,5,0)</f>
        <v>208.2374580000002</v>
      </c>
      <c r="AK75" s="13">
        <f t="shared" si="89"/>
        <v>51.550237194862532</v>
      </c>
      <c r="AL75" s="20">
        <f t="shared" si="58"/>
        <v>452.46356913105257</v>
      </c>
      <c r="AM75" s="59">
        <f t="shared" si="59"/>
        <v>745.79690246438588</v>
      </c>
      <c r="AN75" s="59">
        <f ca="1">AVERAGE(OFFSET($AM$3,0,0,'Données projet'!$E$10+1,1))-AVERAGE(OFFSET($H$3,0,0,'Données projet'!$E$10+1,1))</f>
        <v>482.62991869403385</v>
      </c>
      <c r="AO75" s="59">
        <f t="shared" si="90"/>
        <v>310.43914804089906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12.160549163805381</v>
      </c>
      <c r="AV75" s="21">
        <f>EXP(-LN(2)/25)*AV74+(1-EXP(-LN(2)/25))/(LN(2)/25)*Calculateur!AQ75*Calculateur!AS75*VLOOKUP('Données projet'!$B$10,Paramètres!$A$1:$I$89,3,0)*0.475*44/12</f>
        <v>27.875366532451995</v>
      </c>
      <c r="AW75" s="21">
        <f>EXP(-LN(2)/2)*AW74+(1-EXP(-LN(2)/2))/(LN(2)/2)*AQ75*AT75*VLOOKUP('Données projet'!$B$10,Paramètres!$A$1:$I$89,3,0)*0.475*44/12</f>
        <v>0.72289468600145812</v>
      </c>
      <c r="AX75" s="21">
        <f t="shared" si="60"/>
        <v>40.758810382258837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4.2</v>
      </c>
      <c r="BD75" s="12">
        <f>IF('Données projet'!$A$88&gt;35,BD74+BC75-BL74,IF(A75&lt;'Données projet'!$A$88,$BA$205^A75,IF(A75='Données projet'!$A$88,'Données projet'!$B$88,BD74+BC75-BL74)))</f>
        <v>311.39999999999992</v>
      </c>
      <c r="BE75" s="13">
        <f>BD75*VLOOKUP('Données projet'!$B$11,Paramètres!$A$1:$I$89,3,0)*VLOOKUP('Données projet'!$B$11,Paramètres!$A$1:$I$89,5,0)</f>
        <v>272.03904</v>
      </c>
      <c r="BF75" s="13">
        <f t="shared" si="91"/>
        <v>65.281815371368268</v>
      </c>
      <c r="BG75" s="20">
        <f t="shared" si="61"/>
        <v>587.50048977179972</v>
      </c>
      <c r="BH75" s="59">
        <f t="shared" si="62"/>
        <v>880.83382310513298</v>
      </c>
      <c r="BI75" s="59">
        <f ca="1">AVERAGE(OFFSET($BH$3,0,0,'Données projet'!$E$11+1,1))-AVERAGE(OFFSET($H$3,0,0,'Données projet'!$E$11+1,1))</f>
        <v>384.34044781465661</v>
      </c>
      <c r="BJ75" s="59">
        <f t="shared" si="92"/>
        <v>374.99493809709708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15.771525903503957</v>
      </c>
      <c r="BQ75" s="21">
        <f>EXP(-LN(2)/25)*BQ74+(1-EXP(-LN(2)/25))/(LN(2)/25)*Calculateur!BL75*Calculateur!BN75*VLOOKUP('Données projet'!$B$11,Paramètres!$A$1:$I$89,3,0)*0.475*44/12</f>
        <v>16.182517201847997</v>
      </c>
      <c r="BR75" s="21">
        <f>EXP(-LN(2)/2)*BR74+(1-EXP(-LN(2)/2))/(LN(2)/2)*BL75*BO75*VLOOKUP('Données projet'!$B$11,Paramètres!$A$1:$I$89,3,0)*0.475*44/12</f>
        <v>1.6328671996993427</v>
      </c>
      <c r="BS75" s="22">
        <f t="shared" si="63"/>
        <v>33.586910305051298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8.2474999999999987</v>
      </c>
      <c r="BY75" s="12">
        <f>IF('Données projet'!$A$114&gt;35,BY74+BX75-CG74,IF(A75&lt;'Données projet'!$A$114,$BV$205^A75,IF(A75='Données projet'!$A$114,'Données projet'!$B$114,BY74+BX75-CG74)))</f>
        <v>230.14750000000026</v>
      </c>
      <c r="BZ75" s="13">
        <f>BY75*VLOOKUP('Données projet'!$B$12,Paramètres!$A$1:$I$89,3,0)*VLOOKUP('Données projet'!$B$12,Paramètres!$A$1:$I$89,5,0)</f>
        <v>219.00836100000026</v>
      </c>
      <c r="CA75" s="13">
        <f t="shared" si="93"/>
        <v>53.89930124818477</v>
      </c>
      <c r="CB75" s="20">
        <f t="shared" si="64"/>
        <v>475.31417841558891</v>
      </c>
      <c r="CC75" s="59">
        <f t="shared" si="65"/>
        <v>768.64751174892217</v>
      </c>
      <c r="CD75" s="59">
        <f ca="1">AVERAGE(OFFSET($CC$3,0,0,'Données projet'!$E$12+1,1))-AVERAGE(OFFSET($H$3,0,0,'Données projet'!$E$12+1,1))</f>
        <v>513.14430745499283</v>
      </c>
      <c r="CE75" s="59">
        <f t="shared" si="94"/>
        <v>324.2490378019823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12.789543086071179</v>
      </c>
      <c r="CL75" s="21">
        <f>EXP(-LN(2)/25)*CL74+(1-EXP(-LN(2)/25))/(LN(2)/25)*Calculateur!CG75*Calculateur!CI75*VLOOKUP('Données projet'!$B$12,Paramètres!$A$1:$I$89,3,0)*0.475*44/12</f>
        <v>29.31719583585469</v>
      </c>
      <c r="CM75" s="21">
        <f>EXP(-LN(2)/2)*CM74+(1-EXP(-LN(2)/2))/(LN(2)/2)*CG75*CJ75*VLOOKUP('Données projet'!$B$12,Paramètres!$A$1:$I$89,3,0)*0.475*44/12</f>
        <v>0.76028579044980915</v>
      </c>
      <c r="CN75" s="22">
        <f t="shared" si="66"/>
        <v>42.867024712375674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-1.1368683772161603E-13</v>
      </c>
      <c r="CU75" s="17">
        <f>CT75*VLOOKUP('Données projet'!$B$13,Paramètres!$A$1:$I$89,3,0)*VLOOKUP('Données projet'!$B$13,Paramètres!$A$1:$I$89,5,0)</f>
        <v>-8.8675733422860506E-14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197.51452239559433</v>
      </c>
      <c r="CZ75" s="59">
        <f t="shared" si="96"/>
        <v>196.65166921588821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25.973288841800034</v>
      </c>
      <c r="DG75" s="21">
        <f>EXP(-LN(2)/25)*DG74+(1-EXP(-LN(2)/25))/(LN(2)/25)*Calculateur!DB75*Calculateur!DD75*VLOOKUP('Données projet'!$B$13,Paramètres!$A$1:$I$89,3,0)*0.475*44/12</f>
        <v>24.971994608843779</v>
      </c>
      <c r="DH75" s="21">
        <f>EXP(-LN(2)/2)*DH74+(1-EXP(-LN(2)/2))/(LN(2)/2)*DB75*DE75*VLOOKUP('Données projet'!$B$13,Paramètres!$A$1:$I$89,3,0)*0.475*44/12</f>
        <v>13.769549650305576</v>
      </c>
      <c r="DI75" s="22">
        <f t="shared" si="69"/>
        <v>64.714833100949392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2.1794871794871766</v>
      </c>
      <c r="DO75" s="12">
        <f>IF('Données projet'!$A$166&gt;35,DO74+DN75-DW74,IF(A75&lt;'Données projet'!$A$166,$DL$205^A75,IF(A75='Données projet'!$A$166,'Données projet'!$B$166,DO74+DN75-DW74)))</f>
        <v>124.23076923076914</v>
      </c>
      <c r="DP75" s="17">
        <f>DO75*VLOOKUP('Données projet'!$B$14,Paramètres!$A$1:$I$89,3,0)*VLOOKUP('Données projet'!$B$14,Paramètres!$A$1:$I$89,5,0)</f>
        <v>129.84599999999992</v>
      </c>
      <c r="DQ75" s="13">
        <f t="shared" si="97"/>
        <v>33.960771999433035</v>
      </c>
      <c r="DR75" s="20">
        <f t="shared" si="70"/>
        <v>285.29679456567902</v>
      </c>
      <c r="DS75" s="59">
        <f t="shared" si="71"/>
        <v>578.63012789901234</v>
      </c>
      <c r="DT75" s="59">
        <f ca="1">AVERAGE(OFFSET($DS$3,0,0,'Données projet'!$E$14+1,1))-AVERAGE(OFFSET($H$3,0,0,'Données projet'!$E$14+1,1))</f>
        <v>239.26156489359892</v>
      </c>
      <c r="DU75" s="59">
        <f t="shared" si="98"/>
        <v>213.97034450798111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0.84445226159728115</v>
      </c>
      <c r="EB75" s="21">
        <f>EXP(-LN(2)/25)*EB74+(1-EXP(-LN(2)/25))/(LN(2)/25)*Calculateur!DW75*Calculateur!DY75*VLOOKUP('Données projet'!$B$14,Paramètres!$A$1:$I$89,3,0)*0.475*44/12</f>
        <v>15.880243402393427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16.724695663990708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6.7437500000000021</v>
      </c>
      <c r="EJ75" s="12">
        <f>IF('Données projet'!$A$192&gt;35,EJ74+EI75-ER74,IF(A75&lt;'Données projet'!$A$192,$EG$205^A75,IF(A75='Données projet'!$A$192,'Données projet'!$B$192,EJ74+EI75-ER74)))</f>
        <v>168.80125000000001</v>
      </c>
      <c r="EK75" s="17">
        <f>EJ75*VLOOKUP('Données projet'!$B$15,Paramètres!$A$1:$I$89,3,0)*VLOOKUP('Données projet'!$B$15,Paramètres!$A$1:$I$89,5,0)</f>
        <v>168.53116800000001</v>
      </c>
      <c r="EL75" s="13">
        <f t="shared" si="99"/>
        <v>42.76088811935999</v>
      </c>
      <c r="EM75" s="20">
        <f t="shared" si="73"/>
        <v>368.00033107455192</v>
      </c>
      <c r="EN75" s="59">
        <f t="shared" si="74"/>
        <v>661.33366440788518</v>
      </c>
      <c r="EO75" s="59">
        <f ca="1">AVERAGE(OFFSET($EN$3,0,0,'Données projet'!$E$15+1,1))-AVERAGE(OFFSET($H$3,0,0,'Données projet'!$E$15+1,1))</f>
        <v>525.74725170626471</v>
      </c>
      <c r="EP75" s="59">
        <f t="shared" si="100"/>
        <v>259.19103598192197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34.45072556818095</v>
      </c>
      <c r="EX75" s="21">
        <f>EXP(-LN(2)/2)*EX74+(1-EXP(-LN(2)/2))/(LN(2)/2)*ER75*EU75*VLOOKUP('Données projet'!$B$15,Paramètres!$A$1:$I$89,3,0)*0.475*44/12</f>
        <v>3.0268179081186966</v>
      </c>
      <c r="EY75" s="22">
        <f t="shared" si="75"/>
        <v>37.477543476299644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6.7437500000000021</v>
      </c>
      <c r="N76" s="13">
        <f>IF('Données projet'!$A$36&gt;35,N75+M76-V75,IF(A76&lt;'Données projet'!$A$36,$K$205^A76,IF(A76='Données projet'!$A$36,'Données projet'!$B$36,N75+M76-V75)))</f>
        <v>175.54500000000002</v>
      </c>
      <c r="O76" s="13">
        <f>N76*VLOOKUP('Données projet'!$B$9,Paramètres!$A$1:$I$89,3,0)*VLOOKUP('Données projet'!$B$9,Paramètres!$A$1:$I$89,5,0)</f>
        <v>178.00263000000001</v>
      </c>
      <c r="P76" s="13">
        <f t="shared" si="87"/>
        <v>44.877519962268245</v>
      </c>
      <c r="Q76" s="20">
        <f t="shared" si="54"/>
        <v>388.18292785095059</v>
      </c>
      <c r="R76" s="59">
        <f t="shared" si="55"/>
        <v>681.51626118428385</v>
      </c>
      <c r="S76" s="59">
        <f ca="1">AVERAGE(OFFSET($R$3,0,0,'Données projet'!$E$9+1,1))-AVERAGE(OFFSET($H$3,0,0,'Données projet'!$E$9+1,1))</f>
        <v>533.26035274112917</v>
      </c>
      <c r="T76" s="59">
        <f t="shared" si="88"/>
        <v>262.58149402282521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34.032241613737774</v>
      </c>
      <c r="AB76" s="21">
        <f>EXP(-LN(2)/2)*AB75+(1-EXP(-LN(2)/2))/(LN(2)/2)*V76*Y76*VLOOKUP('Données projet'!$B$9,Paramètres!$A$1:$I$89,3,0)*0.475*44/12</f>
        <v>2.1737253974389801</v>
      </c>
      <c r="AC76" s="22">
        <f t="shared" si="57"/>
        <v>36.205967011176753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8.2474999999999987</v>
      </c>
      <c r="AI76" s="13">
        <f>IF('Données projet'!$A$62&gt;35,AI75+AH76-AQ75,IF(A76&lt;'Données projet'!$A$62,$AF$205^A76,IF(A76='Données projet'!$A$62,'Données projet'!$B$62,AI75+AH76-AQ75)))</f>
        <v>238.39500000000027</v>
      </c>
      <c r="AJ76" s="13">
        <f>AI76*VLOOKUP('Données projet'!$B$10,Paramètres!$A$1:$I$89,3,0)*VLOOKUP('Données projet'!$B$10,Paramètres!$A$1:$I$89,5,0)</f>
        <v>215.69979600000025</v>
      </c>
      <c r="AK76" s="13">
        <f t="shared" si="89"/>
        <v>53.179186580516586</v>
      </c>
      <c r="AL76" s="20">
        <f t="shared" si="58"/>
        <v>468.29756132773349</v>
      </c>
      <c r="AM76" s="59">
        <f t="shared" si="59"/>
        <v>761.6308946610668</v>
      </c>
      <c r="AN76" s="59">
        <f ca="1">AVERAGE(OFFSET($AM$3,0,0,'Données projet'!$E$10+1,1))-AVERAGE(OFFSET($H$3,0,0,'Données projet'!$E$10+1,1))</f>
        <v>482.62991869403385</v>
      </c>
      <c r="AO76" s="59">
        <f t="shared" si="90"/>
        <v>310.43914804089906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11.922088211905759</v>
      </c>
      <c r="AV76" s="21">
        <f>EXP(-LN(2)/25)*AV75+(1-EXP(-LN(2)/25))/(LN(2)/25)*Calculateur!AQ76*Calculateur!AS76*VLOOKUP('Données projet'!$B$10,Paramètres!$A$1:$I$89,3,0)*0.475*44/12</f>
        <v>27.113113168720279</v>
      </c>
      <c r="AW76" s="21">
        <f>EXP(-LN(2)/2)*AW75+(1-EXP(-LN(2)/2))/(LN(2)/2)*AQ76*AT76*VLOOKUP('Données projet'!$B$10,Paramètres!$A$1:$I$89,3,0)*0.475*44/12</f>
        <v>0.51116373455535102</v>
      </c>
      <c r="AX76" s="21">
        <f t="shared" si="60"/>
        <v>39.546365115181388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4.2</v>
      </c>
      <c r="BD76" s="12">
        <f>IF('Données projet'!$A$88&gt;35,BD75+BC76-BL75,IF(A76&lt;'Données projet'!$A$88,$BA$205^A76,IF(A76='Données projet'!$A$88,'Données projet'!$B$88,BD75+BC76-BL75)))</f>
        <v>315.59999999999991</v>
      </c>
      <c r="BE76" s="13">
        <f>BD76*VLOOKUP('Données projet'!$B$11,Paramètres!$A$1:$I$89,3,0)*VLOOKUP('Données projet'!$B$11,Paramètres!$A$1:$I$89,5,0)</f>
        <v>275.70815999999996</v>
      </c>
      <c r="BF76" s="13">
        <f t="shared" si="91"/>
        <v>66.05920594467139</v>
      </c>
      <c r="BG76" s="20">
        <f t="shared" si="61"/>
        <v>595.24482902030275</v>
      </c>
      <c r="BH76" s="59">
        <f t="shared" si="62"/>
        <v>888.57816235363612</v>
      </c>
      <c r="BI76" s="59">
        <f ca="1">AVERAGE(OFFSET($BH$3,0,0,'Données projet'!$E$11+1,1))-AVERAGE(OFFSET($H$3,0,0,'Données projet'!$E$11+1,1))</f>
        <v>384.34044781465661</v>
      </c>
      <c r="BJ76" s="59">
        <f t="shared" si="92"/>
        <v>374.99493809709708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15.46225590021718</v>
      </c>
      <c r="BQ76" s="21">
        <f>EXP(-LN(2)/25)*BQ75+(1-EXP(-LN(2)/25))/(LN(2)/25)*Calculateur!BL76*Calculateur!BN76*VLOOKUP('Données projet'!$B$11,Paramètres!$A$1:$I$89,3,0)*0.475*44/12</f>
        <v>15.74000541796187</v>
      </c>
      <c r="BR76" s="21">
        <f>EXP(-LN(2)/2)*BR75+(1-EXP(-LN(2)/2))/(LN(2)/2)*BL76*BO76*VLOOKUP('Données projet'!$B$11,Paramètres!$A$1:$I$89,3,0)*0.475*44/12</f>
        <v>1.1546114696844938</v>
      </c>
      <c r="BS76" s="22">
        <f t="shared" si="63"/>
        <v>32.356872787863544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8.2474999999999987</v>
      </c>
      <c r="BY76" s="12">
        <f>IF('Données projet'!$A$114&gt;35,BY75+BX76-CG75,IF(A76&lt;'Données projet'!$A$114,$BV$205^A76,IF(A76='Données projet'!$A$114,'Données projet'!$B$114,BY75+BX76-CG75)))</f>
        <v>238.39500000000027</v>
      </c>
      <c r="BZ76" s="13">
        <f>BY76*VLOOKUP('Données projet'!$B$12,Paramètres!$A$1:$I$89,3,0)*VLOOKUP('Données projet'!$B$12,Paramètres!$A$1:$I$89,5,0)</f>
        <v>226.85668200000023</v>
      </c>
      <c r="CA76" s="13">
        <f t="shared" si="93"/>
        <v>55.602479321323941</v>
      </c>
      <c r="CB76" s="20">
        <f t="shared" si="64"/>
        <v>491.94970596797293</v>
      </c>
      <c r="CC76" s="59">
        <f t="shared" si="65"/>
        <v>785.28303930130619</v>
      </c>
      <c r="CD76" s="59">
        <f ca="1">AVERAGE(OFFSET($CC$3,0,0,'Données projet'!$E$12+1,1))-AVERAGE(OFFSET($H$3,0,0,'Données projet'!$E$12+1,1))</f>
        <v>513.14430745499283</v>
      </c>
      <c r="CE76" s="59">
        <f t="shared" si="94"/>
        <v>324.2490378019823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12.538747947004335</v>
      </c>
      <c r="CL76" s="21">
        <f>EXP(-LN(2)/25)*CL75+(1-EXP(-LN(2)/25))/(LN(2)/25)*Calculateur!CG76*Calculateur!CI76*VLOOKUP('Données projet'!$B$12,Paramètres!$A$1:$I$89,3,0)*0.475*44/12</f>
        <v>28.515515573998918</v>
      </c>
      <c r="CM76" s="21">
        <f>EXP(-LN(2)/2)*CM75+(1-EXP(-LN(2)/2))/(LN(2)/2)*CG76*CJ76*VLOOKUP('Données projet'!$B$12,Paramètres!$A$1:$I$89,3,0)*0.475*44/12</f>
        <v>0.53760323806683452</v>
      </c>
      <c r="CN76" s="22">
        <f t="shared" si="66"/>
        <v>41.591866759070086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-1.1368683772161603E-13</v>
      </c>
      <c r="CU76" s="17">
        <f>CT76*VLOOKUP('Données projet'!$B$13,Paramètres!$A$1:$I$89,3,0)*VLOOKUP('Données projet'!$B$13,Paramètres!$A$1:$I$89,5,0)</f>
        <v>-8.8675733422860506E-14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197.51452239559433</v>
      </c>
      <c r="CZ76" s="59">
        <f t="shared" si="96"/>
        <v>196.65166921588821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25.463968489754247</v>
      </c>
      <c r="DG76" s="21">
        <f>EXP(-LN(2)/25)*DG75+(1-EXP(-LN(2)/25))/(LN(2)/25)*Calculateur!DB76*Calculateur!DD76*VLOOKUP('Données projet'!$B$13,Paramètres!$A$1:$I$89,3,0)*0.475*44/12</f>
        <v>24.289134103044823</v>
      </c>
      <c r="DH76" s="21">
        <f>EXP(-LN(2)/2)*DH75+(1-EXP(-LN(2)/2))/(LN(2)/2)*DB76*DE76*VLOOKUP('Données projet'!$B$13,Paramètres!$A$1:$I$89,3,0)*0.475*44/12</f>
        <v>9.7365419316159283</v>
      </c>
      <c r="DI76" s="22">
        <f t="shared" si="69"/>
        <v>59.489644524414999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2.1794871794871766</v>
      </c>
      <c r="DO76" s="12">
        <f>IF('Données projet'!$A$166&gt;35,DO75+DN76-DW75,IF(A76&lt;'Données projet'!$A$166,$DL$205^A76,IF(A76='Données projet'!$A$166,'Données projet'!$B$166,DO75+DN76-DW75)))</f>
        <v>126.41025641025632</v>
      </c>
      <c r="DP76" s="17">
        <f>DO76*VLOOKUP('Données projet'!$B$14,Paramètres!$A$1:$I$89,3,0)*VLOOKUP('Données projet'!$B$14,Paramètres!$A$1:$I$89,5,0)</f>
        <v>132.12399999999994</v>
      </c>
      <c r="DQ76" s="13">
        <f t="shared" si="97"/>
        <v>34.486689488144428</v>
      </c>
      <c r="DR76" s="20">
        <f t="shared" si="70"/>
        <v>290.18028419185146</v>
      </c>
      <c r="DS76" s="59">
        <f t="shared" si="71"/>
        <v>583.51361752518483</v>
      </c>
      <c r="DT76" s="59">
        <f ca="1">AVERAGE(OFFSET($DS$3,0,0,'Données projet'!$E$14+1,1))-AVERAGE(OFFSET($H$3,0,0,'Données projet'!$E$14+1,1))</f>
        <v>239.26156489359892</v>
      </c>
      <c r="DU76" s="59">
        <f t="shared" si="98"/>
        <v>213.97034450798111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0.82789306781237959</v>
      </c>
      <c r="EB76" s="21">
        <f>EXP(-LN(2)/25)*EB75+(1-EXP(-LN(2)/25))/(LN(2)/25)*Calculateur!DW76*Calculateur!DY76*VLOOKUP('Données projet'!$B$14,Paramètres!$A$1:$I$89,3,0)*0.475*44/12</f>
        <v>15.445997311449274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16.273890379261655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6.7437500000000021</v>
      </c>
      <c r="EJ76" s="12">
        <f>IF('Données projet'!$A$192&gt;35,EJ75+EI76-ER75,IF(A76&lt;'Données projet'!$A$192,$EG$205^A76,IF(A76='Données projet'!$A$192,'Données projet'!$B$192,EJ75+EI76-ER75)))</f>
        <v>175.54500000000002</v>
      </c>
      <c r="EK76" s="17">
        <f>EJ76*VLOOKUP('Données projet'!$B$15,Paramètres!$A$1:$I$89,3,0)*VLOOKUP('Données projet'!$B$15,Paramètres!$A$1:$I$89,5,0)</f>
        <v>175.26412800000003</v>
      </c>
      <c r="EL76" s="13">
        <f t="shared" si="99"/>
        <v>44.266912470518392</v>
      </c>
      <c r="EM76" s="20">
        <f t="shared" si="73"/>
        <v>382.34989548615289</v>
      </c>
      <c r="EN76" s="59">
        <f t="shared" si="74"/>
        <v>675.6832288194862</v>
      </c>
      <c r="EO76" s="59">
        <f ca="1">AVERAGE(OFFSET($EN$3,0,0,'Données projet'!$E$15+1,1))-AVERAGE(OFFSET($H$3,0,0,'Données projet'!$E$15+1,1))</f>
        <v>525.74725170626471</v>
      </c>
      <c r="EP76" s="59">
        <f t="shared" si="100"/>
        <v>259.19103598192197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33.508668665834122</v>
      </c>
      <c r="EX76" s="21">
        <f>EXP(-LN(2)/2)*EX75+(1-EXP(-LN(2)/2))/(LN(2)/2)*ER76*EU76*VLOOKUP('Données projet'!$B$15,Paramètres!$A$1:$I$89,3,0)*0.475*44/12</f>
        <v>2.1402834682476106</v>
      </c>
      <c r="EY76" s="22">
        <f t="shared" si="75"/>
        <v>35.648952134081732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6.7437500000000021</v>
      </c>
      <c r="N77" s="13">
        <f>IF('Données projet'!$A$36&gt;35,N76+M77-V76,IF(A77&lt;'Données projet'!$A$36,$K$205^A77,IF(A77='Données projet'!$A$36,'Données projet'!$B$36,N76+M77-V76)))</f>
        <v>182.28875000000002</v>
      </c>
      <c r="O77" s="13">
        <f>N77*VLOOKUP('Données projet'!$B$9,Paramètres!$A$1:$I$89,3,0)*VLOOKUP('Données projet'!$B$9,Paramètres!$A$1:$I$89,5,0)</f>
        <v>184.84079250000005</v>
      </c>
      <c r="P77" s="13">
        <f t="shared" si="87"/>
        <v>46.397504256544451</v>
      </c>
      <c r="Q77" s="20">
        <f t="shared" si="54"/>
        <v>402.74003351764833</v>
      </c>
      <c r="R77" s="59">
        <f t="shared" si="55"/>
        <v>696.07336685098164</v>
      </c>
      <c r="S77" s="59">
        <f ca="1">AVERAGE(OFFSET($R$3,0,0,'Données projet'!$E$9+1,1))-AVERAGE(OFFSET($H$3,0,0,'Données projet'!$E$9+1,1))</f>
        <v>533.26035274112917</v>
      </c>
      <c r="T77" s="59">
        <f t="shared" si="88"/>
        <v>262.58149402282521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33.101628177132312</v>
      </c>
      <c r="AB77" s="21">
        <f>EXP(-LN(2)/2)*AB76+(1-EXP(-LN(2)/2))/(LN(2)/2)*V77*Y77*VLOOKUP('Données projet'!$B$9,Paramètres!$A$1:$I$89,3,0)*0.475*44/12</f>
        <v>1.537055968966526</v>
      </c>
      <c r="AC77" s="22">
        <f t="shared" si="57"/>
        <v>34.638684146098839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8.2474999999999987</v>
      </c>
      <c r="AI77" s="13">
        <f>IF('Données projet'!$A$62&gt;35,AI76+AH77-AQ76,IF(A77&lt;'Données projet'!$A$62,$AF$205^A77,IF(A77='Données projet'!$A$62,'Données projet'!$B$62,AI76+AH77-AQ76)))</f>
        <v>246.64250000000027</v>
      </c>
      <c r="AJ77" s="13">
        <f>AI77*VLOOKUP('Données projet'!$B$10,Paramètres!$A$1:$I$89,3,0)*VLOOKUP('Données projet'!$B$10,Paramètres!$A$1:$I$89,5,0)</f>
        <v>223.16213400000024</v>
      </c>
      <c r="AK77" s="13">
        <f t="shared" si="89"/>
        <v>54.801588049746073</v>
      </c>
      <c r="AL77" s="20">
        <f t="shared" si="58"/>
        <v>484.12014923664145</v>
      </c>
      <c r="AM77" s="59">
        <f t="shared" si="59"/>
        <v>777.45348256997477</v>
      </c>
      <c r="AN77" s="59">
        <f ca="1">AVERAGE(OFFSET($AM$3,0,0,'Données projet'!$E$10+1,1))-AVERAGE(OFFSET($H$3,0,0,'Données projet'!$E$10+1,1))</f>
        <v>482.62991869403385</v>
      </c>
      <c r="AO77" s="59">
        <f t="shared" si="90"/>
        <v>310.43914804089906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11.68830333382607</v>
      </c>
      <c r="AV77" s="21">
        <f>EXP(-LN(2)/25)*AV76+(1-EXP(-LN(2)/25))/(LN(2)/25)*Calculateur!AQ77*Calculateur!AS77*VLOOKUP('Données projet'!$B$10,Paramètres!$A$1:$I$89,3,0)*0.475*44/12</f>
        <v>26.37170366330497</v>
      </c>
      <c r="AW77" s="21">
        <f>EXP(-LN(2)/2)*AW76+(1-EXP(-LN(2)/2))/(LN(2)/2)*AQ77*AT77*VLOOKUP('Données projet'!$B$10,Paramètres!$A$1:$I$89,3,0)*0.475*44/12</f>
        <v>0.36144734300072906</v>
      </c>
      <c r="AX77" s="21">
        <f t="shared" si="60"/>
        <v>38.421454340131767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4.2</v>
      </c>
      <c r="BD77" s="12">
        <f>IF('Données projet'!$A$88&gt;35,BD76+BC77-BL76,IF(A77&lt;'Données projet'!$A$88,$BA$205^A77,IF(A77='Données projet'!$A$88,'Données projet'!$B$88,BD76+BC77-BL76)))</f>
        <v>319.7999999999999</v>
      </c>
      <c r="BE77" s="13">
        <f>BD77*VLOOKUP('Données projet'!$B$11,Paramètres!$A$1:$I$89,3,0)*VLOOKUP('Données projet'!$B$11,Paramètres!$A$1:$I$89,5,0)</f>
        <v>279.37727999999993</v>
      </c>
      <c r="BF77" s="13">
        <f t="shared" si="91"/>
        <v>66.835393196206056</v>
      </c>
      <c r="BG77" s="20">
        <f t="shared" si="61"/>
        <v>602.98707248339201</v>
      </c>
      <c r="BH77" s="59">
        <f t="shared" si="62"/>
        <v>896.32040581672527</v>
      </c>
      <c r="BI77" s="59">
        <f ca="1">AVERAGE(OFFSET($BH$3,0,0,'Données projet'!$E$11+1,1))-AVERAGE(OFFSET($H$3,0,0,'Données projet'!$E$11+1,1))</f>
        <v>384.34044781465661</v>
      </c>
      <c r="BJ77" s="59">
        <f t="shared" si="92"/>
        <v>374.99493809709708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15.159050493058782</v>
      </c>
      <c r="BQ77" s="21">
        <f>EXP(-LN(2)/25)*BQ76+(1-EXP(-LN(2)/25))/(LN(2)/25)*Calculateur!BL77*Calculateur!BN77*VLOOKUP('Données projet'!$B$11,Paramètres!$A$1:$I$89,3,0)*0.475*44/12</f>
        <v>15.309594142076792</v>
      </c>
      <c r="BR77" s="21">
        <f>EXP(-LN(2)/2)*BR76+(1-EXP(-LN(2)/2))/(LN(2)/2)*BL77*BO77*VLOOKUP('Données projet'!$B$11,Paramètres!$A$1:$I$89,3,0)*0.475*44/12</f>
        <v>0.81643359984967145</v>
      </c>
      <c r="BS77" s="22">
        <f t="shared" si="63"/>
        <v>31.285078234985246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8.2474999999999987</v>
      </c>
      <c r="BY77" s="12">
        <f>IF('Données projet'!$A$114&gt;35,BY76+BX77-CG76,IF(A77&lt;'Données projet'!$A$114,$BV$205^A77,IF(A77='Données projet'!$A$114,'Données projet'!$B$114,BY76+BX77-CG76)))</f>
        <v>246.64250000000027</v>
      </c>
      <c r="BZ77" s="13">
        <f>BY77*VLOOKUP('Données projet'!$B$12,Paramètres!$A$1:$I$89,3,0)*VLOOKUP('Données projet'!$B$12,Paramètres!$A$1:$I$89,5,0)</f>
        <v>234.70500300000026</v>
      </c>
      <c r="CA77" s="13">
        <f t="shared" si="93"/>
        <v>57.298811099681167</v>
      </c>
      <c r="CB77" s="20">
        <f t="shared" si="64"/>
        <v>508.57330955694516</v>
      </c>
      <c r="CC77" s="59">
        <f t="shared" si="65"/>
        <v>801.90664289027848</v>
      </c>
      <c r="CD77" s="59">
        <f ca="1">AVERAGE(OFFSET($CC$3,0,0,'Données projet'!$E$12+1,1))-AVERAGE(OFFSET($H$3,0,0,'Données projet'!$E$12+1,1))</f>
        <v>513.14430745499283</v>
      </c>
      <c r="CE77" s="59">
        <f t="shared" si="94"/>
        <v>324.2490378019823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12.292870747644663</v>
      </c>
      <c r="CL77" s="21">
        <f>EXP(-LN(2)/25)*CL76+(1-EXP(-LN(2)/25))/(LN(2)/25)*Calculateur!CG77*Calculateur!CI77*VLOOKUP('Données projet'!$B$12,Paramètres!$A$1:$I$89,3,0)*0.475*44/12</f>
        <v>27.735757301062126</v>
      </c>
      <c r="CM77" s="21">
        <f>EXP(-LN(2)/2)*CM76+(1-EXP(-LN(2)/2))/(LN(2)/2)*CG77*CJ77*VLOOKUP('Données projet'!$B$12,Paramètres!$A$1:$I$89,3,0)*0.475*44/12</f>
        <v>0.38014289522490458</v>
      </c>
      <c r="CN77" s="22">
        <f t="shared" si="66"/>
        <v>40.4087709439317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-1.1368683772161603E-13</v>
      </c>
      <c r="CU77" s="17">
        <f>CT77*VLOOKUP('Données projet'!$B$13,Paramètres!$A$1:$I$89,3,0)*VLOOKUP('Données projet'!$B$13,Paramètres!$A$1:$I$89,5,0)</f>
        <v>-8.8675733422860506E-14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197.51452239559433</v>
      </c>
      <c r="CZ77" s="59">
        <f t="shared" si="96"/>
        <v>196.65166921588821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24.964635599157337</v>
      </c>
      <c r="DG77" s="21">
        <f>EXP(-LN(2)/25)*DG76+(1-EXP(-LN(2)/25))/(LN(2)/25)*Calculateur!DB77*Calculateur!DD77*VLOOKUP('Données projet'!$B$13,Paramètres!$A$1:$I$89,3,0)*0.475*44/12</f>
        <v>23.624946453687013</v>
      </c>
      <c r="DH77" s="21">
        <f>EXP(-LN(2)/2)*DH76+(1-EXP(-LN(2)/2))/(LN(2)/2)*DB77*DE77*VLOOKUP('Données projet'!$B$13,Paramètres!$A$1:$I$89,3,0)*0.475*44/12</f>
        <v>6.8847748251527898</v>
      </c>
      <c r="DI77" s="22">
        <f t="shared" si="69"/>
        <v>55.474356877997138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2.1794871794871766</v>
      </c>
      <c r="DO77" s="12">
        <f>IF('Données projet'!$A$166&gt;35,DO76+DN77-DW76,IF(A77&lt;'Données projet'!$A$166,$DL$205^A77,IF(A77='Données projet'!$A$166,'Données projet'!$B$166,DO76+DN77-DW76)))</f>
        <v>128.58974358974351</v>
      </c>
      <c r="DP77" s="17">
        <f>DO77*VLOOKUP('Données projet'!$B$14,Paramètres!$A$1:$I$89,3,0)*VLOOKUP('Données projet'!$B$14,Paramètres!$A$1:$I$89,5,0)</f>
        <v>134.40199999999993</v>
      </c>
      <c r="DQ77" s="13">
        <f t="shared" si="97"/>
        <v>35.011552518023244</v>
      </c>
      <c r="DR77" s="20">
        <f t="shared" si="70"/>
        <v>295.06193730222367</v>
      </c>
      <c r="DS77" s="59">
        <f t="shared" si="71"/>
        <v>588.39527063555693</v>
      </c>
      <c r="DT77" s="59">
        <f ca="1">AVERAGE(OFFSET($DS$3,0,0,'Données projet'!$E$14+1,1))-AVERAGE(OFFSET($H$3,0,0,'Données projet'!$E$14+1,1))</f>
        <v>239.26156489359892</v>
      </c>
      <c r="DU77" s="59">
        <f t="shared" si="98"/>
        <v>213.97034450798111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0.81165858971748905</v>
      </c>
      <c r="EB77" s="21">
        <f>EXP(-LN(2)/25)*EB76+(1-EXP(-LN(2)/25))/(LN(2)/25)*Calculateur!DW77*Calculateur!DY77*VLOOKUP('Données projet'!$B$14,Paramètres!$A$1:$I$89,3,0)*0.475*44/12</f>
        <v>15.023625702697997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15.835284292415485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6.7437500000000021</v>
      </c>
      <c r="EJ77" s="12">
        <f>IF('Données projet'!$A$192&gt;35,EJ76+EI77-ER76,IF(A77&lt;'Données projet'!$A$192,$EG$205^A77,IF(A77='Données projet'!$A$192,'Données projet'!$B$192,EJ76+EI77-ER76)))</f>
        <v>182.28875000000002</v>
      </c>
      <c r="EK77" s="17">
        <f>EJ77*VLOOKUP('Données projet'!$B$15,Paramètres!$A$1:$I$89,3,0)*VLOOKUP('Données projet'!$B$15,Paramètres!$A$1:$I$89,5,0)</f>
        <v>181.99708800000002</v>
      </c>
      <c r="EL77" s="13">
        <f t="shared" si="99"/>
        <v>45.766215724527498</v>
      </c>
      <c r="EM77" s="20">
        <f t="shared" si="73"/>
        <v>396.68775398688541</v>
      </c>
      <c r="EN77" s="59">
        <f t="shared" si="74"/>
        <v>690.02108732021873</v>
      </c>
      <c r="EO77" s="59">
        <f ca="1">AVERAGE(OFFSET($EN$3,0,0,'Données projet'!$E$15+1,1))-AVERAGE(OFFSET($H$3,0,0,'Données projet'!$E$15+1,1))</f>
        <v>525.74725170626471</v>
      </c>
      <c r="EP77" s="59">
        <f t="shared" si="100"/>
        <v>259.19103598192197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32.59237235902259</v>
      </c>
      <c r="EX77" s="21">
        <f>EXP(-LN(2)/2)*EX76+(1-EXP(-LN(2)/2))/(LN(2)/2)*ER77*EU77*VLOOKUP('Données projet'!$B$15,Paramètres!$A$1:$I$89,3,0)*0.475*44/12</f>
        <v>1.5134089540593483</v>
      </c>
      <c r="EY77" s="22">
        <f t="shared" si="75"/>
        <v>34.105781313081941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6.7437500000000021</v>
      </c>
      <c r="N78" s="13">
        <f>IF('Données projet'!$A$36&gt;35,N77+M78-V77,IF(A78&lt;'Données projet'!$A$36,$K$205^A78,IF(A78='Données projet'!$A$36,'Données projet'!$B$36,N77+M78-V77)))</f>
        <v>189.03250000000003</v>
      </c>
      <c r="O78" s="13">
        <f>N78*VLOOKUP('Données projet'!$B$9,Paramètres!$A$1:$I$89,3,0)*VLOOKUP('Données projet'!$B$9,Paramètres!$A$1:$I$89,5,0)</f>
        <v>191.67895500000003</v>
      </c>
      <c r="P78" s="13">
        <f t="shared" si="87"/>
        <v>47.910955687340916</v>
      </c>
      <c r="Q78" s="20">
        <f t="shared" si="54"/>
        <v>417.28576111378544</v>
      </c>
      <c r="R78" s="59">
        <f t="shared" si="55"/>
        <v>710.61909444711875</v>
      </c>
      <c r="S78" s="59">
        <f ca="1">AVERAGE(OFFSET($R$3,0,0,'Données projet'!$E$9+1,1))-AVERAGE(OFFSET($H$3,0,0,'Données projet'!$E$9+1,1))</f>
        <v>533.26035274112917</v>
      </c>
      <c r="T78" s="59">
        <f t="shared" si="88"/>
        <v>262.58149402282521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32.196462413889655</v>
      </c>
      <c r="AB78" s="21">
        <f>EXP(-LN(2)/2)*AB77+(1-EXP(-LN(2)/2))/(LN(2)/2)*V78*Y78*VLOOKUP('Données projet'!$B$9,Paramètres!$A$1:$I$89,3,0)*0.475*44/12</f>
        <v>1.08686269871949</v>
      </c>
      <c r="AC78" s="22">
        <f t="shared" si="57"/>
        <v>33.283325112609148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254.89</v>
      </c>
      <c r="AG78" s="12">
        <f>VLOOKUP(A78,'Données projet'!$A$61:$I$81,9,0)</f>
        <v>8.2474999999999987</v>
      </c>
      <c r="AH78" s="12">
        <f t="array" ref="AH78">INDEX(AG:AG,MIN(IF(ISNUMBER(AG78:AG274),ROW(AG78:AG274),"")))</f>
        <v>8.2474999999999987</v>
      </c>
      <c r="AI78" s="13">
        <f>IF('Données projet'!$A$62&gt;35,AI77+AH78-AQ77,IF(A78&lt;'Données projet'!$A$62,$AF$205^A78,IF(A78='Données projet'!$A$62,'Données projet'!$B$62,AI77+AH78-AQ77)))</f>
        <v>254.89000000000027</v>
      </c>
      <c r="AJ78" s="13">
        <f>AI78*VLOOKUP('Données projet'!$B$10,Paramètres!$A$1:$I$89,3,0)*VLOOKUP('Données projet'!$B$10,Paramètres!$A$1:$I$89,5,0)</f>
        <v>230.62447200000022</v>
      </c>
      <c r="AK78" s="13">
        <f t="shared" si="89"/>
        <v>56.417685662698347</v>
      </c>
      <c r="AL78" s="20">
        <f t="shared" si="58"/>
        <v>499.93175792920005</v>
      </c>
      <c r="AM78" s="59">
        <f t="shared" si="59"/>
        <v>793.26509126253336</v>
      </c>
      <c r="AN78" s="59">
        <f ca="1">AVERAGE(OFFSET($AM$3,0,0,'Données projet'!$E$10+1,1))-AVERAGE(OFFSET($H$3,0,0,'Données projet'!$E$10+1,1))</f>
        <v>482.62991869403385</v>
      </c>
      <c r="AO78" s="59">
        <f t="shared" si="90"/>
        <v>310.43914804089906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43.289999999999992</v>
      </c>
      <c r="AR78" s="16">
        <f>IF(ISNA(VLOOKUP(A78,'Données projet'!$A$61:$I$81,5,0)),0%,VLOOKUP(A78,'Données projet'!$A$61:$I$81,5,0)*VLOOKUP('Données projet'!$B$10,Paramètres!$A$1:$I$89,7,0))</f>
        <v>0.15049999999999999</v>
      </c>
      <c r="AS78" s="16">
        <f>IF(ISNA(VLOOKUP(A78,'Données projet'!$A$61:$I$81,6,0)),0%,VLOOKUP(A78,'Données projet'!$A$61:$I$81,6,0)*VLOOKUP('Données projet'!$B$10,Paramètres!$A$1:$I$89,7,0))</f>
        <v>8.6000000000000007E-2</v>
      </c>
      <c r="AT78" s="16">
        <f>IF(ISNA(VLOOKUP(A78,'Données projet'!$A$61:$I$81,7,0)),0%,VLOOKUP(A78,'Données projet'!$A$61:$I$81,7,0))</f>
        <v>0.1</v>
      </c>
      <c r="AU78" s="21">
        <f>EXP(-LN(2)/35)*AU77+(1-EXP(-LN(2)/35))/(LN(2)/35)*AQ78*AR78*VLOOKUP('Données projet'!$B$10,Paramètres!$A$1:$I$89,3,0)*0.475*44/12</f>
        <v>17.975743708002948</v>
      </c>
      <c r="AV78" s="21">
        <f>EXP(-LN(2)/25)*AV77+(1-EXP(-LN(2)/25))/(LN(2)/25)*Calculateur!AQ78*Calculateur!AS78*VLOOKUP('Données projet'!$B$10,Paramètres!$A$1:$I$89,3,0)*0.475*44/12</f>
        <v>29.359700825654979</v>
      </c>
      <c r="AW78" s="21">
        <f>EXP(-LN(2)/2)*AW77+(1-EXP(-LN(2)/2))/(LN(2)/2)*AQ78*AT78*VLOOKUP('Données projet'!$B$10,Paramètres!$A$1:$I$89,3,0)*0.475*44/12</f>
        <v>3.9512628137356964</v>
      </c>
      <c r="AX78" s="21">
        <f t="shared" si="60"/>
        <v>51.286707347393623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324</v>
      </c>
      <c r="BB78" s="12">
        <f>VLOOKUP(A78,'Données projet'!$A$87:$I$107,9,0)</f>
        <v>4.2</v>
      </c>
      <c r="BC78" s="12">
        <f t="array" ref="BC78">INDEX(BB:BB,MIN(IF(ISNUMBER(BB78:BB274),ROW(BB78:BB274),"")))</f>
        <v>4.2</v>
      </c>
      <c r="BD78" s="12">
        <f>IF('Données projet'!$A$88&gt;35,BD77+BC78-BL77,IF(A78&lt;'Données projet'!$A$88,$BA$205^A78,IF(A78='Données projet'!$A$88,'Données projet'!$B$88,BD77+BC78-BL77)))</f>
        <v>323.99999999999989</v>
      </c>
      <c r="BE78" s="13">
        <f>BD78*VLOOKUP('Données projet'!$B$11,Paramètres!$A$1:$I$89,3,0)*VLOOKUP('Données projet'!$B$11,Paramètres!$A$1:$I$89,5,0)</f>
        <v>283.04639999999989</v>
      </c>
      <c r="BF78" s="13">
        <f t="shared" si="91"/>
        <v>67.610394756513259</v>
      </c>
      <c r="BG78" s="20">
        <f t="shared" si="61"/>
        <v>610.72725086759363</v>
      </c>
      <c r="BH78" s="59">
        <f t="shared" si="62"/>
        <v>904.060584200927</v>
      </c>
      <c r="BI78" s="59">
        <f ca="1">AVERAGE(OFFSET($BH$3,0,0,'Données projet'!$E$11+1,1))-AVERAGE(OFFSET($H$3,0,0,'Données projet'!$E$11+1,1))</f>
        <v>384.34044781465661</v>
      </c>
      <c r="BJ78" s="59">
        <f t="shared" si="92"/>
        <v>374.99493809709708</v>
      </c>
      <c r="BK78" s="15">
        <f>IF(ISNA(VLOOKUP(A78,'Données projet'!$A$87:$I$107,3,0)),0,VLOOKUP(A78,'Données projet'!$A$87:$I$107,3,0))</f>
        <v>13</v>
      </c>
      <c r="BL78" s="15">
        <f>IF(ISNA(VLOOKUP(A78,'Données projet'!$A$87:$I$107,4,0)),0,VLOOKUP(A78,'Données projet'!$A$87:$I$107,4,0))</f>
        <v>12</v>
      </c>
      <c r="BM78" s="16">
        <f>IF(ISNA(VLOOKUP(A78,'Données projet'!$A$87:$I$107,5,0)),0%,VLOOKUP(A78,'Données projet'!$A$87:$I$107,5,0)*VLOOKUP('Données projet'!$B$11,Paramètres!$A$1:$I$89,7,0))</f>
        <v>0.13250000000000001</v>
      </c>
      <c r="BN78" s="16">
        <f>IF(ISNA(VLOOKUP(A78,'Données projet'!$A$87:$I$107,6,0)),0%,VLOOKUP(A78,'Données projet'!$A$87:$I$107,6,0)*VLOOKUP('Données projet'!$B$11,Paramètres!$A$1:$I$89,7,0))</f>
        <v>0.13250000000000001</v>
      </c>
      <c r="BO78" s="16">
        <f>IF(ISNA(VLOOKUP(A78,'Données projet'!$A$87:$I$107,7,0)),0%,VLOOKUP(A78,'Données projet'!$A$87:$I$107,7,0))</f>
        <v>0.25</v>
      </c>
      <c r="BP78" s="21">
        <f>EXP(-LN(2)/35)*BP77+(1-EXP(-LN(2)/35))/(LN(2)/35)*BL78*BM78*VLOOKUP('Données projet'!$B$11,Paramètres!$A$1:$I$89,3,0)*0.475*44/12</f>
        <v>16.3973156474581</v>
      </c>
      <c r="BQ78" s="21">
        <f>EXP(-LN(2)/25)*BQ77+(1-EXP(-LN(2)/25))/(LN(2)/25)*Calculateur!BL78*Calculateur!BN78*VLOOKUP('Données projet'!$B$11,Paramètres!$A$1:$I$89,3,0)*0.475*44/12</f>
        <v>16.420431427058794</v>
      </c>
      <c r="BR78" s="21">
        <f>EXP(-LN(2)/2)*BR77+(1-EXP(-LN(2)/2))/(LN(2)/2)*BL78*BO78*VLOOKUP('Données projet'!$B$11,Paramètres!$A$1:$I$89,3,0)*0.475*44/12</f>
        <v>3.0501010726400488</v>
      </c>
      <c r="BS78" s="22">
        <f t="shared" si="63"/>
        <v>35.867848147156941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254.89</v>
      </c>
      <c r="BW78" s="12">
        <f>VLOOKUP(A78,'Données projet'!$A$113:$I$133,9,0)</f>
        <v>8.2474999999999987</v>
      </c>
      <c r="BX78" s="12">
        <f t="array" ref="BX78">INDEX(BW:BW,MIN(IF(ISNUMBER(BW78:BW274),ROW(BW78:BW274),"")))</f>
        <v>8.2474999999999987</v>
      </c>
      <c r="BY78" s="12">
        <f>IF('Données projet'!$A$114&gt;35,BY77+BX78-CG77,IF(A78&lt;'Données projet'!$A$114,$BV$205^A78,IF(A78='Données projet'!$A$114,'Données projet'!$B$114,BY77+BX78-CG77)))</f>
        <v>254.89000000000027</v>
      </c>
      <c r="BZ78" s="13">
        <f>BY78*VLOOKUP('Données projet'!$B$12,Paramètres!$A$1:$I$89,3,0)*VLOOKUP('Données projet'!$B$12,Paramètres!$A$1:$I$89,5,0)</f>
        <v>242.55332400000029</v>
      </c>
      <c r="CA78" s="13">
        <f t="shared" si="93"/>
        <v>58.988551764844793</v>
      </c>
      <c r="CB78" s="20">
        <f t="shared" si="64"/>
        <v>525.18543362377181</v>
      </c>
      <c r="CC78" s="59">
        <f t="shared" si="65"/>
        <v>818.51876695710507</v>
      </c>
      <c r="CD78" s="59">
        <f ca="1">AVERAGE(OFFSET($CC$3,0,0,'Données projet'!$E$12+1,1))-AVERAGE(OFFSET($H$3,0,0,'Données projet'!$E$12+1,1))</f>
        <v>513.14430745499283</v>
      </c>
      <c r="CE78" s="59">
        <f t="shared" si="94"/>
        <v>324.2490378019823</v>
      </c>
      <c r="CF78" s="15">
        <f>IF(ISNA(VLOOKUP(A78,'Données projet'!$A$113:$I$133,3,0)),0,VLOOKUP(A78,'Données projet'!$A$113:$I$133,3,0))</f>
        <v>5</v>
      </c>
      <c r="CG78" s="15">
        <f>IF(ISNA(VLOOKUP(A78,'Données projet'!$A$113:$I$133,4,0)),0,VLOOKUP(A78,'Données projet'!$A$113:$I$133,4,0))</f>
        <v>43.289999999999992</v>
      </c>
      <c r="CH78" s="16">
        <f>IF(ISNA(VLOOKUP(A78,'Données projet'!$A$113:$I$133,5,0)),0%,VLOOKUP(A78,'Données projet'!$A$113:$I$133,5,0)*VLOOKUP('Données projet'!$B$12,Paramètres!$A$1:$I$89,7,0))</f>
        <v>0.15049999999999999</v>
      </c>
      <c r="CI78" s="16">
        <f>IF(ISNA(VLOOKUP(A78,'Données projet'!$A$113:$I$133,6,0)),0%,VLOOKUP(A78,'Données projet'!$A$113:$I$133,6,0)*VLOOKUP('Données projet'!$B$12,Paramètres!$A$1:$I$89,7,0))</f>
        <v>8.6000000000000007E-2</v>
      </c>
      <c r="CJ78" s="16">
        <f>IF(ISNA(VLOOKUP(A78,'Données projet'!$A$113:$I$133,7,0)),0%,VLOOKUP(A78,'Données projet'!$A$113:$I$133,7,0))</f>
        <v>0.1</v>
      </c>
      <c r="CK78" s="21">
        <f>EXP(-LN(2)/35)*CK77+(1-EXP(-LN(2)/35))/(LN(2)/35)*CG78*CH78*VLOOKUP('Données projet'!$B$12,Paramètres!$A$1:$I$89,3,0)*0.475*44/12</f>
        <v>18.905523554968621</v>
      </c>
      <c r="CL78" s="21">
        <f>EXP(-LN(2)/25)*CL77+(1-EXP(-LN(2)/25))/(LN(2)/25)*Calculateur!CG78*Calculateur!CI78*VLOOKUP('Données projet'!$B$12,Paramètres!$A$1:$I$89,3,0)*0.475*44/12</f>
        <v>30.878306040775065</v>
      </c>
      <c r="CM78" s="21">
        <f>EXP(-LN(2)/2)*CM77+(1-EXP(-LN(2)/2))/(LN(2)/2)*CG78*CJ78*VLOOKUP('Données projet'!$B$12,Paramètres!$A$1:$I$89,3,0)*0.475*44/12</f>
        <v>4.1556384765151284</v>
      </c>
      <c r="CN78" s="22">
        <f t="shared" si="66"/>
        <v>53.939468072258812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-1.1368683772161603E-13</v>
      </c>
      <c r="CU78" s="17">
        <f>CT78*VLOOKUP('Données projet'!$B$13,Paramètres!$A$1:$I$89,3,0)*VLOOKUP('Données projet'!$B$13,Paramètres!$A$1:$I$89,5,0)</f>
        <v>-8.8675733422860506E-14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197.51452239559433</v>
      </c>
      <c r="CZ78" s="59">
        <f t="shared" si="96"/>
        <v>196.65166921588821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24.475094321982041</v>
      </c>
      <c r="DG78" s="21">
        <f>EXP(-LN(2)/25)*DG77+(1-EXP(-LN(2)/25))/(LN(2)/25)*Calculateur!DB78*Calculateur!DD78*VLOOKUP('Données projet'!$B$13,Paramètres!$A$1:$I$89,3,0)*0.475*44/12</f>
        <v>22.978921050529003</v>
      </c>
      <c r="DH78" s="21">
        <f>EXP(-LN(2)/2)*DH77+(1-EXP(-LN(2)/2))/(LN(2)/2)*DB78*DE78*VLOOKUP('Données projet'!$B$13,Paramètres!$A$1:$I$89,3,0)*0.475*44/12</f>
        <v>4.868270965807965</v>
      </c>
      <c r="DI78" s="22">
        <f t="shared" si="69"/>
        <v>52.32228633831901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130.76923076923075</v>
      </c>
      <c r="DM78" s="12">
        <f>VLOOKUP(A78,'Données projet'!$A$165:$I$185,9,0)</f>
        <v>2.1794871794871766</v>
      </c>
      <c r="DN78" s="12">
        <f t="array" ref="DN78">INDEX(DM:DM,MIN(IF(ISNUMBER(DM78:DM274),ROW(DM78:DM274),"")))</f>
        <v>2.1794871794871766</v>
      </c>
      <c r="DO78" s="12">
        <f>IF('Données projet'!$A$166&gt;35,DO77+DN78-DW77,IF(A78&lt;'Données projet'!$A$166,$DL$205^A78,IF(A78='Données projet'!$A$166,'Données projet'!$B$166,DO77+DN78-DW77)))</f>
        <v>130.76923076923069</v>
      </c>
      <c r="DP78" s="17">
        <f>DO78*VLOOKUP('Données projet'!$B$14,Paramètres!$A$1:$I$89,3,0)*VLOOKUP('Données projet'!$B$14,Paramètres!$A$1:$I$89,5,0)</f>
        <v>136.67999999999992</v>
      </c>
      <c r="DQ78" s="13">
        <f t="shared" si="97"/>
        <v>35.535381023829849</v>
      </c>
      <c r="DR78" s="20">
        <f t="shared" si="70"/>
        <v>299.94178861650352</v>
      </c>
      <c r="DS78" s="59">
        <f t="shared" si="71"/>
        <v>593.27512194983683</v>
      </c>
      <c r="DT78" s="59">
        <f ca="1">AVERAGE(OFFSET($DS$3,0,0,'Données projet'!$E$14+1,1))-AVERAGE(OFFSET($H$3,0,0,'Données projet'!$E$14+1,1))</f>
        <v>239.26156489359892</v>
      </c>
      <c r="DU78" s="59">
        <f t="shared" si="98"/>
        <v>213.97034450798111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7.6923076923076916</v>
      </c>
      <c r="DX78" s="16">
        <f>IF(ISNA(VLOOKUP(A78,'Données projet'!$A$165:$I$185,5,0)),0%,VLOOKUP(A78,'Données projet'!$A$165:$I$185,5,0)*VLOOKUP('Données projet'!$B$14,Paramètres!$A$1:$I$89,7,0))</f>
        <v>4.3000000000000003E-2</v>
      </c>
      <c r="DY78" s="16">
        <f>IF(ISNA(VLOOKUP(A78,'Données projet'!$A$165:$I$185,6,0)),0%,VLOOKUP(A78,'Données projet'!$A$165:$I$185,6,0)*VLOOKUP('Données projet'!$B$14,Paramètres!$A$1:$I$89,7,0))</f>
        <v>0.215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1.177925679448117</v>
      </c>
      <c r="EB78" s="21">
        <f>EXP(-LN(2)/25)*EB77+(1-EXP(-LN(2)/25))/(LN(2)/25)*Calculateur!DW78*Calculateur!DY78*VLOOKUP('Données projet'!$B$14,Paramètres!$A$1:$I$89,3,0)*0.475*44/12</f>
        <v>16.516195961066057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17.694121640514172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6.7437500000000021</v>
      </c>
      <c r="EJ78" s="12">
        <f>IF('Données projet'!$A$192&gt;35,EJ77+EI78-ER77,IF(A78&lt;'Données projet'!$A$192,$EG$205^A78,IF(A78='Données projet'!$A$192,'Données projet'!$B$192,EJ77+EI78-ER77)))</f>
        <v>189.03250000000003</v>
      </c>
      <c r="EK78" s="17">
        <f>EJ78*VLOOKUP('Données projet'!$B$15,Paramètres!$A$1:$I$89,3,0)*VLOOKUP('Données projet'!$B$15,Paramètres!$A$1:$I$89,5,0)</f>
        <v>188.73004800000004</v>
      </c>
      <c r="EL78" s="13">
        <f t="shared" si="99"/>
        <v>47.259075001773084</v>
      </c>
      <c r="EM78" s="20">
        <f t="shared" si="73"/>
        <v>411.01438922808819</v>
      </c>
      <c r="EN78" s="59">
        <f t="shared" si="74"/>
        <v>704.34772256142151</v>
      </c>
      <c r="EO78" s="59">
        <f ca="1">AVERAGE(OFFSET($EN$3,0,0,'Données projet'!$E$15+1,1))-AVERAGE(OFFSET($H$3,0,0,'Données projet'!$E$15+1,1))</f>
        <v>525.74725170626471</v>
      </c>
      <c r="EP78" s="59">
        <f t="shared" si="100"/>
        <v>259.19103598192197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31.701132222906747</v>
      </c>
      <c r="EX78" s="21">
        <f>EXP(-LN(2)/2)*EX77+(1-EXP(-LN(2)/2))/(LN(2)/2)*ER78*EU78*VLOOKUP('Données projet'!$B$15,Paramètres!$A$1:$I$89,3,0)*0.475*44/12</f>
        <v>1.0701417341238053</v>
      </c>
      <c r="EY78" s="22">
        <f t="shared" si="75"/>
        <v>32.771273957030552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6.7437500000000021</v>
      </c>
      <c r="N79" s="13">
        <f>IF('Données projet'!$A$36&gt;35,N78+M79-V78,IF(A79&lt;'Données projet'!$A$36,$K$205^A79,IF(A79='Données projet'!$A$36,'Données projet'!$B$36,N78+M79-V78)))</f>
        <v>195.77625000000003</v>
      </c>
      <c r="O79" s="13">
        <f>N79*VLOOKUP('Données projet'!$B$9,Paramètres!$A$1:$I$89,3,0)*VLOOKUP('Données projet'!$B$9,Paramètres!$A$1:$I$89,5,0)</f>
        <v>198.51711750000004</v>
      </c>
      <c r="P79" s="13">
        <f t="shared" si="87"/>
        <v>49.41813401590116</v>
      </c>
      <c r="Q79" s="20">
        <f t="shared" si="54"/>
        <v>431.8205630568612</v>
      </c>
      <c r="R79" s="59">
        <f t="shared" si="55"/>
        <v>725.15389639019452</v>
      </c>
      <c r="S79" s="59">
        <f ca="1">AVERAGE(OFFSET($R$3,0,0,'Données projet'!$E$9+1,1))-AVERAGE(OFFSET($H$3,0,0,'Données projet'!$E$9+1,1))</f>
        <v>533.26035274112917</v>
      </c>
      <c r="T79" s="59">
        <f t="shared" si="88"/>
        <v>262.58149402282521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31.316048456043472</v>
      </c>
      <c r="AB79" s="21">
        <f>EXP(-LN(2)/2)*AB78+(1-EXP(-LN(2)/2))/(LN(2)/2)*V79*Y79*VLOOKUP('Données projet'!$B$9,Paramètres!$A$1:$I$89,3,0)*0.475*44/12</f>
        <v>0.76852798448326298</v>
      </c>
      <c r="AC79" s="22">
        <f t="shared" si="57"/>
        <v>32.084576440526732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8.0188888888888883</v>
      </c>
      <c r="AI79" s="13">
        <f>IF('Données projet'!$A$62&gt;35,AI78+AH79-AQ78,IF(A79&lt;'Données projet'!$A$62,$AF$205^A79,IF(A79='Données projet'!$A$62,'Données projet'!$B$62,AI78+AH79-AQ78)))</f>
        <v>219.61888888888919</v>
      </c>
      <c r="AJ79" s="13">
        <f>AI79*VLOOKUP('Données projet'!$B$10,Paramètres!$A$1:$I$89,3,0)*VLOOKUP('Données projet'!$B$10,Paramètres!$A$1:$I$89,5,0)</f>
        <v>198.71117066666693</v>
      </c>
      <c r="AK79" s="13">
        <f t="shared" si="89"/>
        <v>49.460815560173565</v>
      </c>
      <c r="AL79" s="20">
        <f t="shared" si="58"/>
        <v>432.23287601174712</v>
      </c>
      <c r="AM79" s="59">
        <f t="shared" si="59"/>
        <v>725.56620934508044</v>
      </c>
      <c r="AN79" s="59">
        <f ca="1">AVERAGE(OFFSET($AM$3,0,0,'Données projet'!$E$10+1,1))-AVERAGE(OFFSET($H$3,0,0,'Données projet'!$E$10+1,1))</f>
        <v>482.62991869403385</v>
      </c>
      <c r="AO79" s="59">
        <f t="shared" si="90"/>
        <v>310.43914804089906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17.623250338010056</v>
      </c>
      <c r="AV79" s="21">
        <f>EXP(-LN(2)/25)*AV78+(1-EXP(-LN(2)/25))/(LN(2)/25)*Calculateur!AQ79*Calculateur!AS79*VLOOKUP('Données projet'!$B$10,Paramètres!$A$1:$I$89,3,0)*0.475*44/12</f>
        <v>28.55685826261788</v>
      </c>
      <c r="AW79" s="21">
        <f>EXP(-LN(2)/2)*AW78+(1-EXP(-LN(2)/2))/(LN(2)/2)*AQ79*AT79*VLOOKUP('Données projet'!$B$10,Paramètres!$A$1:$I$89,3,0)*0.475*44/12</f>
        <v>2.7939647298427492</v>
      </c>
      <c r="AX79" s="21">
        <f t="shared" si="60"/>
        <v>48.974073330470681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3.6</v>
      </c>
      <c r="BD79" s="12">
        <f>IF('Données projet'!$A$88&gt;35,BD78+BC79-BL78,IF(A79&lt;'Données projet'!$A$88,$BA$205^A79,IF(A79='Données projet'!$A$88,'Données projet'!$B$88,BD78+BC79-BL78)))</f>
        <v>315.59999999999991</v>
      </c>
      <c r="BE79" s="13">
        <f>BD79*VLOOKUP('Données projet'!$B$11,Paramètres!$A$1:$I$89,3,0)*VLOOKUP('Données projet'!$B$11,Paramètres!$A$1:$I$89,5,0)</f>
        <v>275.70815999999996</v>
      </c>
      <c r="BF79" s="13">
        <f t="shared" si="91"/>
        <v>66.05920594467139</v>
      </c>
      <c r="BG79" s="20">
        <f t="shared" si="61"/>
        <v>595.24482902030275</v>
      </c>
      <c r="BH79" s="59">
        <f t="shared" si="62"/>
        <v>888.57816235363612</v>
      </c>
      <c r="BI79" s="59">
        <f ca="1">AVERAGE(OFFSET($BH$3,0,0,'Données projet'!$E$11+1,1))-AVERAGE(OFFSET($H$3,0,0,'Données projet'!$E$11+1,1))</f>
        <v>384.34044781465661</v>
      </c>
      <c r="BJ79" s="59">
        <f t="shared" si="92"/>
        <v>374.99493809709708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16.075774288986437</v>
      </c>
      <c r="BQ79" s="21">
        <f>EXP(-LN(2)/25)*BQ78+(1-EXP(-LN(2)/25))/(LN(2)/25)*Calculateur!BL79*Calculateur!BN79*VLOOKUP('Données projet'!$B$11,Paramètres!$A$1:$I$89,3,0)*0.475*44/12</f>
        <v>15.971413866172913</v>
      </c>
      <c r="BR79" s="21">
        <f>EXP(-LN(2)/2)*BR78+(1-EXP(-LN(2)/2))/(LN(2)/2)*BL79*BO79*VLOOKUP('Données projet'!$B$11,Paramètres!$A$1:$I$89,3,0)*0.475*44/12</f>
        <v>2.1567471517681409</v>
      </c>
      <c r="BS79" s="22">
        <f t="shared" si="63"/>
        <v>34.203935306927491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8.0188888888888883</v>
      </c>
      <c r="BY79" s="12">
        <f>IF('Données projet'!$A$114&gt;35,BY78+BX79-CG78,IF(A79&lt;'Données projet'!$A$114,$BV$205^A79,IF(A79='Données projet'!$A$114,'Données projet'!$B$114,BY78+BX79-CG78)))</f>
        <v>219.61888888888919</v>
      </c>
      <c r="BZ79" s="13">
        <f>BY79*VLOOKUP('Données projet'!$B$12,Paramètres!$A$1:$I$89,3,0)*VLOOKUP('Données projet'!$B$12,Paramètres!$A$1:$I$89,5,0)</f>
        <v>208.98933466666696</v>
      </c>
      <c r="CA79" s="13">
        <f t="shared" si="93"/>
        <v>51.714667922505306</v>
      </c>
      <c r="CB79" s="20">
        <f t="shared" si="64"/>
        <v>454.0594711761417</v>
      </c>
      <c r="CC79" s="59">
        <f t="shared" si="65"/>
        <v>747.39280450947501</v>
      </c>
      <c r="CD79" s="59">
        <f ca="1">AVERAGE(OFFSET($CC$3,0,0,'Données projet'!$E$12+1,1))-AVERAGE(OFFSET($H$3,0,0,'Données projet'!$E$12+1,1))</f>
        <v>513.14430745499283</v>
      </c>
      <c r="CE79" s="59">
        <f t="shared" si="94"/>
        <v>324.2490378019823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18.534797769286442</v>
      </c>
      <c r="CL79" s="21">
        <f>EXP(-LN(2)/25)*CL78+(1-EXP(-LN(2)/25))/(LN(2)/25)*Calculateur!CG79*Calculateur!CI79*VLOOKUP('Données projet'!$B$12,Paramètres!$A$1:$I$89,3,0)*0.475*44/12</f>
        <v>30.033937138270531</v>
      </c>
      <c r="CM79" s="21">
        <f>EXP(-LN(2)/2)*CM78+(1-EXP(-LN(2)/2))/(LN(2)/2)*CG79*CJ79*VLOOKUP('Données projet'!$B$12,Paramètres!$A$1:$I$89,3,0)*0.475*44/12</f>
        <v>2.9384801469035806</v>
      </c>
      <c r="CN79" s="22">
        <f t="shared" si="66"/>
        <v>51.507215054460552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-1.1368683772161603E-13</v>
      </c>
      <c r="CU79" s="17">
        <f>CT79*VLOOKUP('Données projet'!$B$13,Paramètres!$A$1:$I$89,3,0)*VLOOKUP('Données projet'!$B$13,Paramètres!$A$1:$I$89,5,0)</f>
        <v>-8.8675733422860506E-14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197.51452239559433</v>
      </c>
      <c r="CZ79" s="59">
        <f t="shared" si="96"/>
        <v>196.65166921588821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23.99515265066146</v>
      </c>
      <c r="DG79" s="21">
        <f>EXP(-LN(2)/25)*DG78+(1-EXP(-LN(2)/25))/(LN(2)/25)*Calculateur!DB79*Calculateur!DD79*VLOOKUP('Données projet'!$B$13,Paramètres!$A$1:$I$89,3,0)*0.475*44/12</f>
        <v>22.350561245993347</v>
      </c>
      <c r="DH79" s="21">
        <f>EXP(-LN(2)/2)*DH78+(1-EXP(-LN(2)/2))/(LN(2)/2)*DB79*DE79*VLOOKUP('Données projet'!$B$13,Paramètres!$A$1:$I$89,3,0)*0.475*44/12</f>
        <v>3.4423874125763954</v>
      </c>
      <c r="DI79" s="22">
        <f t="shared" si="69"/>
        <v>49.788101309231202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2.0512820512820582</v>
      </c>
      <c r="DO79" s="12">
        <f>IF('Données projet'!$A$166&gt;35,DO78+DN79-DW78,IF(A79&lt;'Données projet'!$A$166,$DL$205^A79,IF(A79='Données projet'!$A$166,'Données projet'!$B$166,DO78+DN79-DW78)))</f>
        <v>125.12820512820507</v>
      </c>
      <c r="DP79" s="17">
        <f>DO79*VLOOKUP('Données projet'!$B$14,Paramètres!$A$1:$I$89,3,0)*VLOOKUP('Données projet'!$B$14,Paramètres!$A$1:$I$89,5,0)</f>
        <v>130.78399999999993</v>
      </c>
      <c r="DQ79" s="13">
        <f t="shared" si="97"/>
        <v>34.177455270520305</v>
      </c>
      <c r="DR79" s="20">
        <f t="shared" si="70"/>
        <v>287.30786792948942</v>
      </c>
      <c r="DS79" s="59">
        <f t="shared" si="71"/>
        <v>580.64120126282273</v>
      </c>
      <c r="DT79" s="59">
        <f ca="1">AVERAGE(OFFSET($DS$3,0,0,'Données projet'!$E$14+1,1))-AVERAGE(OFFSET($H$3,0,0,'Données projet'!$E$14+1,1))</f>
        <v>239.26156489359892</v>
      </c>
      <c r="DU79" s="59">
        <f t="shared" si="98"/>
        <v>213.97034450798111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1.1548272753378614</v>
      </c>
      <c r="EB79" s="21">
        <f>EXP(-LN(2)/25)*EB78+(1-EXP(-LN(2)/25))/(LN(2)/25)*Calculateur!DW79*Calculateur!DY79*VLOOKUP('Données projet'!$B$14,Paramètres!$A$1:$I$89,3,0)*0.475*44/12</f>
        <v>16.064559713961707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17.219386989299569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6.7437500000000021</v>
      </c>
      <c r="EJ79" s="12">
        <f>IF('Données projet'!$A$192&gt;35,EJ78+EI79-ER78,IF(A79&lt;'Données projet'!$A$192,$EG$205^A79,IF(A79='Données projet'!$A$192,'Données projet'!$B$192,EJ78+EI79-ER78)))</f>
        <v>195.77625000000003</v>
      </c>
      <c r="EK79" s="17">
        <f>EJ79*VLOOKUP('Données projet'!$B$15,Paramètres!$A$1:$I$89,3,0)*VLOOKUP('Données projet'!$B$15,Paramètres!$A$1:$I$89,5,0)</f>
        <v>195.46300800000003</v>
      </c>
      <c r="EL79" s="13">
        <f t="shared" si="99"/>
        <v>48.745746529164379</v>
      </c>
      <c r="EM79" s="20">
        <f t="shared" si="73"/>
        <v>425.33024747162807</v>
      </c>
      <c r="EN79" s="59">
        <f t="shared" si="74"/>
        <v>718.66358080496138</v>
      </c>
      <c r="EO79" s="59">
        <f ca="1">AVERAGE(OFFSET($EN$3,0,0,'Données projet'!$E$15+1,1))-AVERAGE(OFFSET($H$3,0,0,'Données projet'!$E$15+1,1))</f>
        <v>525.74725170626471</v>
      </c>
      <c r="EP79" s="59">
        <f t="shared" si="100"/>
        <v>259.19103598192197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30.834263095181271</v>
      </c>
      <c r="EX79" s="21">
        <f>EXP(-LN(2)/2)*EX78+(1-EXP(-LN(2)/2))/(LN(2)/2)*ER79*EU79*VLOOKUP('Données projet'!$B$15,Paramètres!$A$1:$I$89,3,0)*0.475*44/12</f>
        <v>0.75670447702967414</v>
      </c>
      <c r="EY79" s="22">
        <f t="shared" si="75"/>
        <v>31.590967572210946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>
        <f>VLOOKUP(A80,'Données projet'!$A$35:$I$55,2,0)</f>
        <v>202.52</v>
      </c>
      <c r="L80" s="12">
        <f>VLOOKUP(A80,'Données projet'!$A$35:$I$55,9,0)</f>
        <v>6.7437500000000021</v>
      </c>
      <c r="M80" s="12">
        <f t="array" ref="M80">INDEX(L:L,MIN(IF(ISNUMBER(L80:L276),ROW(L80:L276),"")))</f>
        <v>6.7437500000000021</v>
      </c>
      <c r="N80" s="13">
        <f>IF('Données projet'!$A$36&gt;35,N79+M80-V79,IF(A80&lt;'Données projet'!$A$36,$K$205^A80,IF(A80='Données projet'!$A$36,'Données projet'!$B$36,N79+M80-V79)))</f>
        <v>202.52000000000004</v>
      </c>
      <c r="O80" s="13">
        <f>N80*VLOOKUP('Données projet'!$B$9,Paramètres!$A$1:$I$89,3,0)*VLOOKUP('Données projet'!$B$9,Paramètres!$A$1:$I$89,5,0)</f>
        <v>205.35528000000005</v>
      </c>
      <c r="P80" s="13">
        <f t="shared" si="87"/>
        <v>50.919280092893707</v>
      </c>
      <c r="Q80" s="20">
        <f t="shared" si="54"/>
        <v>446.34485882845661</v>
      </c>
      <c r="R80" s="59">
        <f t="shared" si="55"/>
        <v>739.67819216178987</v>
      </c>
      <c r="S80" s="59">
        <f ca="1">AVERAGE(OFFSET($R$3,0,0,'Données projet'!$E$9+1,1))-AVERAGE(OFFSET($H$3,0,0,'Données projet'!$E$9+1,1))</f>
        <v>533.26035274112917</v>
      </c>
      <c r="T80" s="59">
        <f t="shared" si="88"/>
        <v>262.58149402282521</v>
      </c>
      <c r="U80" s="15">
        <f>IF(ISNA(VLOOKUP(A80,'Données projet'!$A$35:$I$55,3,0)),0,VLOOKUP(A80,'Données projet'!$A$35:$I$55,3,0))</f>
        <v>3</v>
      </c>
      <c r="V80" s="15">
        <f>IF(ISNA(VLOOKUP(A80,'Données projet'!$A$35:$I$55,4,0)),0,VLOOKUP(A80,'Données projet'!$A$35:$I$55,4,0))</f>
        <v>33.950000000000017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0.34400000000000003</v>
      </c>
      <c r="Y80" s="16">
        <f>IF(ISNA(VLOOKUP(A80,'Données projet'!$A$35:$I$55,7,0)),0%,VLOOKUP(A80,'Données projet'!$A$35:$I$55,7,0))</f>
        <v>0.2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43.499479380258421</v>
      </c>
      <c r="AB80" s="21">
        <f>EXP(-LN(2)/2)*AB79+(1-EXP(-LN(2)/2))/(LN(2)/2)*V80*Y80*VLOOKUP('Données projet'!$B$9,Paramètres!$A$1:$I$89,3,0)*0.475*44/12</f>
        <v>7.0396707680327228</v>
      </c>
      <c r="AC80" s="22">
        <f t="shared" si="57"/>
        <v>50.539150148291142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8.0188888888888883</v>
      </c>
      <c r="AI80" s="13">
        <f>IF('Données projet'!$A$62&gt;35,AI79+AH80-AQ79,IF(A80&lt;'Données projet'!$A$62,$AF$205^A80,IF(A80='Données projet'!$A$62,'Données projet'!$B$62,AI79+AH80-AQ79)))</f>
        <v>227.63777777777807</v>
      </c>
      <c r="AJ80" s="13">
        <f>AI80*VLOOKUP('Données projet'!$B$10,Paramètres!$A$1:$I$89,3,0)*VLOOKUP('Données projet'!$B$10,Paramètres!$A$1:$I$89,5,0)</f>
        <v>205.96666133333358</v>
      </c>
      <c r="AK80" s="13">
        <f t="shared" si="89"/>
        <v>51.053207385228809</v>
      </c>
      <c r="AL80" s="20">
        <f t="shared" si="58"/>
        <v>447.64293801816285</v>
      </c>
      <c r="AM80" s="59">
        <f t="shared" si="59"/>
        <v>740.97627135149617</v>
      </c>
      <c r="AN80" s="59">
        <f ca="1">AVERAGE(OFFSET($AM$3,0,0,'Données projet'!$E$10+1,1))-AVERAGE(OFFSET($H$3,0,0,'Données projet'!$E$10+1,1))</f>
        <v>482.62991869403385</v>
      </c>
      <c r="AO80" s="59">
        <f t="shared" si="90"/>
        <v>310.43914804089906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17.277669148002996</v>
      </c>
      <c r="AV80" s="21">
        <f>EXP(-LN(2)/25)*AV79+(1-EXP(-LN(2)/25))/(LN(2)/25)*Calculateur!AQ80*Calculateur!AS80*VLOOKUP('Données projet'!$B$10,Paramètres!$A$1:$I$89,3,0)*0.475*44/12</f>
        <v>27.775969471686686</v>
      </c>
      <c r="AW80" s="21">
        <f>EXP(-LN(2)/2)*AW79+(1-EXP(-LN(2)/2))/(LN(2)/2)*AQ80*AT80*VLOOKUP('Données projet'!$B$10,Paramètres!$A$1:$I$89,3,0)*0.475*44/12</f>
        <v>1.9756314068678484</v>
      </c>
      <c r="AX80" s="21">
        <f t="shared" si="60"/>
        <v>47.029270026557526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3.6</v>
      </c>
      <c r="BD80" s="12">
        <f>IF('Données projet'!$A$88&gt;35,BD79+BC80-BL79,IF(A80&lt;'Données projet'!$A$88,$BA$205^A80,IF(A80='Données projet'!$A$88,'Données projet'!$B$88,BD79+BC80-BL79)))</f>
        <v>319.19999999999993</v>
      </c>
      <c r="BE80" s="13">
        <f>BD80*VLOOKUP('Données projet'!$B$11,Paramètres!$A$1:$I$89,3,0)*VLOOKUP('Données projet'!$B$11,Paramètres!$A$1:$I$89,5,0)</f>
        <v>278.85311999999999</v>
      </c>
      <c r="BF80" s="13">
        <f t="shared" si="91"/>
        <v>66.724582302351905</v>
      </c>
      <c r="BG80" s="20">
        <f t="shared" si="61"/>
        <v>601.88116484326292</v>
      </c>
      <c r="BH80" s="59">
        <f t="shared" si="62"/>
        <v>895.21449817659618</v>
      </c>
      <c r="BI80" s="59">
        <f ca="1">AVERAGE(OFFSET($BH$3,0,0,'Données projet'!$E$11+1,1))-AVERAGE(OFFSET($H$3,0,0,'Données projet'!$E$11+1,1))</f>
        <v>384.34044781465661</v>
      </c>
      <c r="BJ80" s="59">
        <f t="shared" si="92"/>
        <v>374.99493809709708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15.760538160433541</v>
      </c>
      <c r="BQ80" s="21">
        <f>EXP(-LN(2)/25)*BQ79+(1-EXP(-LN(2)/25))/(LN(2)/25)*Calculateur!BL80*Calculateur!BN80*VLOOKUP('Données projet'!$B$11,Paramètres!$A$1:$I$89,3,0)*0.475*44/12</f>
        <v>15.534674714102263</v>
      </c>
      <c r="BR80" s="21">
        <f>EXP(-LN(2)/2)*BR79+(1-EXP(-LN(2)/2))/(LN(2)/2)*BL80*BO80*VLOOKUP('Données projet'!$B$11,Paramètres!$A$1:$I$89,3,0)*0.475*44/12</f>
        <v>1.5250505363200246</v>
      </c>
      <c r="BS80" s="22">
        <f t="shared" si="63"/>
        <v>32.82026341085583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8.0188888888888883</v>
      </c>
      <c r="BY80" s="12">
        <f>IF('Données projet'!$A$114&gt;35,BY79+BX80-CG79,IF(A80&lt;'Données projet'!$A$114,$BV$205^A80,IF(A80='Données projet'!$A$114,'Données projet'!$B$114,BY79+BX80-CG79)))</f>
        <v>227.63777777777807</v>
      </c>
      <c r="BZ80" s="13">
        <f>BY80*VLOOKUP('Données projet'!$B$12,Paramètres!$A$1:$I$89,3,0)*VLOOKUP('Données projet'!$B$12,Paramètres!$A$1:$I$89,5,0)</f>
        <v>216.6201093333336</v>
      </c>
      <c r="CA80" s="13">
        <f t="shared" si="93"/>
        <v>53.379622563923675</v>
      </c>
      <c r="CB80" s="20">
        <f t="shared" si="64"/>
        <v>470.2495330543897</v>
      </c>
      <c r="CC80" s="59">
        <f t="shared" si="65"/>
        <v>763.58286638772302</v>
      </c>
      <c r="CD80" s="59">
        <f ca="1">AVERAGE(OFFSET($CC$3,0,0,'Données projet'!$E$12+1,1))-AVERAGE(OFFSET($H$3,0,0,'Données projet'!$E$12+1,1))</f>
        <v>513.14430745499283</v>
      </c>
      <c r="CE80" s="59">
        <f t="shared" si="94"/>
        <v>324.2490378019823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18.171341690141087</v>
      </c>
      <c r="CL80" s="21">
        <f>EXP(-LN(2)/25)*CL79+(1-EXP(-LN(2)/25))/(LN(2)/25)*Calculateur!CG80*Calculateur!CI80*VLOOKUP('Données projet'!$B$12,Paramètres!$A$1:$I$89,3,0)*0.475*44/12</f>
        <v>29.212657547808412</v>
      </c>
      <c r="CM80" s="21">
        <f>EXP(-LN(2)/2)*CM79+(1-EXP(-LN(2)/2))/(LN(2)/2)*CG80*CJ80*VLOOKUP('Données projet'!$B$12,Paramètres!$A$1:$I$89,3,0)*0.475*44/12</f>
        <v>2.0778192382575642</v>
      </c>
      <c r="CN80" s="22">
        <f t="shared" si="66"/>
        <v>49.461818476207057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-1.1368683772161603E-13</v>
      </c>
      <c r="CU80" s="17">
        <f>CT80*VLOOKUP('Données projet'!$B$13,Paramètres!$A$1:$I$89,3,0)*VLOOKUP('Données projet'!$B$13,Paramètres!$A$1:$I$89,5,0)</f>
        <v>-8.8675733422860506E-14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197.51452239559433</v>
      </c>
      <c r="CZ80" s="59">
        <f t="shared" si="96"/>
        <v>196.65166921588821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23.52462234277996</v>
      </c>
      <c r="DG80" s="21">
        <f>EXP(-LN(2)/25)*DG79+(1-EXP(-LN(2)/25))/(LN(2)/25)*Calculateur!DB80*Calculateur!DD80*VLOOKUP('Données projet'!$B$13,Paramètres!$A$1:$I$89,3,0)*0.475*44/12</f>
        <v>21.739383973356727</v>
      </c>
      <c r="DH80" s="21">
        <f>EXP(-LN(2)/2)*DH79+(1-EXP(-LN(2)/2))/(LN(2)/2)*DB80*DE80*VLOOKUP('Données projet'!$B$13,Paramètres!$A$1:$I$89,3,0)*0.475*44/12</f>
        <v>2.434135482903983</v>
      </c>
      <c r="DI80" s="22">
        <f t="shared" si="69"/>
        <v>47.69814179904067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2.0512820512820582</v>
      </c>
      <c r="DO80" s="12">
        <f>IF('Données projet'!$A$166&gt;35,DO79+DN80-DW79,IF(A80&lt;'Données projet'!$A$166,$DL$205^A80,IF(A80='Données projet'!$A$166,'Données projet'!$B$166,DO79+DN80-DW79)))</f>
        <v>127.17948717948713</v>
      </c>
      <c r="DP80" s="17">
        <f>DO80*VLOOKUP('Données projet'!$B$14,Paramètres!$A$1:$I$89,3,0)*VLOOKUP('Données projet'!$B$14,Paramètres!$A$1:$I$89,5,0)</f>
        <v>132.92799999999994</v>
      </c>
      <c r="DQ80" s="13">
        <f t="shared" si="97"/>
        <v>34.67205462685105</v>
      </c>
      <c r="DR80" s="20">
        <f t="shared" si="70"/>
        <v>291.90342847509879</v>
      </c>
      <c r="DS80" s="59">
        <f t="shared" si="71"/>
        <v>585.23676180843211</v>
      </c>
      <c r="DT80" s="59">
        <f ca="1">AVERAGE(OFFSET($DS$3,0,0,'Données projet'!$E$14+1,1))-AVERAGE(OFFSET($H$3,0,0,'Données projet'!$E$14+1,1))</f>
        <v>239.26156489359892</v>
      </c>
      <c r="DU80" s="59">
        <f t="shared" si="98"/>
        <v>213.97034450798111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1.1321818168435727</v>
      </c>
      <c r="EB80" s="21">
        <f>EXP(-LN(2)/25)*EB79+(1-EXP(-LN(2)/25))/(LN(2)/25)*Calculateur!DW80*Calculateur!DY80*VLOOKUP('Données projet'!$B$14,Paramètres!$A$1:$I$89,3,0)*0.475*44/12</f>
        <v>15.625273483784945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16.757455300628518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>
        <f>VLOOKUP(A80,'Données projet'!$A$191:$I$211,2,0)</f>
        <v>202.52</v>
      </c>
      <c r="EH80" s="12">
        <f>VLOOKUP(A80,'Données projet'!$A$191:$I$211,9,0)</f>
        <v>6.7437500000000021</v>
      </c>
      <c r="EI80" s="12">
        <f t="array" ref="EI80">INDEX(EH:EH,MIN(IF(ISNUMBER(EH80:EH276),ROW(EH80:EH276),"")))</f>
        <v>6.7437500000000021</v>
      </c>
      <c r="EJ80" s="12">
        <f>IF('Données projet'!$A$192&gt;35,EJ79+EI80-ER79,IF(A80&lt;'Données projet'!$A$192,$EG$205^A80,IF(A80='Données projet'!$A$192,'Données projet'!$B$192,EJ79+EI80-ER79)))</f>
        <v>202.52000000000004</v>
      </c>
      <c r="EK80" s="17">
        <f>EJ80*VLOOKUP('Données projet'!$B$15,Paramètres!$A$1:$I$89,3,0)*VLOOKUP('Données projet'!$B$15,Paramètres!$A$1:$I$89,5,0)</f>
        <v>202.19596800000005</v>
      </c>
      <c r="EL80" s="13">
        <f t="shared" si="99"/>
        <v>50.226467880334432</v>
      </c>
      <c r="EM80" s="20">
        <f t="shared" si="73"/>
        <v>439.6357424915825</v>
      </c>
      <c r="EN80" s="59">
        <f t="shared" si="74"/>
        <v>732.96907582491576</v>
      </c>
      <c r="EO80" s="59">
        <f ca="1">AVERAGE(OFFSET($EN$3,0,0,'Données projet'!$E$15+1,1))-AVERAGE(OFFSET($H$3,0,0,'Données projet'!$E$15+1,1))</f>
        <v>525.74725170626471</v>
      </c>
      <c r="EP80" s="59">
        <f t="shared" si="100"/>
        <v>259.19103598192197</v>
      </c>
      <c r="EQ80" s="15">
        <f>IF(ISNA(VLOOKUP(A80,'Données projet'!$A$191:$I$211,3,0)),0,VLOOKUP(A80,'Données projet'!$A$191:$I$211,3,0))</f>
        <v>3</v>
      </c>
      <c r="ER80" s="15">
        <f>IF(ISNA(VLOOKUP(A80,'Données projet'!$A$191:$I$211,4,0)),0,VLOOKUP(A80,'Données projet'!$A$191:$I$211,4,0))</f>
        <v>33.950000000000017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0.34400000000000003</v>
      </c>
      <c r="EU80" s="16">
        <f>IF(ISNA(VLOOKUP(A80,'Données projet'!$A$191:$I$211,7,0)),0%,VLOOKUP(A80,'Données projet'!$A$191:$I$211,7,0))</f>
        <v>0.2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42.830256620562139</v>
      </c>
      <c r="EX80" s="21">
        <f>EXP(-LN(2)/2)*EX79+(1-EXP(-LN(2)/2))/(LN(2)/2)*ER80*EU80*VLOOKUP('Données projet'!$B$15,Paramètres!$A$1:$I$89,3,0)*0.475*44/12</f>
        <v>6.9313681408322205</v>
      </c>
      <c r="EY80" s="22">
        <f t="shared" si="75"/>
        <v>49.761624761394359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6.7444444444444462</v>
      </c>
      <c r="N81" s="13">
        <f>IF('Données projet'!$A$36&gt;35,N80+M81-V80,IF(A81&lt;'Données projet'!$A$36,$K$205^A81,IF(A81='Données projet'!$A$36,'Données projet'!$B$36,N80+M81-V80)))</f>
        <v>175.31444444444446</v>
      </c>
      <c r="O81" s="13">
        <f>N81*VLOOKUP('Données projet'!$B$9,Paramètres!$A$1:$I$89,3,0)*VLOOKUP('Données projet'!$B$9,Paramètres!$A$1:$I$89,5,0)</f>
        <v>177.76884666666669</v>
      </c>
      <c r="P81" s="13">
        <f t="shared" si="87"/>
        <v>44.825435894521945</v>
      </c>
      <c r="Q81" s="20">
        <f t="shared" si="54"/>
        <v>387.68504212740351</v>
      </c>
      <c r="R81" s="59">
        <f t="shared" si="55"/>
        <v>681.01837546073682</v>
      </c>
      <c r="S81" s="59">
        <f ca="1">AVERAGE(OFFSET($R$3,0,0,'Données projet'!$E$9+1,1))-AVERAGE(OFFSET($H$3,0,0,'Données projet'!$E$9+1,1))</f>
        <v>533.26035274112917</v>
      </c>
      <c r="T81" s="59">
        <f t="shared" si="88"/>
        <v>262.58149402282521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42.30998382906705</v>
      </c>
      <c r="AB81" s="21">
        <f>EXP(-LN(2)/2)*AB80+(1-EXP(-LN(2)/2))/(LN(2)/2)*V81*Y81*VLOOKUP('Données projet'!$B$9,Paramètres!$A$1:$I$89,3,0)*0.475*44/12</f>
        <v>4.97779893739665</v>
      </c>
      <c r="AC81" s="22">
        <f t="shared" si="57"/>
        <v>47.2877827664637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8.0188888888888883</v>
      </c>
      <c r="AI81" s="13">
        <f>IF('Données projet'!$A$62&gt;35,AI80+AH81-AQ80,IF(A81&lt;'Données projet'!$A$62,$AF$205^A81,IF(A81='Données projet'!$A$62,'Données projet'!$B$62,AI80+AH81-AQ80)))</f>
        <v>235.65666666666695</v>
      </c>
      <c r="AJ81" s="13">
        <f>AI81*VLOOKUP('Données projet'!$B$10,Paramètres!$A$1:$I$89,3,0)*VLOOKUP('Données projet'!$B$10,Paramètres!$A$1:$I$89,5,0)</f>
        <v>213.22215200000025</v>
      </c>
      <c r="AK81" s="13">
        <f t="shared" si="89"/>
        <v>52.639081762048846</v>
      </c>
      <c r="AL81" s="20">
        <f t="shared" si="58"/>
        <v>463.04164880223556</v>
      </c>
      <c r="AM81" s="59">
        <f t="shared" si="59"/>
        <v>756.37498213556887</v>
      </c>
      <c r="AN81" s="59">
        <f ca="1">AVERAGE(OFFSET($AM$3,0,0,'Données projet'!$E$10+1,1))-AVERAGE(OFFSET($H$3,0,0,'Données projet'!$E$10+1,1))</f>
        <v>482.62991869403385</v>
      </c>
      <c r="AO81" s="59">
        <f t="shared" si="90"/>
        <v>310.43914804089906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16.938864594348264</v>
      </c>
      <c r="AV81" s="21">
        <f>EXP(-LN(2)/25)*AV80+(1-EXP(-LN(2)/25))/(LN(2)/25)*Calculateur!AQ81*Calculateur!AS81*VLOOKUP('Données projet'!$B$10,Paramètres!$A$1:$I$89,3,0)*0.475*44/12</f>
        <v>27.016434125808662</v>
      </c>
      <c r="AW81" s="21">
        <f>EXP(-LN(2)/2)*AW80+(1-EXP(-LN(2)/2))/(LN(2)/2)*AQ81*AT81*VLOOKUP('Données projet'!$B$10,Paramètres!$A$1:$I$89,3,0)*0.475*44/12</f>
        <v>1.3969823649213748</v>
      </c>
      <c r="AX81" s="21">
        <f t="shared" si="60"/>
        <v>45.352281085078303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3.6</v>
      </c>
      <c r="BD81" s="12">
        <f>IF('Données projet'!$A$88&gt;35,BD80+BC81-BL80,IF(A81&lt;'Données projet'!$A$88,$BA$205^A81,IF(A81='Données projet'!$A$88,'Données projet'!$B$88,BD80+BC81-BL80)))</f>
        <v>322.79999999999995</v>
      </c>
      <c r="BE81" s="13">
        <f>BD81*VLOOKUP('Données projet'!$B$11,Paramètres!$A$1:$I$89,3,0)*VLOOKUP('Données projet'!$B$11,Paramètres!$A$1:$I$89,5,0)</f>
        <v>281.99808000000002</v>
      </c>
      <c r="BF81" s="13">
        <f t="shared" si="91"/>
        <v>67.389085719488818</v>
      </c>
      <c r="BG81" s="20">
        <f t="shared" si="61"/>
        <v>608.51598029477634</v>
      </c>
      <c r="BH81" s="59">
        <f t="shared" si="62"/>
        <v>901.84931362810971</v>
      </c>
      <c r="BI81" s="59">
        <f ca="1">AVERAGE(OFFSET($BH$3,0,0,'Données projet'!$E$11+1,1))-AVERAGE(OFFSET($H$3,0,0,'Données projet'!$E$11+1,1))</f>
        <v>384.34044781465661</v>
      </c>
      <c r="BJ81" s="59">
        <f t="shared" si="92"/>
        <v>374.99493809709708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15.451483620086513</v>
      </c>
      <c r="BQ81" s="21">
        <f>EXP(-LN(2)/25)*BQ80+(1-EXP(-LN(2)/25))/(LN(2)/25)*Calculateur!BL81*Calculateur!BN81*VLOOKUP('Données projet'!$B$11,Paramètres!$A$1:$I$89,3,0)*0.475*44/12</f>
        <v>15.109878217112097</v>
      </c>
      <c r="BR81" s="21">
        <f>EXP(-LN(2)/2)*BR80+(1-EXP(-LN(2)/2))/(LN(2)/2)*BL81*BO81*VLOOKUP('Données projet'!$B$11,Paramètres!$A$1:$I$89,3,0)*0.475*44/12</f>
        <v>1.0783735758840707</v>
      </c>
      <c r="BS81" s="22">
        <f t="shared" si="63"/>
        <v>31.639735413082683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8.0188888888888883</v>
      </c>
      <c r="BY81" s="12">
        <f>IF('Données projet'!$A$114&gt;35,BY80+BX81-CG80,IF(A81&lt;'Données projet'!$A$114,$BV$205^A81,IF(A81='Données projet'!$A$114,'Données projet'!$B$114,BY80+BX81-CG80)))</f>
        <v>235.65666666666695</v>
      </c>
      <c r="BZ81" s="13">
        <f>BY81*VLOOKUP('Données projet'!$B$12,Paramètres!$A$1:$I$89,3,0)*VLOOKUP('Données projet'!$B$12,Paramètres!$A$1:$I$89,5,0)</f>
        <v>224.25088400000027</v>
      </c>
      <c r="CA81" s="13">
        <f t="shared" si="93"/>
        <v>55.03776276713721</v>
      </c>
      <c r="CB81" s="20">
        <f t="shared" si="64"/>
        <v>486.42772645276438</v>
      </c>
      <c r="CC81" s="59">
        <f t="shared" si="65"/>
        <v>779.76105978609769</v>
      </c>
      <c r="CD81" s="59">
        <f ca="1">AVERAGE(OFFSET($CC$3,0,0,'Données projet'!$E$12+1,1))-AVERAGE(OFFSET($H$3,0,0,'Données projet'!$E$12+1,1))</f>
        <v>513.14430745499283</v>
      </c>
      <c r="CE81" s="59">
        <f t="shared" si="94"/>
        <v>324.2490378019823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17.815012763021453</v>
      </c>
      <c r="CL81" s="21">
        <f>EXP(-LN(2)/25)*CL80+(1-EXP(-LN(2)/25))/(LN(2)/25)*Calculateur!CG81*Calculateur!CI81*VLOOKUP('Données projet'!$B$12,Paramètres!$A$1:$I$89,3,0)*0.475*44/12</f>
        <v>28.413835890936696</v>
      </c>
      <c r="CM81" s="21">
        <f>EXP(-LN(2)/2)*CM80+(1-EXP(-LN(2)/2))/(LN(2)/2)*CG81*CJ81*VLOOKUP('Données projet'!$B$12,Paramètres!$A$1:$I$89,3,0)*0.475*44/12</f>
        <v>1.4692400734517903</v>
      </c>
      <c r="CN81" s="22">
        <f t="shared" si="66"/>
        <v>47.698088727409946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-1.1368683772161603E-13</v>
      </c>
      <c r="CU81" s="17">
        <f>CT81*VLOOKUP('Données projet'!$B$13,Paramètres!$A$1:$I$89,3,0)*VLOOKUP('Données projet'!$B$13,Paramètres!$A$1:$I$89,5,0)</f>
        <v>-8.8675733422860506E-14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197.51452239559433</v>
      </c>
      <c r="CZ81" s="59">
        <f t="shared" si="96"/>
        <v>196.65166921588821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23.063318847240868</v>
      </c>
      <c r="DG81" s="21">
        <f>EXP(-LN(2)/25)*DG80+(1-EXP(-LN(2)/25))/(LN(2)/25)*Calculateur!DB81*Calculateur!DD81*VLOOKUP('Données projet'!$B$13,Paramètres!$A$1:$I$89,3,0)*0.475*44/12</f>
        <v>21.14491937538077</v>
      </c>
      <c r="DH81" s="21">
        <f>EXP(-LN(2)/2)*DH80+(1-EXP(-LN(2)/2))/(LN(2)/2)*DB81*DE81*VLOOKUP('Données projet'!$B$13,Paramètres!$A$1:$I$89,3,0)*0.475*44/12</f>
        <v>1.7211937062881979</v>
      </c>
      <c r="DI81" s="22">
        <f t="shared" si="69"/>
        <v>45.929431928909835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2.0512820512820582</v>
      </c>
      <c r="DO81" s="12">
        <f>IF('Données projet'!$A$166&gt;35,DO80+DN81-DW80,IF(A81&lt;'Données projet'!$A$166,$DL$205^A81,IF(A81='Données projet'!$A$166,'Données projet'!$B$166,DO80+DN81-DW80)))</f>
        <v>129.23076923076917</v>
      </c>
      <c r="DP81" s="17">
        <f>DO81*VLOOKUP('Données projet'!$B$14,Paramètres!$A$1:$I$89,3,0)*VLOOKUP('Données projet'!$B$14,Paramètres!$A$1:$I$89,5,0)</f>
        <v>135.07199999999995</v>
      </c>
      <c r="DQ81" s="13">
        <f t="shared" si="97"/>
        <v>35.165726241361632</v>
      </c>
      <c r="DR81" s="20">
        <f t="shared" si="70"/>
        <v>296.49737320370468</v>
      </c>
      <c r="DS81" s="59">
        <f t="shared" si="71"/>
        <v>589.83070653703794</v>
      </c>
      <c r="DT81" s="59">
        <f ca="1">AVERAGE(OFFSET($DS$3,0,0,'Données projet'!$E$14+1,1))-AVERAGE(OFFSET($H$3,0,0,'Données projet'!$E$14+1,1))</f>
        <v>239.26156489359892</v>
      </c>
      <c r="DU81" s="59">
        <f t="shared" si="98"/>
        <v>213.97034450798111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1.1099804219779912</v>
      </c>
      <c r="EB81" s="21">
        <f>EXP(-LN(2)/25)*EB80+(1-EXP(-LN(2)/25))/(LN(2)/25)*Calculateur!DW81*Calculateur!DY81*VLOOKUP('Données projet'!$B$14,Paramètres!$A$1:$I$89,3,0)*0.475*44/12</f>
        <v>15.197999558673425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16.307979980651417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6.7444444444444462</v>
      </c>
      <c r="EJ81" s="12">
        <f>IF('Données projet'!$A$192&gt;35,EJ80+EI81-ER80,IF(A81&lt;'Données projet'!$A$192,$EG$205^A81,IF(A81='Données projet'!$A$192,'Données projet'!$B$192,EJ80+EI81-ER80)))</f>
        <v>175.31444444444446</v>
      </c>
      <c r="EK81" s="17">
        <f>EJ81*VLOOKUP('Données projet'!$B$15,Paramètres!$A$1:$I$89,3,0)*VLOOKUP('Données projet'!$B$15,Paramètres!$A$1:$I$89,5,0)</f>
        <v>175.03394133333336</v>
      </c>
      <c r="EL81" s="13">
        <f t="shared" si="99"/>
        <v>44.21553706318808</v>
      </c>
      <c r="EM81" s="20">
        <f t="shared" si="73"/>
        <v>381.85950820727481</v>
      </c>
      <c r="EN81" s="59">
        <f t="shared" si="74"/>
        <v>675.19284154060813</v>
      </c>
      <c r="EO81" s="59">
        <f ca="1">AVERAGE(OFFSET($EN$3,0,0,'Données projet'!$E$15+1,1))-AVERAGE(OFFSET($H$3,0,0,'Données projet'!$E$15+1,1))</f>
        <v>525.74725170626471</v>
      </c>
      <c r="EP81" s="59">
        <f t="shared" si="100"/>
        <v>259.19103598192197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41.659061000927558</v>
      </c>
      <c r="EX81" s="21">
        <f>EXP(-LN(2)/2)*EX80+(1-EXP(-LN(2)/2))/(LN(2)/2)*ER81*EU81*VLOOKUP('Données projet'!$B$15,Paramètres!$A$1:$I$89,3,0)*0.475*44/12</f>
        <v>4.901217415282856</v>
      </c>
      <c r="EY81" s="22">
        <f t="shared" si="75"/>
        <v>46.560278416210416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6.7444444444444462</v>
      </c>
      <c r="N82" s="13">
        <f>IF('Données projet'!$A$36&gt;35,N81+M82-V81,IF(A82&lt;'Données projet'!$A$36,$K$205^A82,IF(A82='Données projet'!$A$36,'Données projet'!$B$36,N81+M82-V81)))</f>
        <v>182.0588888888889</v>
      </c>
      <c r="O82" s="13">
        <f>N82*VLOOKUP('Données projet'!$B$9,Paramètres!$A$1:$I$89,3,0)*VLOOKUP('Données projet'!$B$9,Paramètres!$A$1:$I$89,5,0)</f>
        <v>184.60771333333335</v>
      </c>
      <c r="P82" s="13">
        <f t="shared" si="87"/>
        <v>46.345804577336679</v>
      </c>
      <c r="Q82" s="20">
        <f t="shared" si="54"/>
        <v>402.24404369441692</v>
      </c>
      <c r="R82" s="59">
        <f t="shared" si="55"/>
        <v>695.57737702775023</v>
      </c>
      <c r="S82" s="59">
        <f ca="1">AVERAGE(OFFSET($R$3,0,0,'Données projet'!$E$9+1,1))-AVERAGE(OFFSET($H$3,0,0,'Données projet'!$E$9+1,1))</f>
        <v>533.26035274112917</v>
      </c>
      <c r="T82" s="59">
        <f t="shared" si="88"/>
        <v>262.58149402282521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41.153015096275865</v>
      </c>
      <c r="AB82" s="21">
        <f>EXP(-LN(2)/2)*AB81+(1-EXP(-LN(2)/2))/(LN(2)/2)*V82*Y82*VLOOKUP('Données projet'!$B$9,Paramètres!$A$1:$I$89,3,0)*0.475*44/12</f>
        <v>3.5198353840163619</v>
      </c>
      <c r="AC82" s="22">
        <f t="shared" si="57"/>
        <v>44.672850480292226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8.0188888888888883</v>
      </c>
      <c r="AI82" s="13">
        <f>IF('Données projet'!$A$62&gt;35,AI81+AH82-AQ81,IF(A82&lt;'Données projet'!$A$62,$AF$205^A82,IF(A82='Données projet'!$A$62,'Données projet'!$B$62,AI81+AH82-AQ81)))</f>
        <v>243.67555555555583</v>
      </c>
      <c r="AJ82" s="13">
        <f>AI82*VLOOKUP('Données projet'!$B$10,Paramètres!$A$1:$I$89,3,0)*VLOOKUP('Données projet'!$B$10,Paramètres!$A$1:$I$89,5,0)</f>
        <v>220.4776426666669</v>
      </c>
      <c r="AK82" s="13">
        <f t="shared" si="89"/>
        <v>54.21868588718452</v>
      </c>
      <c r="AL82" s="20">
        <f t="shared" si="58"/>
        <v>478.42943889795788</v>
      </c>
      <c r="AM82" s="59">
        <f t="shared" si="59"/>
        <v>771.76277223129114</v>
      </c>
      <c r="AN82" s="59">
        <f ca="1">AVERAGE(OFFSET($AM$3,0,0,'Données projet'!$E$10+1,1))-AVERAGE(OFFSET($H$3,0,0,'Données projet'!$E$10+1,1))</f>
        <v>482.62991869403385</v>
      </c>
      <c r="AO82" s="59">
        <f t="shared" si="90"/>
        <v>310.43914804089906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16.606703791340326</v>
      </c>
      <c r="AV82" s="21">
        <f>EXP(-LN(2)/25)*AV81+(1-EXP(-LN(2)/25))/(LN(2)/25)*Calculateur!AQ82*Calculateur!AS82*VLOOKUP('Données projet'!$B$10,Paramètres!$A$1:$I$89,3,0)*0.475*44/12</f>
        <v>26.277668313905899</v>
      </c>
      <c r="AW82" s="21">
        <f>EXP(-LN(2)/2)*AW81+(1-EXP(-LN(2)/2))/(LN(2)/2)*AQ82*AT82*VLOOKUP('Données projet'!$B$10,Paramètres!$A$1:$I$89,3,0)*0.475*44/12</f>
        <v>0.98781570343392433</v>
      </c>
      <c r="AX82" s="21">
        <f t="shared" si="60"/>
        <v>43.872187808680152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3.6</v>
      </c>
      <c r="BD82" s="12">
        <f>IF('Données projet'!$A$88&gt;35,BD81+BC82-BL81,IF(A82&lt;'Données projet'!$A$88,$BA$205^A82,IF(A82='Données projet'!$A$88,'Données projet'!$B$88,BD81+BC82-BL81)))</f>
        <v>326.39999999999998</v>
      </c>
      <c r="BE82" s="13">
        <f>BD82*VLOOKUP('Données projet'!$B$11,Paramètres!$A$1:$I$89,3,0)*VLOOKUP('Données projet'!$B$11,Paramètres!$A$1:$I$89,5,0)</f>
        <v>285.14303999999998</v>
      </c>
      <c r="BF82" s="13">
        <f t="shared" si="91"/>
        <v>68.052727058079924</v>
      </c>
      <c r="BG82" s="20">
        <f t="shared" si="61"/>
        <v>615.14929429282256</v>
      </c>
      <c r="BH82" s="59">
        <f t="shared" si="62"/>
        <v>908.48262762615582</v>
      </c>
      <c r="BI82" s="59">
        <f ca="1">AVERAGE(OFFSET($BH$3,0,0,'Données projet'!$E$11+1,1))-AVERAGE(OFFSET($H$3,0,0,'Données projet'!$E$11+1,1))</f>
        <v>384.34044781465661</v>
      </c>
      <c r="BJ82" s="59">
        <f t="shared" si="92"/>
        <v>374.99493809709708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15.148489450771036</v>
      </c>
      <c r="BQ82" s="21">
        <f>EXP(-LN(2)/25)*BQ81+(1-EXP(-LN(2)/25))/(LN(2)/25)*Calculateur!BL82*Calculateur!BN82*VLOOKUP('Données projet'!$B$11,Paramètres!$A$1:$I$89,3,0)*0.475*44/12</f>
        <v>14.696697802671206</v>
      </c>
      <c r="BR82" s="21">
        <f>EXP(-LN(2)/2)*BR81+(1-EXP(-LN(2)/2))/(LN(2)/2)*BL82*BO82*VLOOKUP('Données projet'!$B$11,Paramètres!$A$1:$I$89,3,0)*0.475*44/12</f>
        <v>0.76252526816001243</v>
      </c>
      <c r="BS82" s="22">
        <f t="shared" si="63"/>
        <v>30.607712521602252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8.0188888888888883</v>
      </c>
      <c r="BY82" s="12">
        <f>IF('Données projet'!$A$114&gt;35,BY81+BX82-CG81,IF(A82&lt;'Données projet'!$A$114,$BV$205^A82,IF(A82='Données projet'!$A$114,'Données projet'!$B$114,BY81+BX82-CG81)))</f>
        <v>243.67555555555583</v>
      </c>
      <c r="BZ82" s="13">
        <f>BY82*VLOOKUP('Données projet'!$B$12,Paramètres!$A$1:$I$89,3,0)*VLOOKUP('Données projet'!$B$12,Paramètres!$A$1:$I$89,5,0)</f>
        <v>231.88165866666694</v>
      </c>
      <c r="CA82" s="13">
        <f t="shared" si="93"/>
        <v>56.689346993059026</v>
      </c>
      <c r="CB82" s="20">
        <f t="shared" si="64"/>
        <v>502.59450152402275</v>
      </c>
      <c r="CC82" s="59">
        <f t="shared" si="65"/>
        <v>795.92783485735606</v>
      </c>
      <c r="CD82" s="59">
        <f ca="1">AVERAGE(OFFSET($CC$3,0,0,'Données projet'!$E$12+1,1))-AVERAGE(OFFSET($H$3,0,0,'Données projet'!$E$12+1,1))</f>
        <v>513.14430745499283</v>
      </c>
      <c r="CE82" s="59">
        <f t="shared" si="94"/>
        <v>324.2490378019823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17.465671228823453</v>
      </c>
      <c r="CL82" s="21">
        <f>EXP(-LN(2)/25)*CL81+(1-EXP(-LN(2)/25))/(LN(2)/25)*Calculateur!CG82*Calculateur!CI82*VLOOKUP('Données projet'!$B$12,Paramètres!$A$1:$I$89,3,0)*0.475*44/12</f>
        <v>27.636858054280342</v>
      </c>
      <c r="CM82" s="21">
        <f>EXP(-LN(2)/2)*CM81+(1-EXP(-LN(2)/2))/(LN(2)/2)*CG82*CJ82*VLOOKUP('Données projet'!$B$12,Paramètres!$A$1:$I$89,3,0)*0.475*44/12</f>
        <v>1.0389096191287821</v>
      </c>
      <c r="CN82" s="22">
        <f t="shared" si="66"/>
        <v>46.141438902232572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-1.1368683772161603E-13</v>
      </c>
      <c r="CU82" s="17">
        <f>CT82*VLOOKUP('Données projet'!$B$13,Paramètres!$A$1:$I$89,3,0)*VLOOKUP('Données projet'!$B$13,Paramètres!$A$1:$I$89,5,0)</f>
        <v>-8.8675733422860506E-14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197.51452239559433</v>
      </c>
      <c r="CZ82" s="59">
        <f t="shared" si="96"/>
        <v>196.65166921588821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22.611061231881948</v>
      </c>
      <c r="DG82" s="21">
        <f>EXP(-LN(2)/25)*DG81+(1-EXP(-LN(2)/25))/(LN(2)/25)*Calculateur!DB82*Calculateur!DD82*VLOOKUP('Données projet'!$B$13,Paramètres!$A$1:$I$89,3,0)*0.475*44/12</f>
        <v>20.566710443098</v>
      </c>
      <c r="DH82" s="21">
        <f>EXP(-LN(2)/2)*DH81+(1-EXP(-LN(2)/2))/(LN(2)/2)*DB82*DE82*VLOOKUP('Données projet'!$B$13,Paramètres!$A$1:$I$89,3,0)*0.475*44/12</f>
        <v>1.2170677414519915</v>
      </c>
      <c r="DI82" s="22">
        <f t="shared" si="69"/>
        <v>44.394839416431942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2.0512820512820582</v>
      </c>
      <c r="DO82" s="12">
        <f>IF('Données projet'!$A$166&gt;35,DO81+DN82-DW81,IF(A82&lt;'Données projet'!$A$166,$DL$205^A82,IF(A82='Données projet'!$A$166,'Données projet'!$B$166,DO81+DN82-DW81)))</f>
        <v>131.28205128205121</v>
      </c>
      <c r="DP82" s="17">
        <f>DO82*VLOOKUP('Données projet'!$B$14,Paramètres!$A$1:$I$89,3,0)*VLOOKUP('Données projet'!$B$14,Paramètres!$A$1:$I$89,5,0)</f>
        <v>137.21599999999995</v>
      </c>
      <c r="DQ82" s="13">
        <f t="shared" si="97"/>
        <v>35.658486540437423</v>
      </c>
      <c r="DR82" s="20">
        <f t="shared" si="70"/>
        <v>301.08973072459509</v>
      </c>
      <c r="DS82" s="59">
        <f t="shared" si="71"/>
        <v>594.4230640579284</v>
      </c>
      <c r="DT82" s="59">
        <f ca="1">AVERAGE(OFFSET($DS$3,0,0,'Données projet'!$E$14+1,1))-AVERAGE(OFFSET($H$3,0,0,'Données projet'!$E$14+1,1))</f>
        <v>239.26156489359892</v>
      </c>
      <c r="DU82" s="59">
        <f t="shared" si="98"/>
        <v>213.97034450798111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1.0882143829242099</v>
      </c>
      <c r="EB82" s="21">
        <f>EXP(-LN(2)/25)*EB81+(1-EXP(-LN(2)/25))/(LN(2)/25)*Calculateur!DW82*Calculateur!DY82*VLOOKUP('Données projet'!$B$14,Paramètres!$A$1:$I$89,3,0)*0.475*44/12</f>
        <v>14.782409461513438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15.870623844437649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6.7444444444444462</v>
      </c>
      <c r="EJ82" s="12">
        <f>IF('Données projet'!$A$192&gt;35,EJ81+EI82-ER81,IF(A82&lt;'Données projet'!$A$192,$EG$205^A82,IF(A82='Données projet'!$A$192,'Données projet'!$B$192,EJ81+EI82-ER81)))</f>
        <v>182.0588888888889</v>
      </c>
      <c r="EK82" s="17">
        <f>EJ82*VLOOKUP('Données projet'!$B$15,Paramètres!$A$1:$I$89,3,0)*VLOOKUP('Données projet'!$B$15,Paramètres!$A$1:$I$89,5,0)</f>
        <v>181.7675946666667</v>
      </c>
      <c r="EL82" s="13">
        <f t="shared" si="99"/>
        <v>45.715219475711415</v>
      </c>
      <c r="EM82" s="20">
        <f t="shared" si="73"/>
        <v>396.19923463130857</v>
      </c>
      <c r="EN82" s="59">
        <f t="shared" si="74"/>
        <v>689.53256796464188</v>
      </c>
      <c r="EO82" s="59">
        <f ca="1">AVERAGE(OFFSET($EN$3,0,0,'Données projet'!$E$15+1,1))-AVERAGE(OFFSET($H$3,0,0,'Données projet'!$E$15+1,1))</f>
        <v>525.74725170626471</v>
      </c>
      <c r="EP82" s="59">
        <f t="shared" si="100"/>
        <v>259.19103598192197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40.519891787102388</v>
      </c>
      <c r="EX82" s="21">
        <f>EXP(-LN(2)/2)*EX81+(1-EXP(-LN(2)/2))/(LN(2)/2)*ER82*EU82*VLOOKUP('Données projet'!$B$15,Paramètres!$A$1:$I$89,3,0)*0.475*44/12</f>
        <v>3.4656840704161107</v>
      </c>
      <c r="EY82" s="22">
        <f t="shared" si="75"/>
        <v>43.985575857518498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6.7444444444444462</v>
      </c>
      <c r="N83" s="13">
        <f>IF('Données projet'!$A$36&gt;35,N82+M83-V82,IF(A83&lt;'Données projet'!$A$36,$K$205^A83,IF(A83='Données projet'!$A$36,'Données projet'!$B$36,N82+M83-V82)))</f>
        <v>188.80333333333334</v>
      </c>
      <c r="O83" s="13">
        <f>N83*VLOOKUP('Données projet'!$B$9,Paramètres!$A$1:$I$89,3,0)*VLOOKUP('Données projet'!$B$9,Paramètres!$A$1:$I$89,5,0)</f>
        <v>191.44658000000004</v>
      </c>
      <c r="P83" s="13">
        <f t="shared" si="87"/>
        <v>47.859629835500797</v>
      </c>
      <c r="Q83" s="20">
        <f t="shared" si="54"/>
        <v>416.79164879683066</v>
      </c>
      <c r="R83" s="59">
        <f t="shared" si="55"/>
        <v>710.12498213016397</v>
      </c>
      <c r="S83" s="59">
        <f ca="1">AVERAGE(OFFSET($R$3,0,0,'Données projet'!$E$9+1,1))-AVERAGE(OFFSET($H$3,0,0,'Données projet'!$E$9+1,1))</f>
        <v>533.26035274112917</v>
      </c>
      <c r="T83" s="59">
        <f t="shared" si="88"/>
        <v>262.58149402282521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40.027683734325194</v>
      </c>
      <c r="AB83" s="21">
        <f>EXP(-LN(2)/2)*AB82+(1-EXP(-LN(2)/2))/(LN(2)/2)*V83*Y83*VLOOKUP('Données projet'!$B$9,Paramètres!$A$1:$I$89,3,0)*0.475*44/12</f>
        <v>2.4888994686983255</v>
      </c>
      <c r="AC83" s="22">
        <f t="shared" si="57"/>
        <v>42.516583203023522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8.0188888888888883</v>
      </c>
      <c r="AI83" s="13">
        <f>IF('Données projet'!$A$62&gt;35,AI82+AH83-AQ82,IF(A83&lt;'Données projet'!$A$62,$AF$205^A83,IF(A83='Données projet'!$A$62,'Données projet'!$B$62,AI82+AH83-AQ82)))</f>
        <v>251.69444444444471</v>
      </c>
      <c r="AJ83" s="13">
        <f>AI83*VLOOKUP('Données projet'!$B$10,Paramètres!$A$1:$I$89,3,0)*VLOOKUP('Données projet'!$B$10,Paramètres!$A$1:$I$89,5,0)</f>
        <v>227.73313333333357</v>
      </c>
      <c r="AK83" s="13">
        <f t="shared" si="89"/>
        <v>55.792249764284776</v>
      </c>
      <c r="AL83" s="20">
        <f t="shared" si="58"/>
        <v>493.80670889501863</v>
      </c>
      <c r="AM83" s="59">
        <f t="shared" si="59"/>
        <v>787.14004222835194</v>
      </c>
      <c r="AN83" s="59">
        <f ca="1">AVERAGE(OFFSET($AM$3,0,0,'Données projet'!$E$10+1,1))-AVERAGE(OFFSET($H$3,0,0,'Données projet'!$E$10+1,1))</f>
        <v>482.62991869403385</v>
      </c>
      <c r="AO83" s="59">
        <f t="shared" si="90"/>
        <v>310.43914804089906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16.281056459081292</v>
      </c>
      <c r="AV83" s="21">
        <f>EXP(-LN(2)/25)*AV82+(1-EXP(-LN(2)/25))/(LN(2)/25)*Calculateur!AQ83*Calculateur!AS83*VLOOKUP('Données projet'!$B$10,Paramètres!$A$1:$I$89,3,0)*0.475*44/12</f>
        <v>25.559104091979624</v>
      </c>
      <c r="AW83" s="21">
        <f>EXP(-LN(2)/2)*AW82+(1-EXP(-LN(2)/2))/(LN(2)/2)*AQ83*AT83*VLOOKUP('Données projet'!$B$10,Paramètres!$A$1:$I$89,3,0)*0.475*44/12</f>
        <v>0.69849118246068753</v>
      </c>
      <c r="AX83" s="21">
        <f t="shared" si="60"/>
        <v>42.538651733521604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330</v>
      </c>
      <c r="BB83" s="12">
        <f>VLOOKUP(A83,'Données projet'!$A$87:$I$107,9,0)</f>
        <v>3.6</v>
      </c>
      <c r="BC83" s="12">
        <f t="array" ref="BC83">INDEX(BB:BB,MIN(IF(ISNUMBER(BB83:BB279),ROW(BB83:BB279),"")))</f>
        <v>3.6</v>
      </c>
      <c r="BD83" s="12">
        <f>IF('Données projet'!$A$88&gt;35,BD82+BC83-BL82,IF(A83&lt;'Données projet'!$A$88,$BA$205^A83,IF(A83='Données projet'!$A$88,'Données projet'!$B$88,BD82+BC83-BL82)))</f>
        <v>330</v>
      </c>
      <c r="BE83" s="13">
        <f>BD83*VLOOKUP('Données projet'!$B$11,Paramètres!$A$1:$I$89,3,0)*VLOOKUP('Données projet'!$B$11,Paramètres!$A$1:$I$89,5,0)</f>
        <v>288.28800000000001</v>
      </c>
      <c r="BF83" s="13">
        <f t="shared" si="91"/>
        <v>68.715516926722444</v>
      </c>
      <c r="BG83" s="20">
        <f t="shared" si="61"/>
        <v>621.78112531404156</v>
      </c>
      <c r="BH83" s="59">
        <f t="shared" si="62"/>
        <v>915.11445864737493</v>
      </c>
      <c r="BI83" s="59">
        <f ca="1">AVERAGE(OFFSET($BH$3,0,0,'Données projet'!$E$11+1,1))-AVERAGE(OFFSET($H$3,0,0,'Données projet'!$E$11+1,1))</f>
        <v>384.34044781465661</v>
      </c>
      <c r="BJ83" s="59">
        <f t="shared" si="92"/>
        <v>374.99493809709708</v>
      </c>
      <c r="BK83" s="15">
        <f>IF(ISNA(VLOOKUP(A83,'Données projet'!$A$87:$I$107,3,0)),0,VLOOKUP(A83,'Données projet'!$A$87:$I$107,3,0))</f>
        <v>14</v>
      </c>
      <c r="BL83" s="21">
        <f>IF(ISNA(VLOOKUP(A83,'Données projet'!$A$87:$I$107,4,0)),0,VLOOKUP(A83,'Données projet'!$A$87:$I$107,4,0))</f>
        <v>330</v>
      </c>
      <c r="BM83" s="16">
        <f>IF(ISNA(VLOOKUP(A83,'Données projet'!$A$87:$I$107,5,0)),0%,VLOOKUP(A83,'Données projet'!$A$87:$I$107,5,0)*VLOOKUP('Données projet'!$B$11,Paramètres!$A$1:$I$89,7,0))</f>
        <v>0.13250000000000001</v>
      </c>
      <c r="BN83" s="16">
        <f>IF(ISNA(VLOOKUP(A83,'Données projet'!$A$87:$I$107,6,0)),0%,VLOOKUP(A83,'Données projet'!$A$87:$I$107,6,0)*VLOOKUP('Données projet'!$B$11,Paramètres!$A$1:$I$89,7,0))</f>
        <v>0.13250000000000001</v>
      </c>
      <c r="BO83" s="16">
        <f>IF(ISNA(VLOOKUP(A83,'Données projet'!$A$87:$I$107,7,0)),0%,VLOOKUP(A83,'Données projet'!$A$87:$I$107,7,0))</f>
        <v>0.25</v>
      </c>
      <c r="BP83" s="21">
        <f>EXP(-LN(2)/35)*BP82+(1-EXP(-LN(2)/35))/(LN(2)/35)*BL83*BM83*VLOOKUP('Données projet'!$B$11,Paramètres!$A$1:$I$89,3,0)*0.475*44/12</f>
        <v>57.078371244968004</v>
      </c>
      <c r="BQ83" s="21">
        <f>EXP(-LN(2)/25)*BQ82+(1-EXP(-LN(2)/25))/(LN(2)/25)*Calculateur!BL83*Calculateur!BN83*VLOOKUP('Données projet'!$B$11,Paramètres!$A$1:$I$89,3,0)*0.475*44/12</f>
        <v>56.35548673046695</v>
      </c>
      <c r="BR83" s="21">
        <f>EXP(-LN(2)/2)*BR82+(1-EXP(-LN(2)/2))/(LN(2)/2)*BL83*BO83*VLOOKUP('Données projet'!$B$11,Paramètres!$A$1:$I$89,3,0)*0.475*44/12</f>
        <v>68.541058577381563</v>
      </c>
      <c r="BS83" s="22">
        <f t="shared" si="63"/>
        <v>181.97491655281652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8.0188888888888883</v>
      </c>
      <c r="BY83" s="12">
        <f>IF('Données projet'!$A$114&gt;35,BY82+BX83-CG82,IF(A83&lt;'Données projet'!$A$114,$BV$205^A83,IF(A83='Données projet'!$A$114,'Données projet'!$B$114,BY82+BX83-CG82)))</f>
        <v>251.69444444444471</v>
      </c>
      <c r="BZ83" s="13">
        <f>BY83*VLOOKUP('Données projet'!$B$12,Paramètres!$A$1:$I$89,3,0)*VLOOKUP('Données projet'!$B$12,Paramètres!$A$1:$I$89,5,0)</f>
        <v>239.51243333333358</v>
      </c>
      <c r="CA83" s="13">
        <f t="shared" si="93"/>
        <v>58.33461572624617</v>
      </c>
      <c r="CB83" s="20">
        <f t="shared" si="64"/>
        <v>518.75027711210123</v>
      </c>
      <c r="CC83" s="59">
        <f t="shared" si="65"/>
        <v>812.08361044543449</v>
      </c>
      <c r="CD83" s="59">
        <f ca="1">AVERAGE(OFFSET($CC$3,0,0,'Données projet'!$E$12+1,1))-AVERAGE(OFFSET($H$3,0,0,'Données projet'!$E$12+1,1))</f>
        <v>513.14430745499283</v>
      </c>
      <c r="CE83" s="59">
        <f t="shared" si="94"/>
        <v>324.2490378019823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17.123180069033779</v>
      </c>
      <c r="CL83" s="21">
        <f>EXP(-LN(2)/25)*CL82+(1-EXP(-LN(2)/25))/(LN(2)/25)*Calculateur!CG83*Calculateur!CI83*VLOOKUP('Données projet'!$B$12,Paramètres!$A$1:$I$89,3,0)*0.475*44/12</f>
        <v>26.881126717426845</v>
      </c>
      <c r="CM83" s="21">
        <f>EXP(-LN(2)/2)*CM82+(1-EXP(-LN(2)/2))/(LN(2)/2)*CG83*CJ83*VLOOKUP('Données projet'!$B$12,Paramètres!$A$1:$I$89,3,0)*0.475*44/12</f>
        <v>0.73462003672589515</v>
      </c>
      <c r="CN83" s="22">
        <f t="shared" si="66"/>
        <v>44.738926823186517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-1.1368683772161603E-13</v>
      </c>
      <c r="CU83" s="17">
        <f>CT83*VLOOKUP('Données projet'!$B$13,Paramètres!$A$1:$I$89,3,0)*VLOOKUP('Données projet'!$B$13,Paramètres!$A$1:$I$89,5,0)</f>
        <v>-8.8675733422860506E-14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197.51452239559433</v>
      </c>
      <c r="CZ83" s="59">
        <f t="shared" si="96"/>
        <v>196.65166921588821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22.167672112510306</v>
      </c>
      <c r="DG83" s="21">
        <f>EXP(-LN(2)/25)*DG82+(1-EXP(-LN(2)/25))/(LN(2)/25)*Calculateur!DB83*Calculateur!DD83*VLOOKUP('Données projet'!$B$13,Paramètres!$A$1:$I$89,3,0)*0.475*44/12</f>
        <v>20.00431266447519</v>
      </c>
      <c r="DH83" s="21">
        <f>EXP(-LN(2)/2)*DH82+(1-EXP(-LN(2)/2))/(LN(2)/2)*DB83*DE83*VLOOKUP('Données projet'!$B$13,Paramètres!$A$1:$I$89,3,0)*0.475*44/12</f>
        <v>0.86059685314409895</v>
      </c>
      <c r="DI83" s="22">
        <f t="shared" si="69"/>
        <v>43.032581630129599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133.33333333333334</v>
      </c>
      <c r="DM83" s="12">
        <f>VLOOKUP(A83,'Données projet'!$A$165:$I$185,9,0)</f>
        <v>2.0512820512820582</v>
      </c>
      <c r="DN83" s="12">
        <f t="array" ref="DN83">INDEX(DM:DM,MIN(IF(ISNUMBER(DM83:DM279),ROW(DM83:DM279),"")))</f>
        <v>2.0512820512820582</v>
      </c>
      <c r="DO83" s="12">
        <f>IF('Données projet'!$A$166&gt;35,DO82+DN83-DW82,IF(A83&lt;'Données projet'!$A$166,$DL$205^A83,IF(A83='Données projet'!$A$166,'Données projet'!$B$166,DO82+DN83-DW82)))</f>
        <v>133.33333333333326</v>
      </c>
      <c r="DP83" s="17">
        <f>DO83*VLOOKUP('Données projet'!$B$14,Paramètres!$A$1:$I$89,3,0)*VLOOKUP('Données projet'!$B$14,Paramètres!$A$1:$I$89,5,0)</f>
        <v>139.35999999999993</v>
      </c>
      <c r="DQ83" s="13">
        <f t="shared" si="97"/>
        <v>36.150351407691339</v>
      </c>
      <c r="DR83" s="20">
        <f t="shared" si="70"/>
        <v>305.68052870172897</v>
      </c>
      <c r="DS83" s="59">
        <f t="shared" si="71"/>
        <v>599.01386203506229</v>
      </c>
      <c r="DT83" s="59">
        <f ca="1">AVERAGE(OFFSET($DS$3,0,0,'Données projet'!$E$14+1,1))-AVERAGE(OFFSET($H$3,0,0,'Données projet'!$E$14+1,1))</f>
        <v>239.26156489359892</v>
      </c>
      <c r="DU83" s="59">
        <f t="shared" si="98"/>
        <v>213.97034450798111</v>
      </c>
      <c r="DV83" s="15">
        <f>IF(ISNA(VLOOKUP(A83,'Données projet'!$A$165:$I$185,3,0)),0,VLOOKUP(A83,'Données projet'!$A$165:$I$185,3,0))</f>
        <v>13</v>
      </c>
      <c r="DW83" s="15">
        <f>IF(ISNA(VLOOKUP(A83,'Données projet'!$A$165:$I$185,4,0)),0,VLOOKUP(A83,'Données projet'!$A$165:$I$185,4,0))</f>
        <v>7.0512820512820511</v>
      </c>
      <c r="DX83" s="16">
        <f>IF(ISNA(VLOOKUP(A83,'Données projet'!$A$165:$I$185,5,0)),0%,VLOOKUP(A83,'Données projet'!$A$165:$I$185,5,0)*VLOOKUP('Données projet'!$B$14,Paramètres!$A$1:$I$89,7,0))</f>
        <v>4.3000000000000003E-2</v>
      </c>
      <c r="DY83" s="16">
        <f>IF(ISNA(VLOOKUP(A83,'Données projet'!$A$165:$I$185,6,0)),0%,VLOOKUP(A83,'Données projet'!$A$165:$I$185,6,0)*VLOOKUP('Données projet'!$B$14,Paramètres!$A$1:$I$89,7,0))</f>
        <v>0.215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1.4172097805980877</v>
      </c>
      <c r="EB83" s="21">
        <f>EXP(-LN(2)/25)*EB82+(1-EXP(-LN(2)/25))/(LN(2)/25)*Calculateur!DW83*Calculateur!DY83*VLOOKUP('Données projet'!$B$14,Paramètres!$A$1:$I$89,3,0)*0.475*44/12</f>
        <v>16.122959782909497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17.540169563507586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6.7444444444444462</v>
      </c>
      <c r="EJ83" s="12">
        <f>IF('Données projet'!$A$192&gt;35,EJ82+EI83-ER82,IF(A83&lt;'Données projet'!$A$192,$EG$205^A83,IF(A83='Données projet'!$A$192,'Données projet'!$B$192,EJ82+EI83-ER82)))</f>
        <v>188.80333333333334</v>
      </c>
      <c r="EK83" s="17">
        <f>EJ83*VLOOKUP('Données projet'!$B$15,Paramètres!$A$1:$I$89,3,0)*VLOOKUP('Données projet'!$B$15,Paramètres!$A$1:$I$89,5,0)</f>
        <v>188.50124800000003</v>
      </c>
      <c r="EL83" s="13">
        <f t="shared" si="99"/>
        <v>47.208447493996552</v>
      </c>
      <c r="EM83" s="20">
        <f t="shared" si="73"/>
        <v>410.52771965204397</v>
      </c>
      <c r="EN83" s="59">
        <f t="shared" si="74"/>
        <v>703.86105298537723</v>
      </c>
      <c r="EO83" s="59">
        <f ca="1">AVERAGE(OFFSET($EN$3,0,0,'Données projet'!$E$15+1,1))-AVERAGE(OFFSET($H$3,0,0,'Données projet'!$E$15+1,1))</f>
        <v>525.74725170626471</v>
      </c>
      <c r="EP83" s="59">
        <f t="shared" si="100"/>
        <v>259.19103598192197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39.411873215335575</v>
      </c>
      <c r="EX83" s="21">
        <f>EXP(-LN(2)/2)*EX82+(1-EXP(-LN(2)/2))/(LN(2)/2)*ER83*EU83*VLOOKUP('Données projet'!$B$15,Paramètres!$A$1:$I$89,3,0)*0.475*44/12</f>
        <v>2.4506087076414285</v>
      </c>
      <c r="EY83" s="22">
        <f t="shared" si="75"/>
        <v>41.862481922977004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6.7444444444444462</v>
      </c>
      <c r="N84" s="13">
        <f>IF('Données projet'!$A$36&gt;35,N83+M84-V83,IF(A84&lt;'Données projet'!$A$36,$K$205^A84,IF(A84='Données projet'!$A$36,'Données projet'!$B$36,N83+M84-V83)))</f>
        <v>195.54777777777778</v>
      </c>
      <c r="O84" s="13">
        <f>N84*VLOOKUP('Données projet'!$B$9,Paramètres!$A$1:$I$89,3,0)*VLOOKUP('Données projet'!$B$9,Paramètres!$A$1:$I$89,5,0)</f>
        <v>198.28544666666667</v>
      </c>
      <c r="P84" s="13">
        <f t="shared" si="87"/>
        <v>49.367172192409612</v>
      </c>
      <c r="Q84" s="20">
        <f t="shared" si="54"/>
        <v>431.32831117955783</v>
      </c>
      <c r="R84" s="59">
        <f t="shared" si="55"/>
        <v>724.66164451289114</v>
      </c>
      <c r="S84" s="59">
        <f ca="1">AVERAGE(OFFSET($R$3,0,0,'Données projet'!$E$9+1,1))-AVERAGE(OFFSET($H$3,0,0,'Données projet'!$E$9+1,1))</f>
        <v>533.26035274112917</v>
      </c>
      <c r="T84" s="59">
        <f t="shared" si="88"/>
        <v>262.58149402282521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38.933124617645667</v>
      </c>
      <c r="AB84" s="21">
        <f>EXP(-LN(2)/2)*AB83+(1-EXP(-LN(2)/2))/(LN(2)/2)*V84*Y84*VLOOKUP('Données projet'!$B$9,Paramètres!$A$1:$I$89,3,0)*0.475*44/12</f>
        <v>1.7599176920081814</v>
      </c>
      <c r="AC84" s="22">
        <f t="shared" si="57"/>
        <v>40.693042309653848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8.0188888888888883</v>
      </c>
      <c r="AI84" s="13">
        <f>IF('Données projet'!$A$62&gt;35,AI83+AH84-AQ83,IF(A84&lt;'Données projet'!$A$62,$AF$205^A84,IF(A84='Données projet'!$A$62,'Données projet'!$B$62,AI83+AH84-AQ83)))</f>
        <v>259.71333333333359</v>
      </c>
      <c r="AJ84" s="13">
        <f>AI84*VLOOKUP('Données projet'!$B$10,Paramètres!$A$1:$I$89,3,0)*VLOOKUP('Données projet'!$B$10,Paramètres!$A$1:$I$89,5,0)</f>
        <v>234.98862400000024</v>
      </c>
      <c r="AK84" s="13">
        <f t="shared" si="89"/>
        <v>57.359987909148515</v>
      </c>
      <c r="AL84" s="20">
        <f t="shared" si="58"/>
        <v>509.17383240843407</v>
      </c>
      <c r="AM84" s="59">
        <f t="shared" si="59"/>
        <v>802.50716574176738</v>
      </c>
      <c r="AN84" s="59">
        <f ca="1">AVERAGE(OFFSET($AM$3,0,0,'Données projet'!$E$10+1,1))-AVERAGE(OFFSET($H$3,0,0,'Données projet'!$E$10+1,1))</f>
        <v>482.62991869403385</v>
      </c>
      <c r="AO84" s="59">
        <f t="shared" si="90"/>
        <v>310.43914804089906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15.961794872382596</v>
      </c>
      <c r="AV84" s="21">
        <f>EXP(-LN(2)/25)*AV83+(1-EXP(-LN(2)/25))/(LN(2)/25)*Calculateur!AQ84*Calculateur!AS84*VLOOKUP('Données projet'!$B$10,Paramètres!$A$1:$I$89,3,0)*0.475*44/12</f>
        <v>24.860189046489573</v>
      </c>
      <c r="AW84" s="21">
        <f>EXP(-LN(2)/2)*AW83+(1-EXP(-LN(2)/2))/(LN(2)/2)*AQ84*AT84*VLOOKUP('Données projet'!$B$10,Paramètres!$A$1:$I$89,3,0)*0.475*44/12</f>
        <v>0.49390785171696228</v>
      </c>
      <c r="AX84" s="21">
        <f t="shared" si="60"/>
        <v>41.315891770589133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384.34044781465661</v>
      </c>
      <c r="BJ84" s="59">
        <f t="shared" si="92"/>
        <v>374.99493809709708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55.959099199223004</v>
      </c>
      <c r="BQ84" s="21">
        <f>EXP(-LN(2)/25)*BQ83+(1-EXP(-LN(2)/25))/(LN(2)/25)*Calculateur!BL84*Calculateur!BN84*VLOOKUP('Données projet'!$B$11,Paramètres!$A$1:$I$89,3,0)*0.475*44/12</f>
        <v>54.814442982216086</v>
      </c>
      <c r="BR84" s="21">
        <f>EXP(-LN(2)/2)*BR83+(1-EXP(-LN(2)/2))/(LN(2)/2)*BL84*BO84*VLOOKUP('Données projet'!$B$11,Paramètres!$A$1:$I$89,3,0)*0.475*44/12</f>
        <v>48.465847309770886</v>
      </c>
      <c r="BS84" s="22">
        <f t="shared" si="63"/>
        <v>159.23938949120998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8.0188888888888883</v>
      </c>
      <c r="BY84" s="12">
        <f>IF('Données projet'!$A$114&gt;35,BY83+BX84-CG83,IF(A84&lt;'Données projet'!$A$114,$BV$205^A84,IF(A84='Données projet'!$A$114,'Données projet'!$B$114,BY83+BX84-CG83)))</f>
        <v>259.71333333333359</v>
      </c>
      <c r="BZ84" s="13">
        <f>BY84*VLOOKUP('Données projet'!$B$12,Paramètres!$A$1:$I$89,3,0)*VLOOKUP('Données projet'!$B$12,Paramètres!$A$1:$I$89,5,0)</f>
        <v>247.14320800000024</v>
      </c>
      <c r="CA84" s="13">
        <f t="shared" si="93"/>
        <v>59.973793257648587</v>
      </c>
      <c r="CB84" s="20">
        <f t="shared" si="64"/>
        <v>534.89544385707177</v>
      </c>
      <c r="CC84" s="59">
        <f t="shared" si="65"/>
        <v>828.22877719040503</v>
      </c>
      <c r="CD84" s="59">
        <f ca="1">AVERAGE(OFFSET($CC$3,0,0,'Données projet'!$E$12+1,1))-AVERAGE(OFFSET($H$3,0,0,'Données projet'!$E$12+1,1))</f>
        <v>513.14430745499283</v>
      </c>
      <c r="CE84" s="59">
        <f t="shared" si="94"/>
        <v>324.2490378019823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16.787404951988599</v>
      </c>
      <c r="CL84" s="21">
        <f>EXP(-LN(2)/25)*CL83+(1-EXP(-LN(2)/25))/(LN(2)/25)*Calculateur!CG84*Calculateur!CI84*VLOOKUP('Données projet'!$B$12,Paramètres!$A$1:$I$89,3,0)*0.475*44/12</f>
        <v>26.146060893721792</v>
      </c>
      <c r="CM84" s="21">
        <f>EXP(-LN(2)/2)*CM83+(1-EXP(-LN(2)/2))/(LN(2)/2)*CG84*CJ84*VLOOKUP('Données projet'!$B$12,Paramètres!$A$1:$I$89,3,0)*0.475*44/12</f>
        <v>0.51945480956439105</v>
      </c>
      <c r="CN84" s="22">
        <f t="shared" si="66"/>
        <v>43.452920655274781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-1.1368683772161603E-13</v>
      </c>
      <c r="CU84" s="17">
        <f>CT84*VLOOKUP('Données projet'!$B$13,Paramètres!$A$1:$I$89,3,0)*VLOOKUP('Données projet'!$B$13,Paramètres!$A$1:$I$89,5,0)</f>
        <v>-8.8675733422860506E-14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197.51452239559433</v>
      </c>
      <c r="CZ84" s="59">
        <f t="shared" si="96"/>
        <v>196.65166921588821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21.732977583328886</v>
      </c>
      <c r="DG84" s="21">
        <f>EXP(-LN(2)/25)*DG83+(1-EXP(-LN(2)/25))/(LN(2)/25)*Calculateur!DB84*Calculateur!DD84*VLOOKUP('Données projet'!$B$13,Paramètres!$A$1:$I$89,3,0)*0.475*44/12</f>
        <v>19.457293682684032</v>
      </c>
      <c r="DH84" s="21">
        <f>EXP(-LN(2)/2)*DH83+(1-EXP(-LN(2)/2))/(LN(2)/2)*DB84*DE84*VLOOKUP('Données projet'!$B$13,Paramètres!$A$1:$I$89,3,0)*0.475*44/12</f>
        <v>0.60853387072599574</v>
      </c>
      <c r="DI84" s="22">
        <f t="shared" si="69"/>
        <v>41.798805136738906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1.7948717948717898</v>
      </c>
      <c r="DO84" s="12">
        <f>IF('Données projet'!$A$166&gt;35,DO83+DN84-DW83,IF(A84&lt;'Données projet'!$A$166,$DL$205^A84,IF(A84='Données projet'!$A$166,'Données projet'!$B$166,DO83+DN84-DW83)))</f>
        <v>128.07692307692301</v>
      </c>
      <c r="DP84" s="17">
        <f>DO84*VLOOKUP('Données projet'!$B$14,Paramètres!$A$1:$I$89,3,0)*VLOOKUP('Données projet'!$B$14,Paramètres!$A$1:$I$89,5,0)</f>
        <v>133.86599999999993</v>
      </c>
      <c r="DQ84" s="13">
        <f t="shared" si="97"/>
        <v>34.888149132612561</v>
      </c>
      <c r="DR84" s="20">
        <f t="shared" si="70"/>
        <v>293.91347640596678</v>
      </c>
      <c r="DS84" s="59">
        <f t="shared" si="71"/>
        <v>587.24680973930003</v>
      </c>
      <c r="DT84" s="59">
        <f ca="1">AVERAGE(OFFSET($DS$3,0,0,'Données projet'!$E$14+1,1))-AVERAGE(OFFSET($H$3,0,0,'Données projet'!$E$14+1,1))</f>
        <v>239.26156489359892</v>
      </c>
      <c r="DU84" s="59">
        <f t="shared" si="98"/>
        <v>213.97034450798111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1.3894191612131717</v>
      </c>
      <c r="EB84" s="21">
        <f>EXP(-LN(2)/25)*EB83+(1-EXP(-LN(2)/25))/(LN(2)/25)*Calculateur!DW84*Calculateur!DY84*VLOOKUP('Données projet'!$B$14,Paramètres!$A$1:$I$89,3,0)*0.475*44/12</f>
        <v>15.682076599776231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17.071495760989404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6.7444444444444462</v>
      </c>
      <c r="EJ84" s="12">
        <f>IF('Données projet'!$A$192&gt;35,EJ83+EI84-ER83,IF(A84&lt;'Données projet'!$A$192,$EG$205^A84,IF(A84='Données projet'!$A$192,'Données projet'!$B$192,EJ83+EI84-ER83)))</f>
        <v>195.54777777777778</v>
      </c>
      <c r="EK84" s="17">
        <f>EJ84*VLOOKUP('Données projet'!$B$15,Paramètres!$A$1:$I$89,3,0)*VLOOKUP('Données projet'!$B$15,Paramètres!$A$1:$I$89,5,0)</f>
        <v>195.23490133333334</v>
      </c>
      <c r="EL84" s="13">
        <f t="shared" si="99"/>
        <v>48.695478096734661</v>
      </c>
      <c r="EM84" s="20">
        <f t="shared" si="73"/>
        <v>424.84541084070173</v>
      </c>
      <c r="EN84" s="59">
        <f t="shared" si="74"/>
        <v>718.17874417403505</v>
      </c>
      <c r="EO84" s="59">
        <f ca="1">AVERAGE(OFFSET($EN$3,0,0,'Données projet'!$E$15+1,1))-AVERAGE(OFFSET($H$3,0,0,'Données projet'!$E$15+1,1))</f>
        <v>525.74725170626471</v>
      </c>
      <c r="EP84" s="59">
        <f t="shared" si="100"/>
        <v>259.19103598192197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38.334153469681887</v>
      </c>
      <c r="EX84" s="21">
        <f>EXP(-LN(2)/2)*EX83+(1-EXP(-LN(2)/2))/(LN(2)/2)*ER84*EU84*VLOOKUP('Données projet'!$B$15,Paramètres!$A$1:$I$89,3,0)*0.475*44/12</f>
        <v>1.7328420352080558</v>
      </c>
      <c r="EY84" s="22">
        <f t="shared" si="75"/>
        <v>40.066995504889945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6.7444444444444462</v>
      </c>
      <c r="N85" s="13">
        <f>IF('Données projet'!$A$36&gt;35,N84+M85-V84,IF(A85&lt;'Données projet'!$A$36,$K$205^A85,IF(A85='Données projet'!$A$36,'Données projet'!$B$36,N84+M85-V84)))</f>
        <v>202.29222222222222</v>
      </c>
      <c r="O85" s="13">
        <f>N85*VLOOKUP('Données projet'!$B$9,Paramètres!$A$1:$I$89,3,0)*VLOOKUP('Données projet'!$B$9,Paramètres!$A$1:$I$89,5,0)</f>
        <v>205.12431333333336</v>
      </c>
      <c r="P85" s="13">
        <f t="shared" si="87"/>
        <v>50.868673181302917</v>
      </c>
      <c r="Q85" s="20">
        <f t="shared" si="54"/>
        <v>445.85445151299149</v>
      </c>
      <c r="R85" s="59">
        <f t="shared" si="55"/>
        <v>739.1877848463248</v>
      </c>
      <c r="S85" s="59">
        <f ca="1">AVERAGE(OFFSET($R$3,0,0,'Données projet'!$E$9+1,1))-AVERAGE(OFFSET($H$3,0,0,'Données projet'!$E$9+1,1))</f>
        <v>533.26035274112917</v>
      </c>
      <c r="T85" s="59">
        <f t="shared" si="88"/>
        <v>262.58149402282521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37.868496277572106</v>
      </c>
      <c r="AB85" s="21">
        <f>EXP(-LN(2)/2)*AB84+(1-EXP(-LN(2)/2))/(LN(2)/2)*V85*Y85*VLOOKUP('Données projet'!$B$9,Paramètres!$A$1:$I$89,3,0)*0.475*44/12</f>
        <v>1.244449734349163</v>
      </c>
      <c r="AC85" s="22">
        <f t="shared" si="57"/>
        <v>39.112946011921267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8.0188888888888883</v>
      </c>
      <c r="AI85" s="13">
        <f>IF('Données projet'!$A$62&gt;35,AI84+AH85-AQ84,IF(A85&lt;'Données projet'!$A$62,$AF$205^A85,IF(A85='Données projet'!$A$62,'Données projet'!$B$62,AI84+AH85-AQ84)))</f>
        <v>267.7322222222225</v>
      </c>
      <c r="AJ85" s="13">
        <f>AI85*VLOOKUP('Données projet'!$B$10,Paramètres!$A$1:$I$89,3,0)*VLOOKUP('Données projet'!$B$10,Paramètres!$A$1:$I$89,5,0)</f>
        <v>242.24411466666692</v>
      </c>
      <c r="AK85" s="13">
        <f t="shared" si="89"/>
        <v>58.922100838280507</v>
      </c>
      <c r="AL85" s="20">
        <f t="shared" si="58"/>
        <v>524.53115867111683</v>
      </c>
      <c r="AM85" s="59">
        <f t="shared" si="59"/>
        <v>817.86449200445009</v>
      </c>
      <c r="AN85" s="59">
        <f ca="1">AVERAGE(OFFSET($AM$3,0,0,'Données projet'!$E$10+1,1))-AVERAGE(OFFSET($H$3,0,0,'Données projet'!$E$10+1,1))</f>
        <v>482.62991869403385</v>
      </c>
      <c r="AO85" s="59">
        <f t="shared" si="90"/>
        <v>310.43914804089906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15.648793810668721</v>
      </c>
      <c r="AV85" s="21">
        <f>EXP(-LN(2)/25)*AV84+(1-EXP(-LN(2)/25))/(LN(2)/25)*Calculateur!AQ85*Calculateur!AS85*VLOOKUP('Données projet'!$B$10,Paramètres!$A$1:$I$89,3,0)*0.475*44/12</f>
        <v>24.180385869672794</v>
      </c>
      <c r="AW85" s="21">
        <f>EXP(-LN(2)/2)*AW84+(1-EXP(-LN(2)/2))/(LN(2)/2)*AQ85*AT85*VLOOKUP('Données projet'!$B$10,Paramètres!$A$1:$I$89,3,0)*0.475*44/12</f>
        <v>0.34924559123034382</v>
      </c>
      <c r="AX85" s="21">
        <f t="shared" si="60"/>
        <v>40.178425271571854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384.34044781465661</v>
      </c>
      <c r="BJ85" s="59">
        <f t="shared" si="92"/>
        <v>374.99493809709708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54.861775395606529</v>
      </c>
      <c r="BQ85" s="21">
        <f>EXP(-LN(2)/25)*BQ84+(1-EXP(-LN(2)/25))/(LN(2)/25)*Calculateur!BL85*Calculateur!BN85*VLOOKUP('Données projet'!$B$11,Paramètres!$A$1:$I$89,3,0)*0.475*44/12</f>
        <v>53.315539156301114</v>
      </c>
      <c r="BR85" s="21">
        <f>EXP(-LN(2)/2)*BR84+(1-EXP(-LN(2)/2))/(LN(2)/2)*BL85*BO85*VLOOKUP('Données projet'!$B$11,Paramètres!$A$1:$I$89,3,0)*0.475*44/12</f>
        <v>34.270529288690788</v>
      </c>
      <c r="BS85" s="22">
        <f t="shared" si="63"/>
        <v>142.44784384059844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8.0188888888888883</v>
      </c>
      <c r="BY85" s="12">
        <f>IF('Données projet'!$A$114&gt;35,BY84+BX85-CG84,IF(A85&lt;'Données projet'!$A$114,$BV$205^A85,IF(A85='Données projet'!$A$114,'Données projet'!$B$114,BY84+BX85-CG84)))</f>
        <v>267.7322222222225</v>
      </c>
      <c r="BZ85" s="13">
        <f>BY85*VLOOKUP('Données projet'!$B$12,Paramètres!$A$1:$I$89,3,0)*VLOOKUP('Données projet'!$B$12,Paramètres!$A$1:$I$89,5,0)</f>
        <v>254.77398266666691</v>
      </c>
      <c r="CA85" s="13">
        <f t="shared" si="93"/>
        <v>61.607089240995826</v>
      </c>
      <c r="CB85" s="20">
        <f t="shared" si="64"/>
        <v>551.03036690584588</v>
      </c>
      <c r="CC85" s="59">
        <f t="shared" si="65"/>
        <v>844.36370023917925</v>
      </c>
      <c r="CD85" s="59">
        <f ca="1">AVERAGE(OFFSET($CC$3,0,0,'Données projet'!$E$12+1,1))-AVERAGE(OFFSET($H$3,0,0,'Données projet'!$E$12+1,1))</f>
        <v>513.14430745499283</v>
      </c>
      <c r="CE85" s="59">
        <f t="shared" si="94"/>
        <v>324.2490378019823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16.458214180186076</v>
      </c>
      <c r="CL85" s="21">
        <f>EXP(-LN(2)/25)*CL84+(1-EXP(-LN(2)/25))/(LN(2)/25)*Calculateur!CG85*Calculateur!CI85*VLOOKUP('Données projet'!$B$12,Paramètres!$A$1:$I$89,3,0)*0.475*44/12</f>
        <v>25.431095483621384</v>
      </c>
      <c r="CM85" s="21">
        <f>EXP(-LN(2)/2)*CM84+(1-EXP(-LN(2)/2))/(LN(2)/2)*CG85*CJ85*VLOOKUP('Données projet'!$B$12,Paramètres!$A$1:$I$89,3,0)*0.475*44/12</f>
        <v>0.36731001836294758</v>
      </c>
      <c r="CN85" s="22">
        <f t="shared" si="66"/>
        <v>42.25661968217041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-1.1368683772161603E-13</v>
      </c>
      <c r="CU85" s="17">
        <f>CT85*VLOOKUP('Données projet'!$B$13,Paramètres!$A$1:$I$89,3,0)*VLOOKUP('Données projet'!$B$13,Paramètres!$A$1:$I$89,5,0)</f>
        <v>-8.8675733422860506E-14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197.51452239559433</v>
      </c>
      <c r="CZ85" s="59">
        <f t="shared" si="96"/>
        <v>196.65166921588821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21.306807148727231</v>
      </c>
      <c r="DG85" s="21">
        <f>EXP(-LN(2)/25)*DG84+(1-EXP(-LN(2)/25))/(LN(2)/25)*Calculateur!DB85*Calculateur!DD85*VLOOKUP('Données projet'!$B$13,Paramètres!$A$1:$I$89,3,0)*0.475*44/12</f>
        <v>18.925232963716432</v>
      </c>
      <c r="DH85" s="21">
        <f>EXP(-LN(2)/2)*DH84+(1-EXP(-LN(2)/2))/(LN(2)/2)*DB85*DE85*VLOOKUP('Données projet'!$B$13,Paramètres!$A$1:$I$89,3,0)*0.475*44/12</f>
        <v>0.43029842657204947</v>
      </c>
      <c r="DI85" s="22">
        <f t="shared" si="69"/>
        <v>40.662338539015714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1.7948717948717898</v>
      </c>
      <c r="DO85" s="12">
        <f>IF('Données projet'!$A$166&gt;35,DO84+DN85-DW84,IF(A85&lt;'Données projet'!$A$166,$DL$205^A85,IF(A85='Données projet'!$A$166,'Données projet'!$B$166,DO84+DN85-DW84)))</f>
        <v>129.8717948717948</v>
      </c>
      <c r="DP85" s="17">
        <f>DO85*VLOOKUP('Données projet'!$B$14,Paramètres!$A$1:$I$89,3,0)*VLOOKUP('Données projet'!$B$14,Paramètres!$A$1:$I$89,5,0)</f>
        <v>135.74199999999996</v>
      </c>
      <c r="DQ85" s="13">
        <f t="shared" si="97"/>
        <v>35.319810973036205</v>
      </c>
      <c r="DR85" s="20">
        <f t="shared" si="70"/>
        <v>297.93265411137128</v>
      </c>
      <c r="DS85" s="59">
        <f t="shared" si="71"/>
        <v>591.26598744470459</v>
      </c>
      <c r="DT85" s="59">
        <f ca="1">AVERAGE(OFFSET($DS$3,0,0,'Données projet'!$E$14+1,1))-AVERAGE(OFFSET($H$3,0,0,'Données projet'!$E$14+1,1))</f>
        <v>239.26156489359892</v>
      </c>
      <c r="DU85" s="59">
        <f t="shared" si="98"/>
        <v>213.97034450798111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1.3621734989237897</v>
      </c>
      <c r="EB85" s="21">
        <f>EXP(-LN(2)/25)*EB84+(1-EXP(-LN(2)/25))/(LN(2)/25)*Calculateur!DW85*Calculateur!DY85*VLOOKUP('Données projet'!$B$14,Paramètres!$A$1:$I$89,3,0)*0.475*44/12</f>
        <v>15.253249390470783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16.615422889394573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6.7444444444444462</v>
      </c>
      <c r="EJ85" s="12">
        <f>IF('Données projet'!$A$192&gt;35,EJ84+EI85-ER84,IF(A85&lt;'Données projet'!$A$192,$EG$205^A85,IF(A85='Données projet'!$A$192,'Données projet'!$B$192,EJ84+EI85-ER84)))</f>
        <v>202.29222222222222</v>
      </c>
      <c r="EK85" s="17">
        <f>EJ85*VLOOKUP('Données projet'!$B$15,Paramètres!$A$1:$I$89,3,0)*VLOOKUP('Données projet'!$B$15,Paramètres!$A$1:$I$89,5,0)</f>
        <v>201.96855466666668</v>
      </c>
      <c r="EL85" s="13">
        <f t="shared" si="99"/>
        <v>50.176549530842827</v>
      </c>
      <c r="EM85" s="20">
        <f t="shared" si="73"/>
        <v>439.15272314399567</v>
      </c>
      <c r="EN85" s="59">
        <f t="shared" si="74"/>
        <v>732.48605647732893</v>
      </c>
      <c r="EO85" s="59">
        <f ca="1">AVERAGE(OFFSET($EN$3,0,0,'Données projet'!$E$15+1,1))-AVERAGE(OFFSET($H$3,0,0,'Données projet'!$E$15+1,1))</f>
        <v>525.74725170626471</v>
      </c>
      <c r="EP85" s="59">
        <f t="shared" si="100"/>
        <v>259.19103598192197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37.285904027147922</v>
      </c>
      <c r="EX85" s="21">
        <f>EXP(-LN(2)/2)*EX84+(1-EXP(-LN(2)/2))/(LN(2)/2)*ER85*EU85*VLOOKUP('Données projet'!$B$15,Paramètres!$A$1:$I$89,3,0)*0.475*44/12</f>
        <v>1.2253043538207145</v>
      </c>
      <c r="EY85" s="22">
        <f t="shared" si="75"/>
        <v>38.51120838096864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6.7444444444444462</v>
      </c>
      <c r="N86" s="13">
        <f>IF('Données projet'!$A$36&gt;35,N85+M86-V85,IF(A86&lt;'Données projet'!$A$36,$K$205^A86,IF(A86='Données projet'!$A$36,'Données projet'!$B$36,N85+M86-V85)))</f>
        <v>209.03666666666666</v>
      </c>
      <c r="O86" s="13">
        <f>N86*VLOOKUP('Données projet'!$B$9,Paramètres!$A$1:$I$89,3,0)*VLOOKUP('Données projet'!$B$9,Paramètres!$A$1:$I$89,5,0)</f>
        <v>211.96317999999999</v>
      </c>
      <c r="P86" s="13">
        <f t="shared" si="87"/>
        <v>52.364357316031814</v>
      </c>
      <c r="Q86" s="20">
        <f t="shared" si="54"/>
        <v>460.37046082542201</v>
      </c>
      <c r="R86" s="59">
        <f t="shared" si="55"/>
        <v>753.70379415875527</v>
      </c>
      <c r="S86" s="59">
        <f ca="1">AVERAGE(OFFSET($R$3,0,0,'Données projet'!$E$9+1,1))-AVERAGE(OFFSET($H$3,0,0,'Données projet'!$E$9+1,1))</f>
        <v>533.26035274112917</v>
      </c>
      <c r="T86" s="59">
        <f t="shared" si="88"/>
        <v>262.58149402282521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36.832980255444227</v>
      </c>
      <c r="AB86" s="21">
        <f>EXP(-LN(2)/2)*AB85+(1-EXP(-LN(2)/2))/(LN(2)/2)*V86*Y86*VLOOKUP('Données projet'!$B$9,Paramètres!$A$1:$I$89,3,0)*0.475*44/12</f>
        <v>0.8799588460040908</v>
      </c>
      <c r="AC86" s="22">
        <f t="shared" si="57"/>
        <v>37.71293910144832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8.0188888888888883</v>
      </c>
      <c r="AI86" s="13">
        <f>IF('Données projet'!$A$62&gt;35,AI85+AH86-AQ85,IF(A86&lt;'Données projet'!$A$62,$AF$205^A86,IF(A86='Données projet'!$A$62,'Données projet'!$B$62,AI85+AH86-AQ85)))</f>
        <v>275.75111111111141</v>
      </c>
      <c r="AJ86" s="13">
        <f>AI86*VLOOKUP('Données projet'!$B$10,Paramètres!$A$1:$I$89,3,0)*VLOOKUP('Données projet'!$B$10,Paramètres!$A$1:$I$89,5,0)</f>
        <v>249.49960533333362</v>
      </c>
      <c r="AK86" s="13">
        <f t="shared" si="89"/>
        <v>60.478776374100285</v>
      </c>
      <c r="AL86" s="20">
        <f t="shared" si="58"/>
        <v>539.879014807114</v>
      </c>
      <c r="AM86" s="59">
        <f t="shared" si="59"/>
        <v>833.21234814044738</v>
      </c>
      <c r="AN86" s="59">
        <f ca="1">AVERAGE(OFFSET($AM$3,0,0,'Données projet'!$E$10+1,1))-AVERAGE(OFFSET($H$3,0,0,'Données projet'!$E$10+1,1))</f>
        <v>482.62991869403385</v>
      </c>
      <c r="AO86" s="59">
        <f t="shared" si="90"/>
        <v>310.43914804089906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15.341930508863259</v>
      </c>
      <c r="AV86" s="21">
        <f>EXP(-LN(2)/25)*AV85+(1-EXP(-LN(2)/25))/(LN(2)/25)*Calculateur!AQ86*Calculateur!AS86*VLOOKUP('Données projet'!$B$10,Paramètres!$A$1:$I$89,3,0)*0.475*44/12</f>
        <v>23.519171946475364</v>
      </c>
      <c r="AW86" s="21">
        <f>EXP(-LN(2)/2)*AW85+(1-EXP(-LN(2)/2))/(LN(2)/2)*AQ86*AT86*VLOOKUP('Données projet'!$B$10,Paramètres!$A$1:$I$89,3,0)*0.475*44/12</f>
        <v>0.24695392585848117</v>
      </c>
      <c r="AX86" s="21">
        <f t="shared" si="60"/>
        <v>39.108056381197109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384.34044781465661</v>
      </c>
      <c r="BJ86" s="59">
        <f t="shared" si="92"/>
        <v>374.99493809709708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53.785969442477537</v>
      </c>
      <c r="BQ86" s="21">
        <f>EXP(-LN(2)/25)*BQ85+(1-EXP(-LN(2)/25))/(LN(2)/25)*Calculateur!BL86*Calculateur!BN86*VLOOKUP('Données projet'!$B$11,Paramètres!$A$1:$I$89,3,0)*0.475*44/12</f>
        <v>51.857622934329711</v>
      </c>
      <c r="BR86" s="21">
        <f>EXP(-LN(2)/2)*BR85+(1-EXP(-LN(2)/2))/(LN(2)/2)*BL86*BO86*VLOOKUP('Données projet'!$B$11,Paramètres!$A$1:$I$89,3,0)*0.475*44/12</f>
        <v>24.232923654885447</v>
      </c>
      <c r="BS86" s="22">
        <f t="shared" si="63"/>
        <v>129.87651603169269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8.0188888888888883</v>
      </c>
      <c r="BY86" s="12">
        <f>IF('Données projet'!$A$114&gt;35,BY85+BX86-CG85,IF(A86&lt;'Données projet'!$A$114,$BV$205^A86,IF(A86='Données projet'!$A$114,'Données projet'!$B$114,BY85+BX86-CG85)))</f>
        <v>275.75111111111141</v>
      </c>
      <c r="BZ86" s="13">
        <f>BY86*VLOOKUP('Données projet'!$B$12,Paramètres!$A$1:$I$89,3,0)*VLOOKUP('Données projet'!$B$12,Paramètres!$A$1:$I$89,5,0)</f>
        <v>262.40475733333363</v>
      </c>
      <c r="CA86" s="13">
        <f t="shared" si="93"/>
        <v>63.234700057482961</v>
      </c>
      <c r="CB86" s="20">
        <f t="shared" si="64"/>
        <v>567.1553882890056</v>
      </c>
      <c r="CC86" s="59">
        <f t="shared" si="65"/>
        <v>860.48872162233897</v>
      </c>
      <c r="CD86" s="59">
        <f ca="1">AVERAGE(OFFSET($CC$3,0,0,'Données projet'!$E$12+1,1))-AVERAGE(OFFSET($H$3,0,0,'Données projet'!$E$12+1,1))</f>
        <v>513.14430745499283</v>
      </c>
      <c r="CE86" s="59">
        <f t="shared" si="94"/>
        <v>324.2490378019823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16.135478638632055</v>
      </c>
      <c r="CL86" s="21">
        <f>EXP(-LN(2)/25)*CL85+(1-EXP(-LN(2)/25))/(LN(2)/25)*Calculateur!CG86*Calculateur!CI86*VLOOKUP('Données projet'!$B$12,Paramètres!$A$1:$I$89,3,0)*0.475*44/12</f>
        <v>24.735680840258571</v>
      </c>
      <c r="CM86" s="21">
        <f>EXP(-LN(2)/2)*CM85+(1-EXP(-LN(2)/2))/(LN(2)/2)*CG86*CJ86*VLOOKUP('Données projet'!$B$12,Paramètres!$A$1:$I$89,3,0)*0.475*44/12</f>
        <v>0.25972740478219553</v>
      </c>
      <c r="CN86" s="22">
        <f t="shared" si="66"/>
        <v>41.130886883672822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-1.1368683772161603E-13</v>
      </c>
      <c r="CU86" s="17">
        <f>CT86*VLOOKUP('Données projet'!$B$13,Paramètres!$A$1:$I$89,3,0)*VLOOKUP('Données projet'!$B$13,Paramètres!$A$1:$I$89,5,0)</f>
        <v>-8.8675733422860506E-14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197.51452239559433</v>
      </c>
      <c r="CZ86" s="59">
        <f t="shared" si="96"/>
        <v>196.65166921588821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20.888993656409816</v>
      </c>
      <c r="DG86" s="21">
        <f>EXP(-LN(2)/25)*DG85+(1-EXP(-LN(2)/25))/(LN(2)/25)*Calculateur!DB86*Calculateur!DD86*VLOOKUP('Données projet'!$B$13,Paramètres!$A$1:$I$89,3,0)*0.475*44/12</f>
        <v>18.407721473088859</v>
      </c>
      <c r="DH86" s="21">
        <f>EXP(-LN(2)/2)*DH85+(1-EXP(-LN(2)/2))/(LN(2)/2)*DB86*DE86*VLOOKUP('Données projet'!$B$13,Paramètres!$A$1:$I$89,3,0)*0.475*44/12</f>
        <v>0.30426693536299787</v>
      </c>
      <c r="DI86" s="22">
        <f t="shared" si="69"/>
        <v>39.600982064861675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1.7948717948717898</v>
      </c>
      <c r="DO86" s="12">
        <f>IF('Données projet'!$A$166&gt;35,DO85+DN86-DW85,IF(A86&lt;'Données projet'!$A$166,$DL$205^A86,IF(A86='Données projet'!$A$166,'Données projet'!$B$166,DO85+DN86-DW85)))</f>
        <v>131.6666666666666</v>
      </c>
      <c r="DP86" s="17">
        <f>DO86*VLOOKUP('Données projet'!$B$14,Paramètres!$A$1:$I$89,3,0)*VLOOKUP('Données projet'!$B$14,Paramètres!$A$1:$I$89,5,0)</f>
        <v>137.61799999999994</v>
      </c>
      <c r="DQ86" s="13">
        <f t="shared" si="97"/>
        <v>35.750778939526811</v>
      </c>
      <c r="DR86" s="20">
        <f t="shared" si="70"/>
        <v>301.95062331967574</v>
      </c>
      <c r="DS86" s="59">
        <f t="shared" si="71"/>
        <v>595.283956653009</v>
      </c>
      <c r="DT86" s="59">
        <f ca="1">AVERAGE(OFFSET($DS$3,0,0,'Données projet'!$E$14+1,1))-AVERAGE(OFFSET($H$3,0,0,'Données projet'!$E$14+1,1))</f>
        <v>239.26156489359892</v>
      </c>
      <c r="DU86" s="59">
        <f t="shared" si="98"/>
        <v>213.97034450798111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1.3354621074536894</v>
      </c>
      <c r="EB86" s="21">
        <f>EXP(-LN(2)/25)*EB85+(1-EXP(-LN(2)/25))/(LN(2)/25)*Calculateur!DW86*Calculateur!DY86*VLOOKUP('Données projet'!$B$14,Paramètres!$A$1:$I$89,3,0)*0.475*44/12</f>
        <v>14.836148483754837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16.171610591208527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6.7444444444444462</v>
      </c>
      <c r="EJ86" s="12">
        <f>IF('Données projet'!$A$192&gt;35,EJ85+EI86-ER85,IF(A86&lt;'Données projet'!$A$192,$EG$205^A86,IF(A86='Données projet'!$A$192,'Données projet'!$B$192,EJ85+EI86-ER85)))</f>
        <v>209.03666666666666</v>
      </c>
      <c r="EK86" s="17">
        <f>EJ86*VLOOKUP('Données projet'!$B$15,Paramètres!$A$1:$I$89,3,0)*VLOOKUP('Données projet'!$B$15,Paramètres!$A$1:$I$89,5,0)</f>
        <v>208.70220800000001</v>
      </c>
      <c r="EL86" s="13">
        <f t="shared" si="99"/>
        <v>51.651883255417047</v>
      </c>
      <c r="EM86" s="20">
        <f t="shared" si="73"/>
        <v>453.45004226985139</v>
      </c>
      <c r="EN86" s="59">
        <f t="shared" si="74"/>
        <v>746.78337560318471</v>
      </c>
      <c r="EO86" s="59">
        <f ca="1">AVERAGE(OFFSET($EN$3,0,0,'Données projet'!$E$15+1,1))-AVERAGE(OFFSET($H$3,0,0,'Données projet'!$E$15+1,1))</f>
        <v>525.74725170626471</v>
      </c>
      <c r="EP86" s="59">
        <f t="shared" si="100"/>
        <v>259.19103598192197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36.266319020745087</v>
      </c>
      <c r="EX86" s="21">
        <f>EXP(-LN(2)/2)*EX85+(1-EXP(-LN(2)/2))/(LN(2)/2)*ER86*EU86*VLOOKUP('Données projet'!$B$15,Paramètres!$A$1:$I$89,3,0)*0.475*44/12</f>
        <v>0.86642101760402801</v>
      </c>
      <c r="EY86" s="22">
        <f t="shared" si="75"/>
        <v>37.132740038349112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6.7444444444444462</v>
      </c>
      <c r="N87" s="13">
        <f>IF('Données projet'!$A$36&gt;35,N86+M87-V86,IF(A87&lt;'Données projet'!$A$36,$K$205^A87,IF(A87='Données projet'!$A$36,'Données projet'!$B$36,N86+M87-V86)))</f>
        <v>215.7811111111111</v>
      </c>
      <c r="O87" s="13">
        <f>N87*VLOOKUP('Données projet'!$B$9,Paramètres!$A$1:$I$89,3,0)*VLOOKUP('Données projet'!$B$9,Paramètres!$A$1:$I$89,5,0)</f>
        <v>218.80204666666666</v>
      </c>
      <c r="P87" s="13">
        <f t="shared" si="87"/>
        <v>53.854433800339066</v>
      </c>
      <c r="Q87" s="20">
        <f t="shared" si="54"/>
        <v>474.87670348003502</v>
      </c>
      <c r="R87" s="59">
        <f t="shared" si="55"/>
        <v>768.21003681336833</v>
      </c>
      <c r="S87" s="59">
        <f ca="1">AVERAGE(OFFSET($R$3,0,0,'Données projet'!$E$9+1,1))-AVERAGE(OFFSET($H$3,0,0,'Données projet'!$E$9+1,1))</f>
        <v>533.26035274112917</v>
      </c>
      <c r="T87" s="59">
        <f t="shared" si="88"/>
        <v>262.58149402282521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35.825780473396854</v>
      </c>
      <c r="AB87" s="21">
        <f>EXP(-LN(2)/2)*AB86+(1-EXP(-LN(2)/2))/(LN(2)/2)*V87*Y87*VLOOKUP('Données projet'!$B$9,Paramètres!$A$1:$I$89,3,0)*0.475*44/12</f>
        <v>0.62222486717458159</v>
      </c>
      <c r="AC87" s="22">
        <f t="shared" si="57"/>
        <v>36.448005340571434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283.77</v>
      </c>
      <c r="AG87" s="12">
        <f>VLOOKUP(A87,'Données projet'!$A$61:$I$81,9,0)</f>
        <v>8.0188888888888883</v>
      </c>
      <c r="AH87" s="12">
        <f t="array" ref="AH87">INDEX(AG:AG,MIN(IF(ISNUMBER(AG87:AG283),ROW(AG87:AG283),"")))</f>
        <v>8.0188888888888883</v>
      </c>
      <c r="AI87" s="13">
        <f>IF('Données projet'!$A$62&gt;35,AI86+AH87-AQ86,IF(A87&lt;'Données projet'!$A$62,$AF$205^A87,IF(A87='Données projet'!$A$62,'Données projet'!$B$62,AI86+AH87-AQ86)))</f>
        <v>283.77000000000032</v>
      </c>
      <c r="AJ87" s="13">
        <f>AI87*VLOOKUP('Données projet'!$B$10,Paramètres!$A$1:$I$89,3,0)*VLOOKUP('Données projet'!$B$10,Paramètres!$A$1:$I$89,5,0)</f>
        <v>256.75509600000026</v>
      </c>
      <c r="AK87" s="13">
        <f t="shared" si="89"/>
        <v>62.030190794062349</v>
      </c>
      <c r="AL87" s="20">
        <f t="shared" si="58"/>
        <v>555.21770783299235</v>
      </c>
      <c r="AM87" s="59">
        <f t="shared" si="59"/>
        <v>848.5510411663256</v>
      </c>
      <c r="AN87" s="59">
        <f ca="1">AVERAGE(OFFSET($AM$3,0,0,'Données projet'!$E$10+1,1))-AVERAGE(OFFSET($H$3,0,0,'Données projet'!$E$10+1,1))</f>
        <v>482.62991869403385</v>
      </c>
      <c r="AO87" s="59">
        <f t="shared" si="90"/>
        <v>310.43914804089906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49.669999999999987</v>
      </c>
      <c r="AR87" s="16">
        <f>IF(ISNA(VLOOKUP(A87,'Données projet'!$A$61:$I$81,5,0)),0%,VLOOKUP(A87,'Données projet'!$A$61:$I$81,5,0)*VLOOKUP('Données projet'!$B$10,Paramètres!$A$1:$I$89,7,0))</f>
        <v>0.15049999999999999</v>
      </c>
      <c r="AS87" s="16">
        <f>IF(ISNA(VLOOKUP(A87,'Données projet'!$A$61:$I$81,6,0)),0%,VLOOKUP(A87,'Données projet'!$A$61:$I$81,6,0)*VLOOKUP('Données projet'!$B$10,Paramètres!$A$1:$I$89,7,0))</f>
        <v>8.6000000000000007E-2</v>
      </c>
      <c r="AT87" s="16">
        <f>IF(ISNA(VLOOKUP(A87,'Données projet'!$A$61:$I$81,7,0)),0%,VLOOKUP(A87,'Données projet'!$A$61:$I$81,7,0))</f>
        <v>0.1</v>
      </c>
      <c r="AU87" s="21">
        <f>EXP(-LN(2)/35)*AU86+(1-EXP(-LN(2)/35))/(LN(2)/35)*AQ87*AR87*VLOOKUP('Données projet'!$B$10,Paramètres!$A$1:$I$89,3,0)*0.475*44/12</f>
        <v>22.518135941679432</v>
      </c>
      <c r="AV87" s="21">
        <f>EXP(-LN(2)/25)*AV86+(1-EXP(-LN(2)/25))/(LN(2)/25)*Calculateur!AQ87*Calculateur!AS87*VLOOKUP('Données projet'!$B$10,Paramètres!$A$1:$I$89,3,0)*0.475*44/12</f>
        <v>27.131816856988426</v>
      </c>
      <c r="AW87" s="21">
        <f>EXP(-LN(2)/2)*AW86+(1-EXP(-LN(2)/2))/(LN(2)/2)*AQ87*AT87*VLOOKUP('Données projet'!$B$10,Paramètres!$A$1:$I$89,3,0)*0.475*44/12</f>
        <v>4.4149663532628933</v>
      </c>
      <c r="AX87" s="21">
        <f t="shared" si="60"/>
        <v>54.064919151930745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384.34044781465661</v>
      </c>
      <c r="BJ87" s="59">
        <f t="shared" si="92"/>
        <v>374.99493809709708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52.731259387912566</v>
      </c>
      <c r="BQ87" s="21">
        <f>EXP(-LN(2)/25)*BQ86+(1-EXP(-LN(2)/25))/(LN(2)/25)*Calculateur!BL87*Calculateur!BN87*VLOOKUP('Données projet'!$B$11,Paramètres!$A$1:$I$89,3,0)*0.475*44/12</f>
        <v>50.439573508116595</v>
      </c>
      <c r="BR87" s="21">
        <f>EXP(-LN(2)/2)*BR86+(1-EXP(-LN(2)/2))/(LN(2)/2)*BL87*BO87*VLOOKUP('Données projet'!$B$11,Paramètres!$A$1:$I$89,3,0)*0.475*44/12</f>
        <v>17.135264644345398</v>
      </c>
      <c r="BS87" s="22">
        <f t="shared" si="63"/>
        <v>120.30609754037457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283.77</v>
      </c>
      <c r="BW87" s="12">
        <f>VLOOKUP(A87,'Données projet'!$A$113:$I$133,9,0)</f>
        <v>8.0188888888888883</v>
      </c>
      <c r="BX87" s="12">
        <f t="array" ref="BX87">INDEX(BW:BW,MIN(IF(ISNUMBER(BW87:BW283),ROW(BW87:BW283),"")))</f>
        <v>8.0188888888888883</v>
      </c>
      <c r="BY87" s="12">
        <f>IF('Données projet'!$A$114&gt;35,BY86+BX87-CG86,IF(A87&lt;'Données projet'!$A$114,$BV$205^A87,IF(A87='Données projet'!$A$114,'Données projet'!$B$114,BY86+BX87-CG86)))</f>
        <v>283.77000000000032</v>
      </c>
      <c r="BZ87" s="13">
        <f>BY87*VLOOKUP('Données projet'!$B$12,Paramètres!$A$1:$I$89,3,0)*VLOOKUP('Données projet'!$B$12,Paramètres!$A$1:$I$89,5,0)</f>
        <v>270.03553200000027</v>
      </c>
      <c r="CA87" s="13">
        <f t="shared" si="93"/>
        <v>64.856810017253309</v>
      </c>
      <c r="CB87" s="20">
        <f t="shared" si="64"/>
        <v>583.27082901338326</v>
      </c>
      <c r="CC87" s="59">
        <f t="shared" si="65"/>
        <v>876.60416234671652</v>
      </c>
      <c r="CD87" s="59">
        <f ca="1">AVERAGE(OFFSET($CC$3,0,0,'Données projet'!$E$12+1,1))-AVERAGE(OFFSET($H$3,0,0,'Données projet'!$E$12+1,1))</f>
        <v>513.14430745499283</v>
      </c>
      <c r="CE87" s="59">
        <f t="shared" si="94"/>
        <v>324.2490378019823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49.669999999999987</v>
      </c>
      <c r="CH87" s="16">
        <f>IF(ISNA(VLOOKUP(A87,'Données projet'!$A$113:$I$133,5,0)),0%,VLOOKUP(A87,'Données projet'!$A$113:$I$133,5,0)*VLOOKUP('Données projet'!$B$12,Paramètres!$A$1:$I$89,7,0))</f>
        <v>0.15049999999999999</v>
      </c>
      <c r="CI87" s="16">
        <f>IF(ISNA(VLOOKUP(A87,'Données projet'!$A$113:$I$133,6,0)),0%,VLOOKUP(A87,'Données projet'!$A$113:$I$133,6,0)*VLOOKUP('Données projet'!$B$12,Paramètres!$A$1:$I$89,7,0))</f>
        <v>8.6000000000000007E-2</v>
      </c>
      <c r="CJ87" s="16">
        <f>IF(ISNA(VLOOKUP(A87,'Données projet'!$A$113:$I$133,7,0)),0%,VLOOKUP(A87,'Données projet'!$A$113:$I$133,7,0))</f>
        <v>0.1</v>
      </c>
      <c r="CK87" s="21">
        <f>EXP(-LN(2)/35)*CK86+(1-EXP(-LN(2)/35))/(LN(2)/35)*CG87*CH87*VLOOKUP('Données projet'!$B$12,Paramètres!$A$1:$I$89,3,0)*0.475*44/12</f>
        <v>23.68286711107665</v>
      </c>
      <c r="CL87" s="21">
        <f>EXP(-LN(2)/25)*CL86+(1-EXP(-LN(2)/25))/(LN(2)/25)*Calculateur!CG87*Calculateur!CI87*VLOOKUP('Données projet'!$B$12,Paramètres!$A$1:$I$89,3,0)*0.475*44/12</f>
        <v>28.535186694418861</v>
      </c>
      <c r="CM87" s="21">
        <f>EXP(-LN(2)/2)*CM86+(1-EXP(-LN(2)/2))/(LN(2)/2)*CG87*CJ87*VLOOKUP('Données projet'!$B$12,Paramètres!$A$1:$I$89,3,0)*0.475*44/12</f>
        <v>4.6433266818799392</v>
      </c>
      <c r="CN87" s="22">
        <f t="shared" si="66"/>
        <v>56.861380487375456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-1.1368683772161603E-13</v>
      </c>
      <c r="CU87" s="17">
        <f>CT87*VLOOKUP('Données projet'!$B$13,Paramètres!$A$1:$I$89,3,0)*VLOOKUP('Données projet'!$B$13,Paramètres!$A$1:$I$89,5,0)</f>
        <v>-8.8675733422860506E-14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197.51452239559433</v>
      </c>
      <c r="CZ87" s="59">
        <f t="shared" si="96"/>
        <v>196.65166921588821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20.479373231835677</v>
      </c>
      <c r="DG87" s="21">
        <f>EXP(-LN(2)/25)*DG86+(1-EXP(-LN(2)/25))/(LN(2)/25)*Calculateur!DB87*Calculateur!DD87*VLOOKUP('Données projet'!$B$13,Paramètres!$A$1:$I$89,3,0)*0.475*44/12</f>
        <v>17.904361361387245</v>
      </c>
      <c r="DH87" s="21">
        <f>EXP(-LN(2)/2)*DH86+(1-EXP(-LN(2)/2))/(LN(2)/2)*DB87*DE87*VLOOKUP('Données projet'!$B$13,Paramètres!$A$1:$I$89,3,0)*0.475*44/12</f>
        <v>0.21514921328602474</v>
      </c>
      <c r="DI87" s="22">
        <f t="shared" si="69"/>
        <v>38.598883806508951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1.7948717948717898</v>
      </c>
      <c r="DO87" s="12">
        <f>IF('Données projet'!$A$166&gt;35,DO86+DN87-DW86,IF(A87&lt;'Données projet'!$A$166,$DL$205^A87,IF(A87='Données projet'!$A$166,'Données projet'!$B$166,DO86+DN87-DW86)))</f>
        <v>133.4615384615384</v>
      </c>
      <c r="DP87" s="17">
        <f>DO87*VLOOKUP('Données projet'!$B$14,Paramètres!$A$1:$I$89,3,0)*VLOOKUP('Données projet'!$B$14,Paramètres!$A$1:$I$89,5,0)</f>
        <v>139.49399999999994</v>
      </c>
      <c r="DQ87" s="13">
        <f t="shared" si="97"/>
        <v>36.181063584224482</v>
      </c>
      <c r="DR87" s="20">
        <f t="shared" si="70"/>
        <v>305.96740240919087</v>
      </c>
      <c r="DS87" s="59">
        <f t="shared" si="71"/>
        <v>599.30073574252424</v>
      </c>
      <c r="DT87" s="59">
        <f ca="1">AVERAGE(OFFSET($DS$3,0,0,'Données projet'!$E$14+1,1))-AVERAGE(OFFSET($H$3,0,0,'Données projet'!$E$14+1,1))</f>
        <v>239.26156489359892</v>
      </c>
      <c r="DU87" s="59">
        <f t="shared" si="98"/>
        <v>213.97034450798111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1.3092745100779779</v>
      </c>
      <c r="EB87" s="21">
        <f>EXP(-LN(2)/25)*EB86+(1-EXP(-LN(2)/25))/(LN(2)/25)*Calculateur!DW87*Calculateur!DY87*VLOOKUP('Données projet'!$B$14,Paramètres!$A$1:$I$89,3,0)*0.475*44/12</f>
        <v>14.430453223267421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15.739727733345399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6.7444444444444462</v>
      </c>
      <c r="EJ87" s="12">
        <f>IF('Données projet'!$A$192&gt;35,EJ86+EI87-ER86,IF(A87&lt;'Données projet'!$A$192,$EG$205^A87,IF(A87='Données projet'!$A$192,'Données projet'!$B$192,EJ86+EI87-ER86)))</f>
        <v>215.7811111111111</v>
      </c>
      <c r="EK87" s="17">
        <f>EJ87*VLOOKUP('Données projet'!$B$15,Paramètres!$A$1:$I$89,3,0)*VLOOKUP('Données projet'!$B$15,Paramètres!$A$1:$I$89,5,0)</f>
        <v>215.43586133333335</v>
      </c>
      <c r="EL87" s="13">
        <f t="shared" si="99"/>
        <v>53.121685627755475</v>
      </c>
      <c r="EM87" s="20">
        <f t="shared" si="73"/>
        <v>467.73772762389626</v>
      </c>
      <c r="EN87" s="59">
        <f t="shared" si="74"/>
        <v>761.07106095722952</v>
      </c>
      <c r="EO87" s="59">
        <f ca="1">AVERAGE(OFFSET($EN$3,0,0,'Données projet'!$E$15+1,1))-AVERAGE(OFFSET($H$3,0,0,'Données projet'!$E$15+1,1))</f>
        <v>525.74725170626471</v>
      </c>
      <c r="EP87" s="59">
        <f t="shared" si="100"/>
        <v>259.19103598192197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35.274614619959983</v>
      </c>
      <c r="EX87" s="21">
        <f>EXP(-LN(2)/2)*EX86+(1-EXP(-LN(2)/2))/(LN(2)/2)*ER87*EU87*VLOOKUP('Données projet'!$B$15,Paramètres!$A$1:$I$89,3,0)*0.475*44/12</f>
        <v>0.61265217691035734</v>
      </c>
      <c r="EY87" s="22">
        <f t="shared" si="75"/>
        <v>35.887266796870342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6.7444444444444462</v>
      </c>
      <c r="N88" s="13">
        <f>IF('Données projet'!$A$36&gt;35,N87+M88-V87,IF(A88&lt;'Données projet'!$A$36,$K$205^A88,IF(A88='Données projet'!$A$36,'Données projet'!$B$36,N87+M88-V87)))</f>
        <v>222.52555555555554</v>
      </c>
      <c r="O88" s="13">
        <f>N88*VLOOKUP('Données projet'!$B$9,Paramètres!$A$1:$I$89,3,0)*VLOOKUP('Données projet'!$B$9,Paramètres!$A$1:$I$89,5,0)</f>
        <v>225.64091333333332</v>
      </c>
      <c r="P88" s="13">
        <f t="shared" si="87"/>
        <v>55.339098017434395</v>
      </c>
      <c r="Q88" s="20">
        <f t="shared" si="54"/>
        <v>489.37351976925379</v>
      </c>
      <c r="R88" s="59">
        <f t="shared" si="55"/>
        <v>782.70685310258705</v>
      </c>
      <c r="S88" s="59">
        <f ca="1">AVERAGE(OFFSET($R$3,0,0,'Données projet'!$E$9+1,1))-AVERAGE(OFFSET($H$3,0,0,'Données projet'!$E$9+1,1))</f>
        <v>533.26035274112917</v>
      </c>
      <c r="T88" s="59">
        <f t="shared" si="88"/>
        <v>262.58149402282521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34.8461226223559</v>
      </c>
      <c r="AB88" s="21">
        <f>EXP(-LN(2)/2)*AB87+(1-EXP(-LN(2)/2))/(LN(2)/2)*V88*Y88*VLOOKUP('Données projet'!$B$9,Paramètres!$A$1:$I$89,3,0)*0.475*44/12</f>
        <v>0.43997942300204551</v>
      </c>
      <c r="AC88" s="22">
        <f t="shared" si="57"/>
        <v>35.286102045357943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7.6966666666666681</v>
      </c>
      <c r="AI88" s="13">
        <f>IF('Données projet'!$A$62&gt;35,AI87+AH88-AQ87,IF(A88&lt;'Données projet'!$A$62,$AF$205^A88,IF(A88='Données projet'!$A$62,'Données projet'!$B$62,AI87+AH88-AQ87)))</f>
        <v>241.79666666666699</v>
      </c>
      <c r="AJ88" s="13">
        <f>AI88*VLOOKUP('Données projet'!$B$10,Paramètres!$A$1:$I$89,3,0)*VLOOKUP('Données projet'!$B$10,Paramètres!$A$1:$I$89,5,0)</f>
        <v>218.77762400000032</v>
      </c>
      <c r="AK88" s="13">
        <f t="shared" si="89"/>
        <v>53.849122245192362</v>
      </c>
      <c r="AL88" s="20">
        <f t="shared" si="58"/>
        <v>474.82491637704396</v>
      </c>
      <c r="AM88" s="59">
        <f t="shared" si="59"/>
        <v>768.15824971037728</v>
      </c>
      <c r="AN88" s="59">
        <f ca="1">AVERAGE(OFFSET($AM$3,0,0,'Données projet'!$E$10+1,1))-AVERAGE(OFFSET($H$3,0,0,'Données projet'!$E$10+1,1))</f>
        <v>482.62991869403385</v>
      </c>
      <c r="AO88" s="59">
        <f t="shared" si="90"/>
        <v>310.43914804089906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22.076569030569832</v>
      </c>
      <c r="AV88" s="21">
        <f>EXP(-LN(2)/25)*AV87+(1-EXP(-LN(2)/25))/(LN(2)/25)*Calculateur!AQ88*Calculateur!AS88*VLOOKUP('Données projet'!$B$10,Paramètres!$A$1:$I$89,3,0)*0.475*44/12</f>
        <v>26.389895898233839</v>
      </c>
      <c r="AW88" s="21">
        <f>EXP(-LN(2)/2)*AW87+(1-EXP(-LN(2)/2))/(LN(2)/2)*AQ88*AT88*VLOOKUP('Données projet'!$B$10,Paramètres!$A$1:$I$89,3,0)*0.475*44/12</f>
        <v>3.1218526471026347</v>
      </c>
      <c r="AX88" s="21">
        <f t="shared" si="60"/>
        <v>51.588317575906309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384.34044781465661</v>
      </c>
      <c r="BJ88" s="59">
        <f t="shared" si="92"/>
        <v>374.99493809709708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51.697231554208003</v>
      </c>
      <c r="BQ88" s="21">
        <f>EXP(-LN(2)/25)*BQ87+(1-EXP(-LN(2)/25))/(LN(2)/25)*Calculateur!BL88*Calculateur!BN88*VLOOKUP('Données projet'!$B$11,Paramètres!$A$1:$I$89,3,0)*0.475*44/12</f>
        <v>49.060300718035258</v>
      </c>
      <c r="BR88" s="21">
        <f>EXP(-LN(2)/2)*BR87+(1-EXP(-LN(2)/2))/(LN(2)/2)*BL88*BO88*VLOOKUP('Données projet'!$B$11,Paramètres!$A$1:$I$89,3,0)*0.475*44/12</f>
        <v>12.116461827442727</v>
      </c>
      <c r="BS88" s="22">
        <f t="shared" si="63"/>
        <v>112.87399409968597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7.6966666666666681</v>
      </c>
      <c r="BY88" s="12">
        <f>IF('Données projet'!$A$114&gt;35,BY87+BX88-CG87,IF(A88&lt;'Données projet'!$A$114,$BV$205^A88,IF(A88='Données projet'!$A$114,'Données projet'!$B$114,BY87+BX88-CG87)))</f>
        <v>241.79666666666699</v>
      </c>
      <c r="BZ88" s="13">
        <f>BY88*VLOOKUP('Données projet'!$B$12,Paramètres!$A$1:$I$89,3,0)*VLOOKUP('Données projet'!$B$12,Paramètres!$A$1:$I$89,5,0)</f>
        <v>230.09370800000033</v>
      </c>
      <c r="CA88" s="13">
        <f t="shared" si="93"/>
        <v>56.302942911254064</v>
      </c>
      <c r="CB88" s="20">
        <f t="shared" si="64"/>
        <v>498.80750033710132</v>
      </c>
      <c r="CC88" s="59">
        <f t="shared" si="65"/>
        <v>792.14083367043463</v>
      </c>
      <c r="CD88" s="59">
        <f ca="1">AVERAGE(OFFSET($CC$3,0,0,'Données projet'!$E$12+1,1))-AVERAGE(OFFSET($H$3,0,0,'Données projet'!$E$12+1,1))</f>
        <v>513.14430745499283</v>
      </c>
      <c r="CE88" s="59">
        <f t="shared" si="94"/>
        <v>324.2490378019823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23.218460532151038</v>
      </c>
      <c r="CL88" s="21">
        <f>EXP(-LN(2)/25)*CL87+(1-EXP(-LN(2)/25))/(LN(2)/25)*Calculateur!CG88*Calculateur!CI88*VLOOKUP('Données projet'!$B$12,Paramètres!$A$1:$I$89,3,0)*0.475*44/12</f>
        <v>27.754890513659728</v>
      </c>
      <c r="CM88" s="21">
        <f>EXP(-LN(2)/2)*CM87+(1-EXP(-LN(2)/2))/(LN(2)/2)*CG88*CJ88*VLOOKUP('Données projet'!$B$12,Paramètres!$A$1:$I$89,3,0)*0.475*44/12</f>
        <v>3.2833277840217363</v>
      </c>
      <c r="CN88" s="22">
        <f t="shared" si="66"/>
        <v>54.256678829832502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-1.1368683772161603E-13</v>
      </c>
      <c r="CU88" s="17">
        <f>CT88*VLOOKUP('Données projet'!$B$13,Paramètres!$A$1:$I$89,3,0)*VLOOKUP('Données projet'!$B$13,Paramètres!$A$1:$I$89,5,0)</f>
        <v>-8.8675733422860506E-14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197.51452239559433</v>
      </c>
      <c r="CZ88" s="59">
        <f t="shared" si="96"/>
        <v>196.65166921588821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20.077785213943649</v>
      </c>
      <c r="DG88" s="21">
        <f>EXP(-LN(2)/25)*DG87+(1-EXP(-LN(2)/25))/(LN(2)/25)*Calculateur!DB88*Calculateur!DD88*VLOOKUP('Données projet'!$B$13,Paramètres!$A$1:$I$89,3,0)*0.475*44/12</f>
        <v>17.414765658410669</v>
      </c>
      <c r="DH88" s="21">
        <f>EXP(-LN(2)/2)*DH87+(1-EXP(-LN(2)/2))/(LN(2)/2)*DB88*DE88*VLOOKUP('Données projet'!$B$13,Paramètres!$A$1:$I$89,3,0)*0.475*44/12</f>
        <v>0.15213346768149894</v>
      </c>
      <c r="DI88" s="22">
        <f t="shared" si="69"/>
        <v>37.644684340035816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135.25641025641025</v>
      </c>
      <c r="DM88" s="12">
        <f>VLOOKUP(A88,'Données projet'!$A$165:$I$185,9,0)</f>
        <v>1.7948717948717898</v>
      </c>
      <c r="DN88" s="12">
        <f t="array" ref="DN88">INDEX(DM:DM,MIN(IF(ISNUMBER(DM88:DM284),ROW(DM88:DM284),"")))</f>
        <v>1.7948717948717898</v>
      </c>
      <c r="DO88" s="12">
        <f>IF('Données projet'!$A$166&gt;35,DO87+DN88-DW87,IF(A88&lt;'Données projet'!$A$166,$DL$205^A88,IF(A88='Données projet'!$A$166,'Données projet'!$B$166,DO87+DN88-DW87)))</f>
        <v>135.25641025641019</v>
      </c>
      <c r="DP88" s="17">
        <f>DO88*VLOOKUP('Données projet'!$B$14,Paramètres!$A$1:$I$89,3,0)*VLOOKUP('Données projet'!$B$14,Paramètres!$A$1:$I$89,5,0)</f>
        <v>141.36999999999995</v>
      </c>
      <c r="DQ88" s="13">
        <f t="shared" si="97"/>
        <v>36.610675159135553</v>
      </c>
      <c r="DR88" s="20">
        <f t="shared" si="70"/>
        <v>309.98300923549431</v>
      </c>
      <c r="DS88" s="59">
        <f t="shared" si="71"/>
        <v>603.31634256882762</v>
      </c>
      <c r="DT88" s="59">
        <f ca="1">AVERAGE(OFFSET($DS$3,0,0,'Données projet'!$E$14+1,1))-AVERAGE(OFFSET($H$3,0,0,'Données projet'!$E$14+1,1))</f>
        <v>239.26156489359892</v>
      </c>
      <c r="DU88" s="59">
        <f t="shared" si="98"/>
        <v>213.97034450798111</v>
      </c>
      <c r="DV88" s="15">
        <f>IF(ISNA(VLOOKUP(A88,'Données projet'!$A$165:$I$185,3,0)),0,VLOOKUP(A88,'Données projet'!$A$165:$I$185,3,0))</f>
        <v>14</v>
      </c>
      <c r="DW88" s="15">
        <f>IF(ISNA(VLOOKUP(A88,'Données projet'!$A$165:$I$185,4,0)),0,VLOOKUP(A88,'Données projet'!$A$165:$I$185,4,0))</f>
        <v>6.4102564102564097</v>
      </c>
      <c r="DX88" s="16">
        <f>IF(ISNA(VLOOKUP(A88,'Données projet'!$A$165:$I$185,5,0)),0%,VLOOKUP(A88,'Données projet'!$A$165:$I$185,5,0)*VLOOKUP('Données projet'!$B$14,Paramètres!$A$1:$I$89,7,0))</f>
        <v>4.3000000000000003E-2</v>
      </c>
      <c r="DY88" s="16">
        <f>IF(ISNA(VLOOKUP(A88,'Données projet'!$A$165:$I$185,6,0)),0%,VLOOKUP(A88,'Données projet'!$A$165:$I$185,6,0)*VLOOKUP('Données projet'!$B$14,Paramètres!$A$1:$I$89,7,0))</f>
        <v>0.215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1.6020864518573896</v>
      </c>
      <c r="EB88" s="21">
        <f>EXP(-LN(2)/25)*EB87+(1-EXP(-LN(2)/25))/(LN(2)/25)*Calculateur!DW88*Calculateur!DY88*VLOOKUP('Données projet'!$B$14,Paramètres!$A$1:$I$89,3,0)*0.475*44/12</f>
        <v>15.622011798734682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17.224098250592071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6.7444444444444462</v>
      </c>
      <c r="EJ88" s="12">
        <f>IF('Données projet'!$A$192&gt;35,EJ87+EI88-ER87,IF(A88&lt;'Données projet'!$A$192,$EG$205^A88,IF(A88='Données projet'!$A$192,'Données projet'!$B$192,EJ87+EI88-ER87)))</f>
        <v>222.52555555555554</v>
      </c>
      <c r="EK88" s="17">
        <f>EJ88*VLOOKUP('Données projet'!$B$15,Paramètres!$A$1:$I$89,3,0)*VLOOKUP('Données projet'!$B$15,Paramètres!$A$1:$I$89,5,0)</f>
        <v>222.16951466666669</v>
      </c>
      <c r="EL88" s="13">
        <f t="shared" si="99"/>
        <v>54.586149372666704</v>
      </c>
      <c r="EM88" s="20">
        <f t="shared" si="73"/>
        <v>482.01611486850567</v>
      </c>
      <c r="EN88" s="59">
        <f t="shared" si="74"/>
        <v>775.34944820183898</v>
      </c>
      <c r="EO88" s="59">
        <f ca="1">AVERAGE(OFFSET($EN$3,0,0,'Données projet'!$E$15+1,1))-AVERAGE(OFFSET($H$3,0,0,'Données projet'!$E$15+1,1))</f>
        <v>525.74725170626471</v>
      </c>
      <c r="EP88" s="59">
        <f t="shared" si="100"/>
        <v>259.19103598192197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34.310028428165815</v>
      </c>
      <c r="EX88" s="21">
        <f>EXP(-LN(2)/2)*EX87+(1-EXP(-LN(2)/2))/(LN(2)/2)*ER88*EU88*VLOOKUP('Données projet'!$B$15,Paramètres!$A$1:$I$89,3,0)*0.475*44/12</f>
        <v>0.43321050880201406</v>
      </c>
      <c r="EY88" s="22">
        <f t="shared" si="75"/>
        <v>34.743238936967828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>
        <f>VLOOKUP(A89,'Données projet'!$A$35:$I$55,2,0)</f>
        <v>229.27</v>
      </c>
      <c r="L89" s="12">
        <f>VLOOKUP(A89,'Données projet'!$A$35:$I$55,9,0)</f>
        <v>6.7444444444444462</v>
      </c>
      <c r="M89" s="12">
        <f t="array" ref="M89">INDEX(L:L,MIN(IF(ISNUMBER(L89:L285),ROW(L89:L285),"")))</f>
        <v>6.7444444444444462</v>
      </c>
      <c r="N89" s="13">
        <f>IF('Données projet'!$A$36&gt;35,N88+M89-V88,IF(A89&lt;'Données projet'!$A$36,$K$205^A89,IF(A89='Données projet'!$A$36,'Données projet'!$B$36,N88+M89-V88)))</f>
        <v>229.26999999999998</v>
      </c>
      <c r="O89" s="13">
        <f>N89*VLOOKUP('Données projet'!$B$9,Paramètres!$A$1:$I$89,3,0)*VLOOKUP('Données projet'!$B$9,Paramètres!$A$1:$I$89,5,0)</f>
        <v>232.47978000000001</v>
      </c>
      <c r="P89" s="13">
        <f t="shared" si="87"/>
        <v>56.81853283390906</v>
      </c>
      <c r="Q89" s="20">
        <f t="shared" si="54"/>
        <v>503.86122818572488</v>
      </c>
      <c r="R89" s="59">
        <f t="shared" si="55"/>
        <v>797.1945615190582</v>
      </c>
      <c r="S89" s="59">
        <f ca="1">AVERAGE(OFFSET($R$3,0,0,'Données projet'!$E$9+1,1))-AVERAGE(OFFSET($H$3,0,0,'Données projet'!$E$9+1,1))</f>
        <v>533.26035274112917</v>
      </c>
      <c r="T89" s="59">
        <f t="shared" si="88"/>
        <v>262.58149402282521</v>
      </c>
      <c r="U89" s="15">
        <f>IF(ISNA(VLOOKUP(A89,'Données projet'!$A$35:$I$55,3,0)),0,VLOOKUP(A89,'Données projet'!$A$35:$I$55,3,0))</f>
        <v>4</v>
      </c>
      <c r="V89" s="15">
        <f>IF(ISNA(VLOOKUP(A89,'Données projet'!$A$35:$I$55,4,0)),0,VLOOKUP(A89,'Données projet'!$A$35:$I$55,4,0))</f>
        <v>37.54000000000002</v>
      </c>
      <c r="W89" s="16">
        <f>IF(ISNA(VLOOKUP(A89,'Données projet'!$A$35:$I$55,5,0)),0%,VLOOKUP(A89,'Données projet'!$A$35:$I$55,5,0)*VLOOKUP('Données projet'!$B$9,Paramètres!$A$1:$I$89,7,0))</f>
        <v>0.15049999999999999</v>
      </c>
      <c r="X89" s="16">
        <f>IF(ISNA(VLOOKUP(A89,'Données projet'!$A$35:$I$55,6,0)),0%,VLOOKUP(A89,'Données projet'!$A$35:$I$55,6,0)*VLOOKUP('Données projet'!$B$9,Paramètres!$A$1:$I$89,7,0))</f>
        <v>8.6000000000000007E-2</v>
      </c>
      <c r="Y89" s="16">
        <f>IF(ISNA(VLOOKUP(A89,'Données projet'!$A$35:$I$55,7,0)),0%,VLOOKUP(A89,'Données projet'!$A$35:$I$55,7,0))</f>
        <v>0.1</v>
      </c>
      <c r="Z89" s="21">
        <f>EXP(-LN(2)/35)*Z88+(1-EXP(-LN(2)/35))/(LN(2)/35)*V89*W89*VLOOKUP('Données projet'!$B$9,Paramètres!$A$1:$I$89,3,0)*0.475*44/12</f>
        <v>6.333092533580313</v>
      </c>
      <c r="AA89" s="21">
        <f>EXP(-LN(2)/25)*AA88+(1-EXP(-LN(2)/25))/(LN(2)/25)*Calculateur!V89*Calculateur!X89*VLOOKUP('Données projet'!$B$9,Paramètres!$A$1:$I$89,3,0)*0.475*44/12</f>
        <v>37.49791455830001</v>
      </c>
      <c r="AB89" s="21">
        <f>EXP(-LN(2)/2)*AB88+(1-EXP(-LN(2)/2))/(LN(2)/2)*V89*Y89*VLOOKUP('Données projet'!$B$9,Paramètres!$A$1:$I$89,3,0)*0.475*44/12</f>
        <v>3.9027004715399207</v>
      </c>
      <c r="AC89" s="22">
        <f t="shared" si="57"/>
        <v>47.733707563420246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7.6966666666666681</v>
      </c>
      <c r="AI89" s="13">
        <f>IF('Données projet'!$A$62&gt;35,AI88+AH89-AQ88,IF(A89&lt;'Données projet'!$A$62,$AF$205^A89,IF(A89='Données projet'!$A$62,'Données projet'!$B$62,AI88+AH89-AQ88)))</f>
        <v>249.49333333333365</v>
      </c>
      <c r="AJ89" s="13">
        <f>AI89*VLOOKUP('Données projet'!$B$10,Paramètres!$A$1:$I$89,3,0)*VLOOKUP('Données projet'!$B$10,Paramètres!$A$1:$I$89,5,0)</f>
        <v>225.74156800000026</v>
      </c>
      <c r="AK89" s="13">
        <f t="shared" si="89"/>
        <v>55.360909871129053</v>
      </c>
      <c r="AL89" s="20">
        <f t="shared" si="58"/>
        <v>489.58681562555012</v>
      </c>
      <c r="AM89" s="59">
        <f t="shared" si="59"/>
        <v>782.92014895888337</v>
      </c>
      <c r="AN89" s="59">
        <f ca="1">AVERAGE(OFFSET($AM$3,0,0,'Données projet'!$E$10+1,1))-AVERAGE(OFFSET($H$3,0,0,'Données projet'!$E$10+1,1))</f>
        <v>482.62991869403385</v>
      </c>
      <c r="AO89" s="59">
        <f t="shared" si="90"/>
        <v>310.43914804089906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21.64366097725787</v>
      </c>
      <c r="AV89" s="21">
        <f>EXP(-LN(2)/25)*AV88+(1-EXP(-LN(2)/25))/(LN(2)/25)*Calculateur!AQ89*Calculateur!AS89*VLOOKUP('Données projet'!$B$10,Paramètres!$A$1:$I$89,3,0)*0.475*44/12</f>
        <v>25.668262807112324</v>
      </c>
      <c r="AW89" s="21">
        <f>EXP(-LN(2)/2)*AW88+(1-EXP(-LN(2)/2))/(LN(2)/2)*AQ89*AT89*VLOOKUP('Données projet'!$B$10,Paramètres!$A$1:$I$89,3,0)*0.475*44/12</f>
        <v>2.2074831766314471</v>
      </c>
      <c r="AX89" s="21">
        <f t="shared" si="60"/>
        <v>49.519406961001643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384.34044781465661</v>
      </c>
      <c r="BJ89" s="59">
        <f t="shared" si="92"/>
        <v>374.99493809709708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50.683480375627688</v>
      </c>
      <c r="BQ89" s="21">
        <f>EXP(-LN(2)/25)*BQ88+(1-EXP(-LN(2)/25))/(LN(2)/25)*Calculateur!BL89*Calculateur!BN89*VLOOKUP('Données projet'!$B$11,Paramètres!$A$1:$I$89,3,0)*0.475*44/12</f>
        <v>47.718744214931498</v>
      </c>
      <c r="BR89" s="21">
        <f>EXP(-LN(2)/2)*BR88+(1-EXP(-LN(2)/2))/(LN(2)/2)*BL89*BO89*VLOOKUP('Données projet'!$B$11,Paramètres!$A$1:$I$89,3,0)*0.475*44/12</f>
        <v>8.5676323221727007</v>
      </c>
      <c r="BS89" s="22">
        <f t="shared" si="63"/>
        <v>106.96985691273188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7.6966666666666681</v>
      </c>
      <c r="BY89" s="12">
        <f>IF('Données projet'!$A$114&gt;35,BY88+BX89-CG88,IF(A89&lt;'Données projet'!$A$114,$BV$205^A89,IF(A89='Données projet'!$A$114,'Données projet'!$B$114,BY88+BX89-CG88)))</f>
        <v>249.49333333333365</v>
      </c>
      <c r="BZ89" s="13">
        <f>BY89*VLOOKUP('Données projet'!$B$12,Paramètres!$A$1:$I$89,3,0)*VLOOKUP('Données projet'!$B$12,Paramètres!$A$1:$I$89,5,0)</f>
        <v>237.41785600000031</v>
      </c>
      <c r="CA89" s="13">
        <f t="shared" si="93"/>
        <v>57.883620345688122</v>
      </c>
      <c r="CB89" s="20">
        <f t="shared" si="64"/>
        <v>514.31673796874077</v>
      </c>
      <c r="CC89" s="59">
        <f t="shared" si="65"/>
        <v>807.65007130207414</v>
      </c>
      <c r="CD89" s="59">
        <f ca="1">AVERAGE(OFFSET($CC$3,0,0,'Données projet'!$E$12+1,1))-AVERAGE(OFFSET($H$3,0,0,'Données projet'!$E$12+1,1))</f>
        <v>513.14430745499283</v>
      </c>
      <c r="CE89" s="59">
        <f t="shared" si="94"/>
        <v>324.2490378019823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22.763160682978114</v>
      </c>
      <c r="CL89" s="21">
        <f>EXP(-LN(2)/25)*CL88+(1-EXP(-LN(2)/25))/(LN(2)/25)*Calculateur!CG89*Calculateur!CI89*VLOOKUP('Données projet'!$B$12,Paramètres!$A$1:$I$89,3,0)*0.475*44/12</f>
        <v>26.995931572997446</v>
      </c>
      <c r="CM89" s="21">
        <f>EXP(-LN(2)/2)*CM88+(1-EXP(-LN(2)/2))/(LN(2)/2)*CG89*CJ89*VLOOKUP('Données projet'!$B$12,Paramètres!$A$1:$I$89,3,0)*0.475*44/12</f>
        <v>2.3216633409399701</v>
      </c>
      <c r="CN89" s="22">
        <f t="shared" si="66"/>
        <v>52.08075559691553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-1.1368683772161603E-13</v>
      </c>
      <c r="CU89" s="17">
        <f>CT89*VLOOKUP('Données projet'!$B$13,Paramètres!$A$1:$I$89,3,0)*VLOOKUP('Données projet'!$B$13,Paramètres!$A$1:$I$89,5,0)</f>
        <v>-8.8675733422860506E-14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197.51452239559433</v>
      </c>
      <c r="CZ89" s="59">
        <f t="shared" si="96"/>
        <v>196.65166921588821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19.684072092137978</v>
      </c>
      <c r="DG89" s="21">
        <f>EXP(-LN(2)/25)*DG88+(1-EXP(-LN(2)/25))/(LN(2)/25)*Calculateur!DB89*Calculateur!DD89*VLOOKUP('Données projet'!$B$13,Paramètres!$A$1:$I$89,3,0)*0.475*44/12</f>
        <v>16.938557975678705</v>
      </c>
      <c r="DH89" s="21">
        <f>EXP(-LN(2)/2)*DH88+(1-EXP(-LN(2)/2))/(LN(2)/2)*DB89*DE89*VLOOKUP('Données projet'!$B$13,Paramètres!$A$1:$I$89,3,0)*0.475*44/12</f>
        <v>0.10757460664301237</v>
      </c>
      <c r="DI89" s="22">
        <f t="shared" si="69"/>
        <v>36.730204674459699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1.7948717948717956</v>
      </c>
      <c r="DO89" s="12">
        <f>IF('Données projet'!$A$166&gt;35,DO88+DN89-DW88,IF(A89&lt;'Données projet'!$A$166,$DL$205^A89,IF(A89='Données projet'!$A$166,'Données projet'!$B$166,DO88+DN89-DW88)))</f>
        <v>130.64102564102558</v>
      </c>
      <c r="DP89" s="17">
        <f>DO89*VLOOKUP('Données projet'!$B$14,Paramètres!$A$1:$I$89,3,0)*VLOOKUP('Données projet'!$B$14,Paramètres!$A$1:$I$89,5,0)</f>
        <v>136.54599999999996</v>
      </c>
      <c r="DQ89" s="13">
        <f t="shared" si="97"/>
        <v>35.504595871947302</v>
      </c>
      <c r="DR89" s="20">
        <f t="shared" si="70"/>
        <v>299.65478781030816</v>
      </c>
      <c r="DS89" s="59">
        <f t="shared" si="71"/>
        <v>592.98812114364148</v>
      </c>
      <c r="DT89" s="59">
        <f ca="1">AVERAGE(OFFSET($DS$3,0,0,'Données projet'!$E$14+1,1))-AVERAGE(OFFSET($H$3,0,0,'Données projet'!$E$14+1,1))</f>
        <v>239.26156489359892</v>
      </c>
      <c r="DU89" s="59">
        <f t="shared" si="98"/>
        <v>213.97034450798111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1.5706705137127137</v>
      </c>
      <c r="EB89" s="21">
        <f>EXP(-LN(2)/25)*EB88+(1-EXP(-LN(2)/25))/(LN(2)/25)*Calculateur!DW89*Calculateur!DY89*VLOOKUP('Données projet'!$B$14,Paramètres!$A$1:$I$89,3,0)*0.475*44/12</f>
        <v>15.194827064572387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16.7654975782851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>
        <f>VLOOKUP(A89,'Données projet'!$A$191:$I$211,2,0)</f>
        <v>229.27</v>
      </c>
      <c r="EH89" s="12">
        <f>VLOOKUP(A89,'Données projet'!$A$191:$I$211,9,0)</f>
        <v>6.7444444444444462</v>
      </c>
      <c r="EI89" s="12">
        <f t="array" ref="EI89">INDEX(EH:EH,MIN(IF(ISNUMBER(EH89:EH285),ROW(EH89:EH285),"")))</f>
        <v>6.7444444444444462</v>
      </c>
      <c r="EJ89" s="12">
        <f>IF('Données projet'!$A$192&gt;35,EJ88+EI89-ER88,IF(A89&lt;'Données projet'!$A$192,$EG$205^A89,IF(A89='Données projet'!$A$192,'Données projet'!$B$192,EJ88+EI89-ER88)))</f>
        <v>229.26999999999998</v>
      </c>
      <c r="EK89" s="17">
        <f>EJ89*VLOOKUP('Données projet'!$B$15,Paramètres!$A$1:$I$89,3,0)*VLOOKUP('Données projet'!$B$15,Paramètres!$A$1:$I$89,5,0)</f>
        <v>228.90316799999999</v>
      </c>
      <c r="EL89" s="13">
        <f t="shared" si="99"/>
        <v>56.045454868642892</v>
      </c>
      <c r="EM89" s="20">
        <f t="shared" si="73"/>
        <v>496.28551816288632</v>
      </c>
      <c r="EN89" s="59">
        <f t="shared" si="74"/>
        <v>789.61885149621958</v>
      </c>
      <c r="EO89" s="59">
        <f ca="1">AVERAGE(OFFSET($EN$3,0,0,'Données projet'!$E$15+1,1))-AVERAGE(OFFSET($H$3,0,0,'Données projet'!$E$15+1,1))</f>
        <v>525.74725170626471</v>
      </c>
      <c r="EP89" s="59">
        <f t="shared" si="100"/>
        <v>259.19103598192197</v>
      </c>
      <c r="EQ89" s="15">
        <f>IF(ISNA(VLOOKUP(A89,'Données projet'!$A$191:$I$211,3,0)),0,VLOOKUP(A89,'Données projet'!$A$191:$I$211,3,0))</f>
        <v>4</v>
      </c>
      <c r="ER89" s="15">
        <f>IF(ISNA(VLOOKUP(A89,'Données projet'!$A$191:$I$211,4,0)),0,VLOOKUP(A89,'Données projet'!$A$191:$I$211,4,0))</f>
        <v>37.54000000000002</v>
      </c>
      <c r="ES89" s="16">
        <f>IF(ISNA(VLOOKUP(A89,'Données projet'!$A$191:$I$211,5,0)),0%,VLOOKUP(A89,'Données projet'!$A$191:$I$211,5,0)*VLOOKUP('Données projet'!$B$15,Paramètres!$A$1:$I$89,7,0))</f>
        <v>0.15049999999999999</v>
      </c>
      <c r="ET89" s="16">
        <f>IF(ISNA(VLOOKUP(A89,'Données projet'!$A$191:$I$211,6,0)),0%,VLOOKUP(A89,'Données projet'!$A$191:$I$211,6,0)*VLOOKUP('Données projet'!$B$15,Paramètres!$A$1:$I$89,7,0))</f>
        <v>8.6000000000000007E-2</v>
      </c>
      <c r="EU89" s="16">
        <f>IF(ISNA(VLOOKUP(A89,'Données projet'!$A$191:$I$211,7,0)),0%,VLOOKUP(A89,'Données projet'!$A$191:$I$211,7,0))</f>
        <v>0.1</v>
      </c>
      <c r="EV89" s="21">
        <f>EXP(-LN(2)/35)*EV88+(1-EXP(-LN(2)/35))/(LN(2)/35)*ER89*ES89*VLOOKUP('Données projet'!$B$15,Paramètres!$A$1:$I$89,3,0)*0.475*44/12</f>
        <v>6.2356603407560014</v>
      </c>
      <c r="EW89" s="21">
        <f>EXP(-LN(2)/25)*EW88+(1-EXP(-LN(2)/25))/(LN(2)/25)*Calculateur!ER89*Calculateur!ET89*VLOOKUP('Données projet'!$B$15,Paramètres!$A$1:$I$89,3,0)*0.475*44/12</f>
        <v>36.921023565095403</v>
      </c>
      <c r="EX89" s="21">
        <f>EXP(-LN(2)/2)*EX88+(1-EXP(-LN(2)/2))/(LN(2)/2)*ER89*EU89*VLOOKUP('Données projet'!$B$15,Paramètres!$A$1:$I$89,3,0)*0.475*44/12</f>
        <v>3.8426589258239221</v>
      </c>
      <c r="EY89" s="22">
        <f t="shared" si="75"/>
        <v>46.999342831675321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6.7600000000000007</v>
      </c>
      <c r="N90" s="13">
        <f>IF('Données projet'!$A$36&gt;35,N89+M90-V89,IF(A90&lt;'Données projet'!$A$36,$K$205^A90,IF(A90='Données projet'!$A$36,'Données projet'!$B$36,N89+M90-V89)))</f>
        <v>198.48999999999995</v>
      </c>
      <c r="O90" s="13">
        <f>N90*VLOOKUP('Données projet'!$B$9,Paramètres!$A$1:$I$89,3,0)*VLOOKUP('Données projet'!$B$9,Paramètres!$A$1:$I$89,5,0)</f>
        <v>201.26885999999993</v>
      </c>
      <c r="P90" s="13">
        <f t="shared" si="87"/>
        <v>50.022922026408203</v>
      </c>
      <c r="Q90" s="20">
        <f t="shared" si="54"/>
        <v>437.66652036266078</v>
      </c>
      <c r="R90" s="59">
        <f t="shared" si="55"/>
        <v>730.99985369599403</v>
      </c>
      <c r="S90" s="59">
        <f ca="1">AVERAGE(OFFSET($R$3,0,0,'Données projet'!$E$9+1,1))-AVERAGE(OFFSET($H$3,0,0,'Données projet'!$E$9+1,1))</f>
        <v>533.26035274112917</v>
      </c>
      <c r="T90" s="59">
        <f t="shared" si="88"/>
        <v>262.58149402282521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6.2089044518018284</v>
      </c>
      <c r="AA90" s="21">
        <f>EXP(-LN(2)/25)*AA89+(1-EXP(-LN(2)/25))/(LN(2)/25)*Calculateur!V90*Calculateur!X90*VLOOKUP('Données projet'!$B$9,Paramètres!$A$1:$I$89,3,0)*0.475*44/12</f>
        <v>36.472532112773671</v>
      </c>
      <c r="AB90" s="21">
        <f>EXP(-LN(2)/2)*AB89+(1-EXP(-LN(2)/2))/(LN(2)/2)*V90*Y90*VLOOKUP('Données projet'!$B$9,Paramètres!$A$1:$I$89,3,0)*0.475*44/12</f>
        <v>2.7596259683658149</v>
      </c>
      <c r="AC90" s="22">
        <f t="shared" si="57"/>
        <v>45.441062532941316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7.6966666666666681</v>
      </c>
      <c r="AI90" s="13">
        <f>IF('Données projet'!$A$62&gt;35,AI89+AH90-AQ89,IF(A90&lt;'Données projet'!$A$62,$AF$205^A90,IF(A90='Données projet'!$A$62,'Données projet'!$B$62,AI89+AH90-AQ89)))</f>
        <v>257.19000000000034</v>
      </c>
      <c r="AJ90" s="13">
        <f>AI90*VLOOKUP('Données projet'!$B$10,Paramètres!$A$1:$I$89,3,0)*VLOOKUP('Données projet'!$B$10,Paramètres!$A$1:$I$89,5,0)</f>
        <v>232.70551200000031</v>
      </c>
      <c r="AK90" s="13">
        <f t="shared" si="89"/>
        <v>56.867277728071947</v>
      </c>
      <c r="AL90" s="20">
        <f t="shared" si="58"/>
        <v>504.33927544305925</v>
      </c>
      <c r="AM90" s="59">
        <f t="shared" si="59"/>
        <v>797.67260877639251</v>
      </c>
      <c r="AN90" s="59">
        <f ca="1">AVERAGE(OFFSET($AM$3,0,0,'Données projet'!$E$10+1,1))-AVERAGE(OFFSET($H$3,0,0,'Données projet'!$E$10+1,1))</f>
        <v>482.62991869403385</v>
      </c>
      <c r="AO90" s="59">
        <f t="shared" si="90"/>
        <v>310.43914804089906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21.219241986823516</v>
      </c>
      <c r="AV90" s="21">
        <f>EXP(-LN(2)/25)*AV89+(1-EXP(-LN(2)/25))/(LN(2)/25)*Calculateur!AQ90*Calculateur!AS90*VLOOKUP('Données projet'!$B$10,Paramètres!$A$1:$I$89,3,0)*0.475*44/12</f>
        <v>24.966362810816563</v>
      </c>
      <c r="AW90" s="21">
        <f>EXP(-LN(2)/2)*AW89+(1-EXP(-LN(2)/2))/(LN(2)/2)*AQ90*AT90*VLOOKUP('Données projet'!$B$10,Paramètres!$A$1:$I$89,3,0)*0.475*44/12</f>
        <v>1.5609263235513176</v>
      </c>
      <c r="AX90" s="21">
        <f t="shared" si="60"/>
        <v>47.746531121191396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384.34044781465661</v>
      </c>
      <c r="BJ90" s="59">
        <f t="shared" si="92"/>
        <v>374.99493809709708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49.689608239332166</v>
      </c>
      <c r="BQ90" s="21">
        <f>EXP(-LN(2)/25)*BQ89+(1-EXP(-LN(2)/25))/(LN(2)/25)*Calculateur!BL90*Calculateur!BN90*VLOOKUP('Données projet'!$B$11,Paramètres!$A$1:$I$89,3,0)*0.475*44/12</f>
        <v>46.413872644954502</v>
      </c>
      <c r="BR90" s="21">
        <f>EXP(-LN(2)/2)*BR89+(1-EXP(-LN(2)/2))/(LN(2)/2)*BL90*BO90*VLOOKUP('Données projet'!$B$11,Paramètres!$A$1:$I$89,3,0)*0.475*44/12</f>
        <v>6.0582309137213644</v>
      </c>
      <c r="BS90" s="22">
        <f t="shared" si="63"/>
        <v>102.16171179800803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7.6966666666666681</v>
      </c>
      <c r="BY90" s="12">
        <f>IF('Données projet'!$A$114&gt;35,BY89+BX90-CG89,IF(A90&lt;'Données projet'!$A$114,$BV$205^A90,IF(A90='Données projet'!$A$114,'Données projet'!$B$114,BY89+BX90-CG89)))</f>
        <v>257.19000000000034</v>
      </c>
      <c r="BZ90" s="13">
        <f>BY90*VLOOKUP('Données projet'!$B$12,Paramètres!$A$1:$I$89,3,0)*VLOOKUP('Données projet'!$B$12,Paramètres!$A$1:$I$89,5,0)</f>
        <v>244.74200400000029</v>
      </c>
      <c r="CA90" s="13">
        <f t="shared" si="93"/>
        <v>59.458631040692964</v>
      </c>
      <c r="CB90" s="20">
        <f t="shared" si="64"/>
        <v>529.81610602920739</v>
      </c>
      <c r="CC90" s="59">
        <f t="shared" si="65"/>
        <v>823.14943936254076</v>
      </c>
      <c r="CD90" s="59">
        <f ca="1">AVERAGE(OFFSET($CC$3,0,0,'Données projet'!$E$12+1,1))-AVERAGE(OFFSET($H$3,0,0,'Données projet'!$E$12+1,1))</f>
        <v>513.14430745499283</v>
      </c>
      <c r="CE90" s="59">
        <f t="shared" si="94"/>
        <v>324.2490378019823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22.316788986141983</v>
      </c>
      <c r="CL90" s="21">
        <f>EXP(-LN(2)/25)*CL89+(1-EXP(-LN(2)/25))/(LN(2)/25)*Calculateur!CG90*Calculateur!CI90*VLOOKUP('Données projet'!$B$12,Paramètres!$A$1:$I$89,3,0)*0.475*44/12</f>
        <v>26.257726404479488</v>
      </c>
      <c r="CM90" s="21">
        <f>EXP(-LN(2)/2)*CM89+(1-EXP(-LN(2)/2))/(LN(2)/2)*CG90*CJ90*VLOOKUP('Données projet'!$B$12,Paramètres!$A$1:$I$89,3,0)*0.475*44/12</f>
        <v>1.6416638920108684</v>
      </c>
      <c r="CN90" s="22">
        <f t="shared" si="66"/>
        <v>50.216179282632339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-1.1368683772161603E-13</v>
      </c>
      <c r="CU90" s="17">
        <f>CT90*VLOOKUP('Données projet'!$B$13,Paramètres!$A$1:$I$89,3,0)*VLOOKUP('Données projet'!$B$13,Paramètres!$A$1:$I$89,5,0)</f>
        <v>-8.8675733422860506E-14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197.51452239559433</v>
      </c>
      <c r="CZ90" s="59">
        <f t="shared" si="96"/>
        <v>196.65166921588821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19.298079444509625</v>
      </c>
      <c r="DG90" s="21">
        <f>EXP(-LN(2)/25)*DG89+(1-EXP(-LN(2)/25))/(LN(2)/25)*Calculateur!DB90*Calculateur!DD90*VLOOKUP('Données projet'!$B$13,Paramètres!$A$1:$I$89,3,0)*0.475*44/12</f>
        <v>16.475372217073719</v>
      </c>
      <c r="DH90" s="21">
        <f>EXP(-LN(2)/2)*DH89+(1-EXP(-LN(2)/2))/(LN(2)/2)*DB90*DE90*VLOOKUP('Données projet'!$B$13,Paramètres!$A$1:$I$89,3,0)*0.475*44/12</f>
        <v>7.6066733840749468E-2</v>
      </c>
      <c r="DI90" s="22">
        <f t="shared" si="69"/>
        <v>35.849518395424091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1.7948717948717956</v>
      </c>
      <c r="DO90" s="12">
        <f>IF('Données projet'!$A$166&gt;35,DO89+DN90-DW89,IF(A90&lt;'Données projet'!$A$166,$DL$205^A90,IF(A90='Données projet'!$A$166,'Données projet'!$B$166,DO89+DN90-DW89)))</f>
        <v>132.43589743589737</v>
      </c>
      <c r="DP90" s="17">
        <f>DO90*VLOOKUP('Données projet'!$B$14,Paramètres!$A$1:$I$89,3,0)*VLOOKUP('Données projet'!$B$14,Paramètres!$A$1:$I$89,5,0)</f>
        <v>138.42199999999994</v>
      </c>
      <c r="DQ90" s="13">
        <f t="shared" si="97"/>
        <v>35.935269711934978</v>
      </c>
      <c r="DR90" s="20">
        <f t="shared" si="70"/>
        <v>303.67224474828663</v>
      </c>
      <c r="DS90" s="59">
        <f t="shared" si="71"/>
        <v>597.00557808161989</v>
      </c>
      <c r="DT90" s="59">
        <f ca="1">AVERAGE(OFFSET($DS$3,0,0,'Données projet'!$E$14+1,1))-AVERAGE(OFFSET($H$3,0,0,'Données projet'!$E$14+1,1))</f>
        <v>239.26156489359892</v>
      </c>
      <c r="DU90" s="59">
        <f t="shared" si="98"/>
        <v>213.97034450798111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1.5398706229532246</v>
      </c>
      <c r="EB90" s="21">
        <f>EXP(-LN(2)/25)*EB89+(1-EXP(-LN(2)/25))/(LN(2)/25)*Calculateur!DW90*Calculateur!DY90*VLOOKUP('Données projet'!$B$14,Paramètres!$A$1:$I$89,3,0)*0.475*44/12</f>
        <v>14.779323719430428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16.319194342383653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6.7600000000000007</v>
      </c>
      <c r="EJ90" s="12">
        <f>IF('Données projet'!$A$192&gt;35,EJ89+EI90-ER89,IF(A90&lt;'Données projet'!$A$192,$EG$205^A90,IF(A90='Données projet'!$A$192,'Données projet'!$B$192,EJ89+EI90-ER89)))</f>
        <v>198.48999999999995</v>
      </c>
      <c r="EK90" s="17">
        <f>EJ90*VLOOKUP('Données projet'!$B$15,Paramètres!$A$1:$I$89,3,0)*VLOOKUP('Données projet'!$B$15,Paramètres!$A$1:$I$89,5,0)</f>
        <v>198.17241599999997</v>
      </c>
      <c r="EL90" s="13">
        <f t="shared" si="99"/>
        <v>49.342305740699359</v>
      </c>
      <c r="EM90" s="20">
        <f t="shared" si="73"/>
        <v>431.08814036505129</v>
      </c>
      <c r="EN90" s="59">
        <f t="shared" si="74"/>
        <v>724.4214736983846</v>
      </c>
      <c r="EO90" s="59">
        <f ca="1">AVERAGE(OFFSET($EN$3,0,0,'Données projet'!$E$15+1,1))-AVERAGE(OFFSET($H$3,0,0,'Données projet'!$E$15+1,1))</f>
        <v>525.74725170626471</v>
      </c>
      <c r="EP90" s="59">
        <f t="shared" si="100"/>
        <v>259.19103598192197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6.1133828448510315</v>
      </c>
      <c r="EW90" s="21">
        <f>EXP(-LN(2)/25)*EW89+(1-EXP(-LN(2)/25))/(LN(2)/25)*Calculateur!ER90*Calculateur!ET90*VLOOKUP('Données projet'!$B$15,Paramètres!$A$1:$I$89,3,0)*0.475*44/12</f>
        <v>35.911416234115627</v>
      </c>
      <c r="EX90" s="21">
        <f>EXP(-LN(2)/2)*EX89+(1-EXP(-LN(2)/2))/(LN(2)/2)*ER90*EU90*VLOOKUP('Données projet'!$B$15,Paramètres!$A$1:$I$89,3,0)*0.475*44/12</f>
        <v>2.7171701842371099</v>
      </c>
      <c r="EY90" s="22">
        <f t="shared" si="75"/>
        <v>44.741969263203771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6.7600000000000007</v>
      </c>
      <c r="N91" s="13">
        <f>IF('Données projet'!$A$36&gt;35,N90+M91-V90,IF(A91&lt;'Données projet'!$A$36,$K$205^A91,IF(A91='Données projet'!$A$36,'Données projet'!$B$36,N90+M91-V90)))</f>
        <v>205.24999999999994</v>
      </c>
      <c r="O91" s="13">
        <f>N91*VLOOKUP('Données projet'!$B$9,Paramètres!$A$1:$I$89,3,0)*VLOOKUP('Données projet'!$B$9,Paramètres!$A$1:$I$89,5,0)</f>
        <v>208.12349999999995</v>
      </c>
      <c r="P91" s="13">
        <f t="shared" si="87"/>
        <v>51.525309267242157</v>
      </c>
      <c r="Q91" s="20">
        <f t="shared" si="54"/>
        <v>452.22167614044662</v>
      </c>
      <c r="R91" s="59">
        <f t="shared" si="55"/>
        <v>745.55500947377993</v>
      </c>
      <c r="S91" s="59">
        <f ca="1">AVERAGE(OFFSET($R$3,0,0,'Données projet'!$E$9+1,1))-AVERAGE(OFFSET($H$3,0,0,'Données projet'!$E$9+1,1))</f>
        <v>533.26035274112917</v>
      </c>
      <c r="T91" s="59">
        <f t="shared" si="88"/>
        <v>262.58149402282521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6.0871516225597695</v>
      </c>
      <c r="AA91" s="21">
        <f>EXP(-LN(2)/25)*AA90+(1-EXP(-LN(2)/25))/(LN(2)/25)*Calculateur!V91*Calculateur!X91*VLOOKUP('Données projet'!$B$9,Paramètres!$A$1:$I$89,3,0)*0.475*44/12</f>
        <v>35.475188804142768</v>
      </c>
      <c r="AB91" s="21">
        <f>EXP(-LN(2)/2)*AB90+(1-EXP(-LN(2)/2))/(LN(2)/2)*V91*Y91*VLOOKUP('Données projet'!$B$9,Paramètres!$A$1:$I$89,3,0)*0.475*44/12</f>
        <v>1.9513502357699608</v>
      </c>
      <c r="AC91" s="22">
        <f t="shared" si="57"/>
        <v>43.513690662472492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7.6966666666666681</v>
      </c>
      <c r="AI91" s="13">
        <f>IF('Données projet'!$A$62&gt;35,AI90+AH91-AQ90,IF(A91&lt;'Données projet'!$A$62,$AF$205^A91,IF(A91='Données projet'!$A$62,'Données projet'!$B$62,AI90+AH91-AQ90)))</f>
        <v>264.886666666667</v>
      </c>
      <c r="AJ91" s="13">
        <f>AI91*VLOOKUP('Données projet'!$B$10,Paramètres!$A$1:$I$89,3,0)*VLOOKUP('Données projet'!$B$10,Paramètres!$A$1:$I$89,5,0)</f>
        <v>239.66945600000031</v>
      </c>
      <c r="AK91" s="13">
        <f t="shared" si="89"/>
        <v>58.368406626869316</v>
      </c>
      <c r="AL91" s="20">
        <f t="shared" si="58"/>
        <v>519.08261074179791</v>
      </c>
      <c r="AM91" s="59">
        <f t="shared" si="59"/>
        <v>812.41594407513116</v>
      </c>
      <c r="AN91" s="59">
        <f ca="1">AVERAGE(OFFSET($AM$3,0,0,'Données projet'!$E$10+1,1))-AVERAGE(OFFSET($H$3,0,0,'Données projet'!$E$10+1,1))</f>
        <v>482.62991869403385</v>
      </c>
      <c r="AO91" s="59">
        <f t="shared" si="90"/>
        <v>310.43914804089906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20.803145593921556</v>
      </c>
      <c r="AV91" s="21">
        <f>EXP(-LN(2)/25)*AV90+(1-EXP(-LN(2)/25))/(LN(2)/25)*Calculateur!AQ91*Calculateur!AS91*VLOOKUP('Données projet'!$B$10,Paramètres!$A$1:$I$89,3,0)*0.475*44/12</f>
        <v>24.283656306830824</v>
      </c>
      <c r="AW91" s="21">
        <f>EXP(-LN(2)/2)*AW90+(1-EXP(-LN(2)/2))/(LN(2)/2)*AQ91*AT91*VLOOKUP('Données projet'!$B$10,Paramètres!$A$1:$I$89,3,0)*0.475*44/12</f>
        <v>1.1037415883157236</v>
      </c>
      <c r="AX91" s="21">
        <f t="shared" si="60"/>
        <v>46.190543489068098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384.34044781465661</v>
      </c>
      <c r="BJ91" s="59">
        <f t="shared" si="92"/>
        <v>374.99493809709708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48.715225329427255</v>
      </c>
      <c r="BQ91" s="21">
        <f>EXP(-LN(2)/25)*BQ90+(1-EXP(-LN(2)/25))/(LN(2)/25)*Calculateur!BL91*Calculateur!BN91*VLOOKUP('Données projet'!$B$11,Paramètres!$A$1:$I$89,3,0)*0.475*44/12</f>
        <v>45.144682856678742</v>
      </c>
      <c r="BR91" s="21">
        <f>EXP(-LN(2)/2)*BR90+(1-EXP(-LN(2)/2))/(LN(2)/2)*BL91*BO91*VLOOKUP('Données projet'!$B$11,Paramètres!$A$1:$I$89,3,0)*0.475*44/12</f>
        <v>4.2838161610863512</v>
      </c>
      <c r="BS91" s="22">
        <f t="shared" si="63"/>
        <v>98.143724347192347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7.6966666666666681</v>
      </c>
      <c r="BY91" s="12">
        <f>IF('Données projet'!$A$114&gt;35,BY90+BX91-CG90,IF(A91&lt;'Données projet'!$A$114,$BV$205^A91,IF(A91='Données projet'!$A$114,'Données projet'!$B$114,BY90+BX91-CG90)))</f>
        <v>264.886666666667</v>
      </c>
      <c r="BZ91" s="13">
        <f>BY91*VLOOKUP('Données projet'!$B$12,Paramètres!$A$1:$I$89,3,0)*VLOOKUP('Données projet'!$B$12,Paramètres!$A$1:$I$89,5,0)</f>
        <v>252.06615200000033</v>
      </c>
      <c r="CA91" s="13">
        <f t="shared" si="93"/>
        <v>61.028164046385932</v>
      </c>
      <c r="CB91" s="20">
        <f t="shared" si="64"/>
        <v>545.30593378078936</v>
      </c>
      <c r="CC91" s="59">
        <f t="shared" si="65"/>
        <v>838.63926711412273</v>
      </c>
      <c r="CD91" s="59">
        <f ca="1">AVERAGE(OFFSET($CC$3,0,0,'Données projet'!$E$12+1,1))-AVERAGE(OFFSET($H$3,0,0,'Données projet'!$E$12+1,1))</f>
        <v>513.14430745499283</v>
      </c>
      <c r="CE91" s="59">
        <f t="shared" si="94"/>
        <v>324.2490378019823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21.879170366020958</v>
      </c>
      <c r="CL91" s="21">
        <f>EXP(-LN(2)/25)*CL90+(1-EXP(-LN(2)/25))/(LN(2)/25)*Calculateur!CG91*Calculateur!CI91*VLOOKUP('Données projet'!$B$12,Paramètres!$A$1:$I$89,3,0)*0.475*44/12</f>
        <v>25.539707495115177</v>
      </c>
      <c r="CM91" s="21">
        <f>EXP(-LN(2)/2)*CM90+(1-EXP(-LN(2)/2))/(LN(2)/2)*CG91*CJ91*VLOOKUP('Données projet'!$B$12,Paramètres!$A$1:$I$89,3,0)*0.475*44/12</f>
        <v>1.1608316704699853</v>
      </c>
      <c r="CN91" s="22">
        <f t="shared" si="66"/>
        <v>48.579709531606127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-1.1368683772161603E-13</v>
      </c>
      <c r="CU91" s="17">
        <f>CT91*VLOOKUP('Données projet'!$B$13,Paramètres!$A$1:$I$89,3,0)*VLOOKUP('Données projet'!$B$13,Paramètres!$A$1:$I$89,5,0)</f>
        <v>-8.8675733422860506E-14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197.51452239559433</v>
      </c>
      <c r="CZ91" s="59">
        <f t="shared" si="96"/>
        <v>196.65166921588821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18.919655877268994</v>
      </c>
      <c r="DG91" s="21">
        <f>EXP(-LN(2)/25)*DG90+(1-EXP(-LN(2)/25))/(LN(2)/25)*Calculateur!DB91*Calculateur!DD91*VLOOKUP('Données projet'!$B$13,Paramètres!$A$1:$I$89,3,0)*0.475*44/12</f>
        <v>16.024852297395668</v>
      </c>
      <c r="DH91" s="21">
        <f>EXP(-LN(2)/2)*DH90+(1-EXP(-LN(2)/2))/(LN(2)/2)*DB91*DE91*VLOOKUP('Données projet'!$B$13,Paramètres!$A$1:$I$89,3,0)*0.475*44/12</f>
        <v>5.3787303321506184E-2</v>
      </c>
      <c r="DI91" s="22">
        <f t="shared" si="69"/>
        <v>34.998295477986169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1.7948717948717956</v>
      </c>
      <c r="DO91" s="12">
        <f>IF('Données projet'!$A$166&gt;35,DO90+DN91-DW90,IF(A91&lt;'Données projet'!$A$166,$DL$205^A91,IF(A91='Données projet'!$A$166,'Données projet'!$B$166,DO90+DN91-DW90)))</f>
        <v>134.23076923076917</v>
      </c>
      <c r="DP91" s="17">
        <f>DO91*VLOOKUP('Données projet'!$B$14,Paramètres!$A$1:$I$89,3,0)*VLOOKUP('Données projet'!$B$14,Paramètres!$A$1:$I$89,5,0)</f>
        <v>140.29799999999997</v>
      </c>
      <c r="DQ91" s="13">
        <f t="shared" si="97"/>
        <v>36.365264659858738</v>
      </c>
      <c r="DR91" s="20">
        <f t="shared" si="70"/>
        <v>307.68851928258727</v>
      </c>
      <c r="DS91" s="59">
        <f t="shared" si="71"/>
        <v>601.02185261592058</v>
      </c>
      <c r="DT91" s="59">
        <f ca="1">AVERAGE(OFFSET($DS$3,0,0,'Données projet'!$E$14+1,1))-AVERAGE(OFFSET($H$3,0,0,'Données projet'!$E$14+1,1))</f>
        <v>239.26156489359892</v>
      </c>
      <c r="DU91" s="59">
        <f t="shared" si="98"/>
        <v>213.97034450798111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1.5096746992654508</v>
      </c>
      <c r="EB91" s="21">
        <f>EXP(-LN(2)/25)*EB90+(1-EXP(-LN(2)/25))/(LN(2)/25)*Calculateur!DW91*Calculateur!DY91*VLOOKUP('Données projet'!$B$14,Paramètres!$A$1:$I$89,3,0)*0.475*44/12</f>
        <v>14.375182335111747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15.884857034377198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6.7600000000000007</v>
      </c>
      <c r="EJ91" s="12">
        <f>IF('Données projet'!$A$192&gt;35,EJ90+EI91-ER90,IF(A91&lt;'Données projet'!$A$192,$EG$205^A91,IF(A91='Données projet'!$A$192,'Données projet'!$B$192,EJ90+EI91-ER90)))</f>
        <v>205.24999999999994</v>
      </c>
      <c r="EK91" s="17">
        <f>EJ91*VLOOKUP('Données projet'!$B$15,Paramètres!$A$1:$I$89,3,0)*VLOOKUP('Données projet'!$B$15,Paramètres!$A$1:$I$89,5,0)</f>
        <v>204.92159999999993</v>
      </c>
      <c r="EL91" s="13">
        <f t="shared" si="99"/>
        <v>50.824251368326159</v>
      </c>
      <c r="EM91" s="20">
        <f t="shared" si="73"/>
        <v>445.42402446650129</v>
      </c>
      <c r="EN91" s="59">
        <f t="shared" si="74"/>
        <v>738.75735779983461</v>
      </c>
      <c r="EO91" s="59">
        <f ca="1">AVERAGE(OFFSET($EN$3,0,0,'Données projet'!$E$15+1,1))-AVERAGE(OFFSET($H$3,0,0,'Données projet'!$E$15+1,1))</f>
        <v>525.74725170626471</v>
      </c>
      <c r="EP91" s="59">
        <f t="shared" si="100"/>
        <v>259.19103598192197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5.99350313605885</v>
      </c>
      <c r="EW91" s="21">
        <f>EXP(-LN(2)/25)*EW90+(1-EXP(-LN(2)/25))/(LN(2)/25)*Calculateur!ER91*Calculateur!ET91*VLOOKUP('Données projet'!$B$15,Paramètres!$A$1:$I$89,3,0)*0.475*44/12</f>
        <v>34.929416668694429</v>
      </c>
      <c r="EX91" s="21">
        <f>EXP(-LN(2)/2)*EX90+(1-EXP(-LN(2)/2))/(LN(2)/2)*ER91*EU91*VLOOKUP('Données projet'!$B$15,Paramètres!$A$1:$I$89,3,0)*0.475*44/12</f>
        <v>1.9213294629119613</v>
      </c>
      <c r="EY91" s="22">
        <f t="shared" si="75"/>
        <v>42.844249267665241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6.7600000000000007</v>
      </c>
      <c r="N92" s="13">
        <f>IF('Données projet'!$A$36&gt;35,N91+M92-V91,IF(A92&lt;'Données projet'!$A$36,$K$205^A92,IF(A92='Données projet'!$A$36,'Données projet'!$B$36,N91+M92-V91)))</f>
        <v>212.00999999999993</v>
      </c>
      <c r="O92" s="13">
        <f>N92*VLOOKUP('Données projet'!$B$9,Paramètres!$A$1:$I$89,3,0)*VLOOKUP('Données projet'!$B$9,Paramètres!$A$1:$I$89,5,0)</f>
        <v>214.97813999999997</v>
      </c>
      <c r="P92" s="13">
        <f t="shared" si="87"/>
        <v>53.021946755647264</v>
      </c>
      <c r="Q92" s="20">
        <f t="shared" si="54"/>
        <v>466.76681776608552</v>
      </c>
      <c r="R92" s="59">
        <f t="shared" si="55"/>
        <v>760.10015109941878</v>
      </c>
      <c r="S92" s="59">
        <f ca="1">AVERAGE(OFFSET($R$3,0,0,'Données projet'!$E$9+1,1))-AVERAGE(OFFSET($H$3,0,0,'Données projet'!$E$9+1,1))</f>
        <v>533.26035274112917</v>
      </c>
      <c r="T92" s="59">
        <f t="shared" si="88"/>
        <v>262.58149402282521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5.9677862920372542</v>
      </c>
      <c r="AA92" s="21">
        <f>EXP(-LN(2)/25)*AA91+(1-EXP(-LN(2)/25))/(LN(2)/25)*Calculateur!V92*Calculateur!X92*VLOOKUP('Données projet'!$B$9,Paramètres!$A$1:$I$89,3,0)*0.475*44/12</f>
        <v>34.505117900734383</v>
      </c>
      <c r="AB92" s="21">
        <f>EXP(-LN(2)/2)*AB91+(1-EXP(-LN(2)/2))/(LN(2)/2)*V92*Y92*VLOOKUP('Données projet'!$B$9,Paramètres!$A$1:$I$89,3,0)*0.475*44/12</f>
        <v>1.3798129841829077</v>
      </c>
      <c r="AC92" s="22">
        <f t="shared" si="57"/>
        <v>41.852717176954542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7.6966666666666681</v>
      </c>
      <c r="AI92" s="13">
        <f>IF('Données projet'!$A$62&gt;35,AI91+AH92-AQ91,IF(A92&lt;'Données projet'!$A$62,$AF$205^A92,IF(A92='Données projet'!$A$62,'Données projet'!$B$62,AI91+AH92-AQ91)))</f>
        <v>272.58333333333366</v>
      </c>
      <c r="AJ92" s="13">
        <f>AI92*VLOOKUP('Données projet'!$B$10,Paramètres!$A$1:$I$89,3,0)*VLOOKUP('Données projet'!$B$10,Paramètres!$A$1:$I$89,5,0)</f>
        <v>246.63340000000028</v>
      </c>
      <c r="AK92" s="13">
        <f t="shared" si="89"/>
        <v>59.864466273444549</v>
      </c>
      <c r="AL92" s="20">
        <f t="shared" si="58"/>
        <v>533.81711709291642</v>
      </c>
      <c r="AM92" s="59">
        <f t="shared" si="59"/>
        <v>827.15045042624979</v>
      </c>
      <c r="AN92" s="59">
        <f ca="1">AVERAGE(OFFSET($AM$3,0,0,'Données projet'!$E$10+1,1))-AVERAGE(OFFSET($H$3,0,0,'Données projet'!$E$10+1,1))</f>
        <v>482.62991869403385</v>
      </c>
      <c r="AO92" s="59">
        <f t="shared" si="90"/>
        <v>310.43914804089906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20.395208597490665</v>
      </c>
      <c r="AV92" s="21">
        <f>EXP(-LN(2)/25)*AV91+(1-EXP(-LN(2)/25))/(LN(2)/25)*Calculateur!AQ92*Calculateur!AS92*VLOOKUP('Données projet'!$B$10,Paramètres!$A$1:$I$89,3,0)*0.475*44/12</f>
        <v>23.619618448098553</v>
      </c>
      <c r="AW92" s="21">
        <f>EXP(-LN(2)/2)*AW91+(1-EXP(-LN(2)/2))/(LN(2)/2)*AQ92*AT92*VLOOKUP('Données projet'!$B$10,Paramètres!$A$1:$I$89,3,0)*0.475*44/12</f>
        <v>0.78046316177565878</v>
      </c>
      <c r="AX92" s="21">
        <f t="shared" si="60"/>
        <v>44.795290207364872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384.34044781465661</v>
      </c>
      <c r="BJ92" s="59">
        <f t="shared" si="92"/>
        <v>374.99493809709708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47.759949474070687</v>
      </c>
      <c r="BQ92" s="21">
        <f>EXP(-LN(2)/25)*BQ91+(1-EXP(-LN(2)/25))/(LN(2)/25)*Calculateur!BL92*Calculateur!BN92*VLOOKUP('Données projet'!$B$11,Paramètres!$A$1:$I$89,3,0)*0.475*44/12</f>
        <v>43.91019912990717</v>
      </c>
      <c r="BR92" s="21">
        <f>EXP(-LN(2)/2)*BR91+(1-EXP(-LN(2)/2))/(LN(2)/2)*BL92*BO92*VLOOKUP('Données projet'!$B$11,Paramètres!$A$1:$I$89,3,0)*0.475*44/12</f>
        <v>3.0291154568606826</v>
      </c>
      <c r="BS92" s="22">
        <f t="shared" si="63"/>
        <v>94.69926406083853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7.6966666666666681</v>
      </c>
      <c r="BY92" s="12">
        <f>IF('Données projet'!$A$114&gt;35,BY91+BX92-CG91,IF(A92&lt;'Données projet'!$A$114,$BV$205^A92,IF(A92='Données projet'!$A$114,'Données projet'!$B$114,BY91+BX92-CG91)))</f>
        <v>272.58333333333366</v>
      </c>
      <c r="BZ92" s="13">
        <f>BY92*VLOOKUP('Données projet'!$B$12,Paramètres!$A$1:$I$89,3,0)*VLOOKUP('Données projet'!$B$12,Paramètres!$A$1:$I$89,5,0)</f>
        <v>259.39030000000031</v>
      </c>
      <c r="CA92" s="13">
        <f t="shared" si="93"/>
        <v>62.59239680192492</v>
      </c>
      <c r="CB92" s="20">
        <f t="shared" si="64"/>
        <v>560.78653026335303</v>
      </c>
      <c r="CC92" s="59">
        <f t="shared" si="65"/>
        <v>854.1198635966864</v>
      </c>
      <c r="CD92" s="59">
        <f ca="1">AVERAGE(OFFSET($CC$3,0,0,'Données projet'!$E$12+1,1))-AVERAGE(OFFSET($H$3,0,0,'Données projet'!$E$12+1,1))</f>
        <v>513.14430745499283</v>
      </c>
      <c r="CE92" s="59">
        <f t="shared" si="94"/>
        <v>324.2490378019823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21.450133180119504</v>
      </c>
      <c r="CL92" s="21">
        <f>EXP(-LN(2)/25)*CL91+(1-EXP(-LN(2)/25))/(LN(2)/25)*Calculateur!CG92*Calculateur!CI92*VLOOKUP('Données projet'!$B$12,Paramètres!$A$1:$I$89,3,0)*0.475*44/12</f>
        <v>24.841322850586408</v>
      </c>
      <c r="CM92" s="21">
        <f>EXP(-LN(2)/2)*CM91+(1-EXP(-LN(2)/2))/(LN(2)/2)*CG92*CJ92*VLOOKUP('Données projet'!$B$12,Paramètres!$A$1:$I$89,3,0)*0.475*44/12</f>
        <v>0.82083194600543441</v>
      </c>
      <c r="CN92" s="22">
        <f t="shared" si="66"/>
        <v>47.11228797671135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-1.1368683772161603E-13</v>
      </c>
      <c r="CU92" s="17">
        <f>CT92*VLOOKUP('Données projet'!$B$13,Paramètres!$A$1:$I$89,3,0)*VLOOKUP('Données projet'!$B$13,Paramètres!$A$1:$I$89,5,0)</f>
        <v>-8.8675733422860506E-14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197.51452239559433</v>
      </c>
      <c r="CZ92" s="59">
        <f t="shared" si="96"/>
        <v>196.65166921588821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18.548652965366369</v>
      </c>
      <c r="DG92" s="21">
        <f>EXP(-LN(2)/25)*DG91+(1-EXP(-LN(2)/25))/(LN(2)/25)*Calculateur!DB92*Calculateur!DD92*VLOOKUP('Données projet'!$B$13,Paramètres!$A$1:$I$89,3,0)*0.475*44/12</f>
        <v>15.586651868613027</v>
      </c>
      <c r="DH92" s="21">
        <f>EXP(-LN(2)/2)*DH91+(1-EXP(-LN(2)/2))/(LN(2)/2)*DB92*DE92*VLOOKUP('Données projet'!$B$13,Paramètres!$A$1:$I$89,3,0)*0.475*44/12</f>
        <v>3.8033366920374734E-2</v>
      </c>
      <c r="DI92" s="22">
        <f t="shared" si="69"/>
        <v>34.173338200899771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1.7948717948717956</v>
      </c>
      <c r="DO92" s="12">
        <f>IF('Données projet'!$A$166&gt;35,DO91+DN92-DW91,IF(A92&lt;'Données projet'!$A$166,$DL$205^A92,IF(A92='Données projet'!$A$166,'Données projet'!$B$166,DO91+DN92-DW91)))</f>
        <v>136.02564102564097</v>
      </c>
      <c r="DP92" s="17">
        <f>DO92*VLOOKUP('Données projet'!$B$14,Paramètres!$A$1:$I$89,3,0)*VLOOKUP('Données projet'!$B$14,Paramètres!$A$1:$I$89,5,0)</f>
        <v>142.17399999999995</v>
      </c>
      <c r="DQ92" s="13">
        <f t="shared" si="97"/>
        <v>36.794590842933211</v>
      </c>
      <c r="DR92" s="20">
        <f t="shared" si="70"/>
        <v>311.70362905144191</v>
      </c>
      <c r="DS92" s="59">
        <f t="shared" si="71"/>
        <v>605.03696238477528</v>
      </c>
      <c r="DT92" s="59">
        <f ca="1">AVERAGE(OFFSET($DS$3,0,0,'Données projet'!$E$14+1,1))-AVERAGE(OFFSET($H$3,0,0,'Données projet'!$E$14+1,1))</f>
        <v>239.26156489359892</v>
      </c>
      <c r="DU92" s="59">
        <f t="shared" si="98"/>
        <v>213.97034450798111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1.4800708992234994</v>
      </c>
      <c r="EB92" s="21">
        <f>EXP(-LN(2)/25)*EB91+(1-EXP(-LN(2)/25))/(LN(2)/25)*Calculateur!DW92*Calculateur!DY92*VLOOKUP('Données projet'!$B$14,Paramètres!$A$1:$I$89,3,0)*0.475*44/12</f>
        <v>13.982092218200131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15.46216311742363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6.7600000000000007</v>
      </c>
      <c r="EJ92" s="12">
        <f>IF('Données projet'!$A$192&gt;35,EJ91+EI92-ER91,IF(A92&lt;'Données projet'!$A$192,$EG$205^A92,IF(A92='Données projet'!$A$192,'Données projet'!$B$192,EJ91+EI92-ER91)))</f>
        <v>212.00999999999993</v>
      </c>
      <c r="EK92" s="17">
        <f>EJ92*VLOOKUP('Données projet'!$B$15,Paramètres!$A$1:$I$89,3,0)*VLOOKUP('Données projet'!$B$15,Paramètres!$A$1:$I$89,5,0)</f>
        <v>211.67078399999994</v>
      </c>
      <c r="EL92" s="13">
        <f t="shared" si="99"/>
        <v>52.300525475162452</v>
      </c>
      <c r="EM92" s="20">
        <f t="shared" si="73"/>
        <v>459.75003066924114</v>
      </c>
      <c r="EN92" s="59">
        <f t="shared" si="74"/>
        <v>753.0833640025744</v>
      </c>
      <c r="EO92" s="59">
        <f ca="1">AVERAGE(OFFSET($EN$3,0,0,'Données projet'!$E$15+1,1))-AVERAGE(OFFSET($H$3,0,0,'Données projet'!$E$15+1,1))</f>
        <v>525.74725170626471</v>
      </c>
      <c r="EP92" s="59">
        <f t="shared" si="100"/>
        <v>259.19103598192197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5.8759741952366813</v>
      </c>
      <c r="EW92" s="21">
        <f>EXP(-LN(2)/25)*EW91+(1-EXP(-LN(2)/25))/(LN(2)/25)*Calculateur!ER92*Calculateur!ET92*VLOOKUP('Données projet'!$B$15,Paramètres!$A$1:$I$89,3,0)*0.475*44/12</f>
        <v>33.97426993303079</v>
      </c>
      <c r="EX92" s="21">
        <f>EXP(-LN(2)/2)*EX91+(1-EXP(-LN(2)/2))/(LN(2)/2)*ER92*EU92*VLOOKUP('Données projet'!$B$15,Paramètres!$A$1:$I$89,3,0)*0.475*44/12</f>
        <v>1.3585850921185552</v>
      </c>
      <c r="EY92" s="22">
        <f t="shared" si="75"/>
        <v>41.208829220386022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6.7600000000000007</v>
      </c>
      <c r="N93" s="13">
        <f>IF('Données projet'!$A$36&gt;35,N92+M93-V92,IF(A93&lt;'Données projet'!$A$36,$K$205^A93,IF(A93='Données projet'!$A$36,'Données projet'!$B$36,N92+M93-V92)))</f>
        <v>218.76999999999992</v>
      </c>
      <c r="O93" s="13">
        <f>N93*VLOOKUP('Données projet'!$B$9,Paramètres!$A$1:$I$89,3,0)*VLOOKUP('Données projet'!$B$9,Paramètres!$A$1:$I$89,5,0)</f>
        <v>221.83277999999993</v>
      </c>
      <c r="P93" s="13">
        <f t="shared" si="87"/>
        <v>54.513038854982973</v>
      </c>
      <c r="Q93" s="20">
        <f t="shared" si="54"/>
        <v>481.30230117242854</v>
      </c>
      <c r="R93" s="59">
        <f t="shared" si="55"/>
        <v>774.6356345057618</v>
      </c>
      <c r="S93" s="59">
        <f ca="1">AVERAGE(OFFSET($R$3,0,0,'Données projet'!$E$9+1,1))-AVERAGE(OFFSET($H$3,0,0,'Données projet'!$E$9+1,1))</f>
        <v>533.26035274112917</v>
      </c>
      <c r="T93" s="59">
        <f t="shared" si="88"/>
        <v>262.58149402282521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5.8507616428406228</v>
      </c>
      <c r="AA93" s="21">
        <f>EXP(-LN(2)/25)*AA92+(1-EXP(-LN(2)/25))/(LN(2)/25)*Calculateur!V93*Calculateur!X93*VLOOKUP('Données projet'!$B$9,Paramètres!$A$1:$I$89,3,0)*0.475*44/12</f>
        <v>33.561573637193511</v>
      </c>
      <c r="AB93" s="21">
        <f>EXP(-LN(2)/2)*AB92+(1-EXP(-LN(2)/2))/(LN(2)/2)*V93*Y93*VLOOKUP('Données projet'!$B$9,Paramètres!$A$1:$I$89,3,0)*0.475*44/12</f>
        <v>0.97567511788498051</v>
      </c>
      <c r="AC93" s="22">
        <f t="shared" si="57"/>
        <v>40.388010397919118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7.6966666666666681</v>
      </c>
      <c r="AI93" s="13">
        <f>IF('Données projet'!$A$62&gt;35,AI92+AH93-AQ92,IF(A93&lt;'Données projet'!$A$62,$AF$205^A93,IF(A93='Données projet'!$A$62,'Données projet'!$B$62,AI92+AH93-AQ92)))</f>
        <v>280.28000000000031</v>
      </c>
      <c r="AJ93" s="13">
        <f>AI93*VLOOKUP('Données projet'!$B$10,Paramètres!$A$1:$I$89,3,0)*VLOOKUP('Données projet'!$B$10,Paramètres!$A$1:$I$89,5,0)</f>
        <v>253.59734400000028</v>
      </c>
      <c r="AK93" s="13">
        <f t="shared" si="89"/>
        <v>61.355616244892218</v>
      </c>
      <c r="AL93" s="20">
        <f t="shared" si="58"/>
        <v>548.54307242652112</v>
      </c>
      <c r="AM93" s="59">
        <f t="shared" si="59"/>
        <v>841.87640575985438</v>
      </c>
      <c r="AN93" s="59">
        <f ca="1">AVERAGE(OFFSET($AM$3,0,0,'Données projet'!$E$10+1,1))-AVERAGE(OFFSET($H$3,0,0,'Données projet'!$E$10+1,1))</f>
        <v>482.62991869403385</v>
      </c>
      <c r="AO93" s="59">
        <f t="shared" si="90"/>
        <v>310.43914804089906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19.995270996742786</v>
      </c>
      <c r="AV93" s="21">
        <f>EXP(-LN(2)/25)*AV92+(1-EXP(-LN(2)/25))/(LN(2)/25)*Calculateur!AQ93*Calculateur!AS93*VLOOKUP('Données projet'!$B$10,Paramètres!$A$1:$I$89,3,0)*0.475*44/12</f>
        <v>22.973738739533548</v>
      </c>
      <c r="AW93" s="21">
        <f>EXP(-LN(2)/2)*AW92+(1-EXP(-LN(2)/2))/(LN(2)/2)*AQ93*AT93*VLOOKUP('Données projet'!$B$10,Paramètres!$A$1:$I$89,3,0)*0.475*44/12</f>
        <v>0.55187079415786178</v>
      </c>
      <c r="AX93" s="21">
        <f t="shared" si="60"/>
        <v>43.520880530434198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384.34044781465661</v>
      </c>
      <c r="BJ93" s="59">
        <f t="shared" si="92"/>
        <v>374.99493809709708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46.823405995576927</v>
      </c>
      <c r="BQ93" s="21">
        <f>EXP(-LN(2)/25)*BQ92+(1-EXP(-LN(2)/25))/(LN(2)/25)*Calculateur!BL93*Calculateur!BN93*VLOOKUP('Données projet'!$B$11,Paramètres!$A$1:$I$89,3,0)*0.475*44/12</f>
        <v>42.709472425562844</v>
      </c>
      <c r="BR93" s="21">
        <f>EXP(-LN(2)/2)*BR92+(1-EXP(-LN(2)/2))/(LN(2)/2)*BL93*BO93*VLOOKUP('Données projet'!$B$11,Paramètres!$A$1:$I$89,3,0)*0.475*44/12</f>
        <v>2.1419080805431756</v>
      </c>
      <c r="BS93" s="22">
        <f t="shared" si="63"/>
        <v>91.674786501682945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7.6966666666666681</v>
      </c>
      <c r="BY93" s="12">
        <f>IF('Données projet'!$A$114&gt;35,BY92+BX93-CG92,IF(A93&lt;'Données projet'!$A$114,$BV$205^A93,IF(A93='Données projet'!$A$114,'Données projet'!$B$114,BY92+BX93-CG92)))</f>
        <v>280.28000000000031</v>
      </c>
      <c r="BZ93" s="13">
        <f>BY93*VLOOKUP('Données projet'!$B$12,Paramètres!$A$1:$I$89,3,0)*VLOOKUP('Données projet'!$B$12,Paramètres!$A$1:$I$89,5,0)</f>
        <v>266.71444800000029</v>
      </c>
      <c r="CA93" s="13">
        <f t="shared" si="93"/>
        <v>64.151496156084377</v>
      </c>
      <c r="CB93" s="20">
        <f t="shared" si="64"/>
        <v>576.25818607184738</v>
      </c>
      <c r="CC93" s="59">
        <f t="shared" si="65"/>
        <v>869.59151940518063</v>
      </c>
      <c r="CD93" s="59">
        <f ca="1">AVERAGE(OFFSET($CC$3,0,0,'Données projet'!$E$12+1,1))-AVERAGE(OFFSET($H$3,0,0,'Données projet'!$E$12+1,1))</f>
        <v>513.14430745499283</v>
      </c>
      <c r="CE93" s="59">
        <f t="shared" si="94"/>
        <v>324.2490378019823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21.029509151746733</v>
      </c>
      <c r="CL93" s="21">
        <f>EXP(-LN(2)/25)*CL92+(1-EXP(-LN(2)/25))/(LN(2)/25)*Calculateur!CG93*Calculateur!CI93*VLOOKUP('Données projet'!$B$12,Paramètres!$A$1:$I$89,3,0)*0.475*44/12</f>
        <v>24.16203557088873</v>
      </c>
      <c r="CM93" s="21">
        <f>EXP(-LN(2)/2)*CM92+(1-EXP(-LN(2)/2))/(LN(2)/2)*CG93*CJ93*VLOOKUP('Données projet'!$B$12,Paramètres!$A$1:$I$89,3,0)*0.475*44/12</f>
        <v>0.58041583523499274</v>
      </c>
      <c r="CN93" s="22">
        <f t="shared" si="66"/>
        <v>45.771960557870457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-1.1368683772161603E-13</v>
      </c>
      <c r="CU93" s="17">
        <f>CT93*VLOOKUP('Données projet'!$B$13,Paramètres!$A$1:$I$89,3,0)*VLOOKUP('Données projet'!$B$13,Paramètres!$A$1:$I$89,5,0)</f>
        <v>-8.8675733422860506E-14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197.51452239559433</v>
      </c>
      <c r="CZ93" s="59">
        <f t="shared" si="96"/>
        <v>196.65166921588821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18.184925194276722</v>
      </c>
      <c r="DG93" s="21">
        <f>EXP(-LN(2)/25)*DG92+(1-EXP(-LN(2)/25))/(LN(2)/25)*Calculateur!DB93*Calculateur!DD93*VLOOKUP('Données projet'!$B$13,Paramètres!$A$1:$I$89,3,0)*0.475*44/12</f>
        <v>15.160434053599406</v>
      </c>
      <c r="DH93" s="21">
        <f>EXP(-LN(2)/2)*DH92+(1-EXP(-LN(2)/2))/(LN(2)/2)*DB93*DE93*VLOOKUP('Données projet'!$B$13,Paramètres!$A$1:$I$89,3,0)*0.475*44/12</f>
        <v>2.6893651660753092E-2</v>
      </c>
      <c r="DI93" s="22">
        <f t="shared" si="69"/>
        <v>33.372252899536882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137.82051282051282</v>
      </c>
      <c r="DM93" s="12">
        <f>VLOOKUP(A93,'Données projet'!$A$165:$I$185,9,0)</f>
        <v>1.7948717948717956</v>
      </c>
      <c r="DN93" s="12">
        <f t="array" ref="DN93">INDEX(DM:DM,MIN(IF(ISNUMBER(DM93:DM289),ROW(DM93:DM289),"")))</f>
        <v>1.7948717948717956</v>
      </c>
      <c r="DO93" s="12">
        <f>IF('Données projet'!$A$166&gt;35,DO92+DN93-DW92,IF(A93&lt;'Données projet'!$A$166,$DL$205^A93,IF(A93='Données projet'!$A$166,'Données projet'!$B$166,DO92+DN93-DW92)))</f>
        <v>137.82051282051276</v>
      </c>
      <c r="DP93" s="17">
        <f>DO93*VLOOKUP('Données projet'!$B$14,Paramètres!$A$1:$I$89,3,0)*VLOOKUP('Données projet'!$B$14,Paramètres!$A$1:$I$89,5,0)</f>
        <v>144.04999999999995</v>
      </c>
      <c r="DQ93" s="13">
        <f t="shared" si="97"/>
        <v>37.223258105752187</v>
      </c>
      <c r="DR93" s="20">
        <f t="shared" si="70"/>
        <v>315.71759120085159</v>
      </c>
      <c r="DS93" s="59">
        <f t="shared" si="71"/>
        <v>609.0509245341849</v>
      </c>
      <c r="DT93" s="59">
        <f ca="1">AVERAGE(OFFSET($DS$3,0,0,'Données projet'!$E$14+1,1))-AVERAGE(OFFSET($H$3,0,0,'Données projet'!$E$14+1,1))</f>
        <v>239.26156489359892</v>
      </c>
      <c r="DU93" s="59">
        <f t="shared" si="98"/>
        <v>213.97034450798111</v>
      </c>
      <c r="DV93" s="15">
        <f>IF(ISNA(VLOOKUP(A93,'Données projet'!$A$165:$I$185,3,0)),0,VLOOKUP(A93,'Données projet'!$A$165:$I$185,3,0))</f>
        <v>15</v>
      </c>
      <c r="DW93" s="15">
        <f>IF(ISNA(VLOOKUP(A93,'Données projet'!$A$165:$I$185,4,0)),0,VLOOKUP(A93,'Données projet'!$A$165:$I$185,4,0))</f>
        <v>6.4102564102564097</v>
      </c>
      <c r="DX93" s="16">
        <f>IF(ISNA(VLOOKUP(A93,'Données projet'!$A$165:$I$185,5,0)),0%,VLOOKUP(A93,'Données projet'!$A$165:$I$185,5,0)*VLOOKUP('Données projet'!$B$14,Paramètres!$A$1:$I$89,7,0))</f>
        <v>4.3000000000000003E-2</v>
      </c>
      <c r="DY93" s="16">
        <f>IF(ISNA(VLOOKUP(A93,'Données projet'!$A$165:$I$185,6,0)),0%,VLOOKUP(A93,'Données projet'!$A$165:$I$185,6,0)*VLOOKUP('Données projet'!$B$14,Paramètres!$A$1:$I$89,7,0))</f>
        <v>0.215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1.7695336279872784</v>
      </c>
      <c r="EB93" s="21">
        <f>EXP(-LN(2)/25)*EB92+(1-EXP(-LN(2)/25))/(LN(2)/25)*Calculateur!DW93*Calculateur!DY93*VLOOKUP('Données projet'!$B$14,Paramètres!$A$1:$I$89,3,0)*0.475*44/12</f>
        <v>15.185911248929239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16.955444876916516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6.7600000000000007</v>
      </c>
      <c r="EJ93" s="12">
        <f>IF('Données projet'!$A$192&gt;35,EJ92+EI93-ER92,IF(A93&lt;'Données projet'!$A$192,$EG$205^A93,IF(A93='Données projet'!$A$192,'Données projet'!$B$192,EJ92+EI93-ER92)))</f>
        <v>218.76999999999992</v>
      </c>
      <c r="EK93" s="17">
        <f>EJ93*VLOOKUP('Données projet'!$B$15,Paramètres!$A$1:$I$89,3,0)*VLOOKUP('Données projet'!$B$15,Paramètres!$A$1:$I$89,5,0)</f>
        <v>218.41996799999993</v>
      </c>
      <c r="EL93" s="13">
        <f t="shared" si="99"/>
        <v>53.771329643981751</v>
      </c>
      <c r="EM93" s="20">
        <f t="shared" si="73"/>
        <v>474.06651006326803</v>
      </c>
      <c r="EN93" s="59">
        <f t="shared" si="74"/>
        <v>767.39984339660134</v>
      </c>
      <c r="EO93" s="59">
        <f ca="1">AVERAGE(OFFSET($EN$3,0,0,'Données projet'!$E$15+1,1))-AVERAGE(OFFSET($H$3,0,0,'Données projet'!$E$15+1,1))</f>
        <v>525.74725170626471</v>
      </c>
      <c r="EP93" s="59">
        <f t="shared" si="100"/>
        <v>259.19103598192197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5.7607499252584597</v>
      </c>
      <c r="EW93" s="21">
        <f>EXP(-LN(2)/25)*EW92+(1-EXP(-LN(2)/25))/(LN(2)/25)*Calculateur!ER93*Calculateur!ET93*VLOOKUP('Données projet'!$B$15,Paramètres!$A$1:$I$89,3,0)*0.475*44/12</f>
        <v>33.045241735082854</v>
      </c>
      <c r="EX93" s="21">
        <f>EXP(-LN(2)/2)*EX92+(1-EXP(-LN(2)/2))/(LN(2)/2)*ER93*EU93*VLOOKUP('Données projet'!$B$15,Paramètres!$A$1:$I$89,3,0)*0.475*44/12</f>
        <v>0.96066473145598075</v>
      </c>
      <c r="EY93" s="22">
        <f t="shared" si="75"/>
        <v>39.766656391797291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6.7600000000000007</v>
      </c>
      <c r="N94" s="13">
        <f>IF('Données projet'!$A$36&gt;35,N93+M94-V93,IF(A94&lt;'Données projet'!$A$36,$K$205^A94,IF(A94='Données projet'!$A$36,'Données projet'!$B$36,N93+M94-V93)))</f>
        <v>225.52999999999992</v>
      </c>
      <c r="O94" s="13">
        <f>N94*VLOOKUP('Données projet'!$B$9,Paramètres!$A$1:$I$89,3,0)*VLOOKUP('Données projet'!$B$9,Paramètres!$A$1:$I$89,5,0)</f>
        <v>228.68741999999995</v>
      </c>
      <c r="P94" s="13">
        <f t="shared" si="87"/>
        <v>55.998776581457236</v>
      </c>
      <c r="Q94" s="20">
        <f t="shared" si="54"/>
        <v>495.82845904603795</v>
      </c>
      <c r="R94" s="59">
        <f t="shared" si="55"/>
        <v>789.16179237937126</v>
      </c>
      <c r="S94" s="59">
        <f ca="1">AVERAGE(OFFSET($R$3,0,0,'Données projet'!$E$9+1,1))-AVERAGE(OFFSET($H$3,0,0,'Données projet'!$E$9+1,1))</f>
        <v>533.26035274112917</v>
      </c>
      <c r="T94" s="59">
        <f t="shared" si="88"/>
        <v>262.58149402282521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5.7360317756367492</v>
      </c>
      <c r="AA94" s="21">
        <f>EXP(-LN(2)/25)*AA93+(1-EXP(-LN(2)/25))/(LN(2)/25)*Calculateur!V94*Calculateur!X94*VLOOKUP('Données projet'!$B$9,Paramètres!$A$1:$I$89,3,0)*0.475*44/12</f>
        <v>32.643830641158004</v>
      </c>
      <c r="AB94" s="21">
        <f>EXP(-LN(2)/2)*AB93+(1-EXP(-LN(2)/2))/(LN(2)/2)*V94*Y94*VLOOKUP('Données projet'!$B$9,Paramètres!$A$1:$I$89,3,0)*0.475*44/12</f>
        <v>0.68990649209145394</v>
      </c>
      <c r="AC94" s="22">
        <f t="shared" si="57"/>
        <v>39.069768908886203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7.6966666666666681</v>
      </c>
      <c r="AI94" s="13">
        <f>IF('Données projet'!$A$62&gt;35,AI93+AH94-AQ93,IF(A94&lt;'Données projet'!$A$62,$AF$205^A94,IF(A94='Données projet'!$A$62,'Données projet'!$B$62,AI93+AH94-AQ93)))</f>
        <v>287.97666666666697</v>
      </c>
      <c r="AJ94" s="13">
        <f>AI94*VLOOKUP('Données projet'!$B$10,Paramètres!$A$1:$I$89,3,0)*VLOOKUP('Données projet'!$B$10,Paramètres!$A$1:$I$89,5,0)</f>
        <v>260.56128800000027</v>
      </c>
      <c r="AK94" s="13">
        <f t="shared" si="89"/>
        <v>62.842006855343143</v>
      </c>
      <c r="AL94" s="20">
        <f t="shared" si="58"/>
        <v>563.26073853972309</v>
      </c>
      <c r="AM94" s="59">
        <f t="shared" si="59"/>
        <v>856.59407187305646</v>
      </c>
      <c r="AN94" s="59">
        <f ca="1">AVERAGE(OFFSET($AM$3,0,0,'Données projet'!$E$10+1,1))-AVERAGE(OFFSET($H$3,0,0,'Données projet'!$E$10+1,1))</f>
        <v>482.62991869403385</v>
      </c>
      <c r="AO94" s="59">
        <f t="shared" si="90"/>
        <v>310.43914804089906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19.603175928407722</v>
      </c>
      <c r="AV94" s="21">
        <f>EXP(-LN(2)/25)*AV93+(1-EXP(-LN(2)/25))/(LN(2)/25)*Calculateur!AQ94*Calculateur!AS94*VLOOKUP('Données projet'!$B$10,Paramètres!$A$1:$I$89,3,0)*0.475*44/12</f>
        <v>22.345520645564591</v>
      </c>
      <c r="AW94" s="21">
        <f>EXP(-LN(2)/2)*AW93+(1-EXP(-LN(2)/2))/(LN(2)/2)*AQ94*AT94*VLOOKUP('Données projet'!$B$10,Paramètres!$A$1:$I$89,3,0)*0.475*44/12</f>
        <v>0.39023158088782939</v>
      </c>
      <c r="AX94" s="21">
        <f t="shared" si="60"/>
        <v>42.338928154860142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384.34044781465661</v>
      </c>
      <c r="BJ94" s="59">
        <f t="shared" si="92"/>
        <v>374.99493809709708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45.90522756346131</v>
      </c>
      <c r="BQ94" s="21">
        <f>EXP(-LN(2)/25)*BQ93+(1-EXP(-LN(2)/25))/(LN(2)/25)*Calculateur!BL94*Calculateur!BN94*VLOOKUP('Données projet'!$B$11,Paramètres!$A$1:$I$89,3,0)*0.475*44/12</f>
        <v>41.541579656092289</v>
      </c>
      <c r="BR94" s="21">
        <f>EXP(-LN(2)/2)*BR93+(1-EXP(-LN(2)/2))/(LN(2)/2)*BL94*BO94*VLOOKUP('Données projet'!$B$11,Paramètres!$A$1:$I$89,3,0)*0.475*44/12</f>
        <v>1.5145577284303413</v>
      </c>
      <c r="BS94" s="22">
        <f t="shared" si="63"/>
        <v>88.961364947983938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7.6966666666666681</v>
      </c>
      <c r="BY94" s="12">
        <f>IF('Données projet'!$A$114&gt;35,BY93+BX94-CG93,IF(A94&lt;'Données projet'!$A$114,$BV$205^A94,IF(A94='Données projet'!$A$114,'Données projet'!$B$114,BY93+BX94-CG93)))</f>
        <v>287.97666666666697</v>
      </c>
      <c r="BZ94" s="13">
        <f>BY94*VLOOKUP('Données projet'!$B$12,Paramètres!$A$1:$I$89,3,0)*VLOOKUP('Données projet'!$B$12,Paramètres!$A$1:$I$89,5,0)</f>
        <v>274.03859600000033</v>
      </c>
      <c r="CA94" s="13">
        <f t="shared" si="93"/>
        <v>65.705619272576172</v>
      </c>
      <c r="CB94" s="20">
        <f t="shared" si="64"/>
        <v>591.72117493307076</v>
      </c>
      <c r="CC94" s="59">
        <f t="shared" si="65"/>
        <v>885.05450826640413</v>
      </c>
      <c r="CD94" s="59">
        <f ca="1">AVERAGE(OFFSET($CC$3,0,0,'Données projet'!$E$12+1,1))-AVERAGE(OFFSET($H$3,0,0,'Données projet'!$E$12+1,1))</f>
        <v>513.14430745499283</v>
      </c>
      <c r="CE94" s="59">
        <f t="shared" si="94"/>
        <v>324.2490378019823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20.617133304015027</v>
      </c>
      <c r="CL94" s="21">
        <f>EXP(-LN(2)/25)*CL93+(1-EXP(-LN(2)/25))/(LN(2)/25)*Calculateur!CG94*Calculateur!CI94*VLOOKUP('Données projet'!$B$12,Paramètres!$A$1:$I$89,3,0)*0.475*44/12</f>
        <v>23.501323437576549</v>
      </c>
      <c r="CM94" s="21">
        <f>EXP(-LN(2)/2)*CM93+(1-EXP(-LN(2)/2))/(LN(2)/2)*CG94*CJ94*VLOOKUP('Données projet'!$B$12,Paramètres!$A$1:$I$89,3,0)*0.475*44/12</f>
        <v>0.41041597300271726</v>
      </c>
      <c r="CN94" s="22">
        <f t="shared" si="66"/>
        <v>44.528872714594293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-1.1368683772161603E-13</v>
      </c>
      <c r="CU94" s="17">
        <f>CT94*VLOOKUP('Données projet'!$B$13,Paramètres!$A$1:$I$89,3,0)*VLOOKUP('Données projet'!$B$13,Paramètres!$A$1:$I$89,5,0)</f>
        <v>-8.8675733422860506E-14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197.51452239559433</v>
      </c>
      <c r="CZ94" s="59">
        <f t="shared" si="96"/>
        <v>196.65166921588821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17.828329902926111</v>
      </c>
      <c r="DG94" s="21">
        <f>EXP(-LN(2)/25)*DG93+(1-EXP(-LN(2)/25))/(LN(2)/25)*Calculateur!DB94*Calculateur!DD94*VLOOKUP('Données projet'!$B$13,Paramètres!$A$1:$I$89,3,0)*0.475*44/12</f>
        <v>14.745871187151153</v>
      </c>
      <c r="DH94" s="21">
        <f>EXP(-LN(2)/2)*DH93+(1-EXP(-LN(2)/2))/(LN(2)/2)*DB94*DE94*VLOOKUP('Données projet'!$B$13,Paramètres!$A$1:$I$89,3,0)*0.475*44/12</f>
        <v>1.9016683460187367E-2</v>
      </c>
      <c r="DI94" s="22">
        <f t="shared" si="69"/>
        <v>32.593217773537454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1.7948717948717956</v>
      </c>
      <c r="DO94" s="12">
        <f>IF('Données projet'!$A$166&gt;35,DO93+DN94-DW93,IF(A94&lt;'Données projet'!$A$166,$DL$205^A94,IF(A94='Données projet'!$A$166,'Données projet'!$B$166,DO93+DN94-DW93)))</f>
        <v>133.20512820512815</v>
      </c>
      <c r="DP94" s="17">
        <f>DO94*VLOOKUP('Données projet'!$B$14,Paramètres!$A$1:$I$89,3,0)*VLOOKUP('Données projet'!$B$14,Paramètres!$A$1:$I$89,5,0)</f>
        <v>139.22599999999994</v>
      </c>
      <c r="DQ94" s="13">
        <f t="shared" si="97"/>
        <v>36.119635793564001</v>
      </c>
      <c r="DR94" s="20">
        <f t="shared" si="70"/>
        <v>305.39364900712383</v>
      </c>
      <c r="DS94" s="59">
        <f t="shared" si="71"/>
        <v>598.7269823404572</v>
      </c>
      <c r="DT94" s="59">
        <f ca="1">AVERAGE(OFFSET($DS$3,0,0,'Données projet'!$E$14+1,1))-AVERAGE(OFFSET($H$3,0,0,'Données projet'!$E$14+1,1))</f>
        <v>239.26156489359892</v>
      </c>
      <c r="DU94" s="59">
        <f t="shared" si="98"/>
        <v>213.97034450798111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1.734834152851388</v>
      </c>
      <c r="EB94" s="21">
        <f>EXP(-LN(2)/25)*EB93+(1-EXP(-LN(2)/25))/(LN(2)/25)*Calculateur!DW94*Calculateur!DY94*VLOOKUP('Données projet'!$B$14,Paramètres!$A$1:$I$89,3,0)*0.475*44/12</f>
        <v>14.770651707234904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16.505485860086292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6.7600000000000007</v>
      </c>
      <c r="EJ94" s="12">
        <f>IF('Données projet'!$A$192&gt;35,EJ93+EI94-ER93,IF(A94&lt;'Données projet'!$A$192,$EG$205^A94,IF(A94='Données projet'!$A$192,'Données projet'!$B$192,EJ93+EI94-ER93)))</f>
        <v>225.52999999999992</v>
      </c>
      <c r="EK94" s="17">
        <f>EJ94*VLOOKUP('Données projet'!$B$15,Paramètres!$A$1:$I$89,3,0)*VLOOKUP('Données projet'!$B$15,Paramètres!$A$1:$I$89,5,0)</f>
        <v>225.16915199999994</v>
      </c>
      <c r="EL94" s="13">
        <f t="shared" si="99"/>
        <v>55.236852292008642</v>
      </c>
      <c r="EM94" s="20">
        <f t="shared" si="73"/>
        <v>488.37379080858153</v>
      </c>
      <c r="EN94" s="59">
        <f t="shared" si="74"/>
        <v>781.70712414191485</v>
      </c>
      <c r="EO94" s="59">
        <f ca="1">AVERAGE(OFFSET($EN$3,0,0,'Données projet'!$E$15+1,1))-AVERAGE(OFFSET($H$3,0,0,'Données projet'!$E$15+1,1))</f>
        <v>525.74725170626471</v>
      </c>
      <c r="EP94" s="59">
        <f t="shared" si="100"/>
        <v>259.19103598192197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5.6477851329346453</v>
      </c>
      <c r="EW94" s="21">
        <f>EXP(-LN(2)/25)*EW93+(1-EXP(-LN(2)/25))/(LN(2)/25)*Calculateur!ER94*Calculateur!ET94*VLOOKUP('Données projet'!$B$15,Paramètres!$A$1:$I$89,3,0)*0.475*44/12</f>
        <v>32.141617862063278</v>
      </c>
      <c r="EX94" s="21">
        <f>EXP(-LN(2)/2)*EX93+(1-EXP(-LN(2)/2))/(LN(2)/2)*ER94*EU94*VLOOKUP('Données projet'!$B$15,Paramètres!$A$1:$I$89,3,0)*0.475*44/12</f>
        <v>0.67929254605927769</v>
      </c>
      <c r="EY94" s="22">
        <f t="shared" si="75"/>
        <v>38.468695541057201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6.7600000000000007</v>
      </c>
      <c r="N95" s="13">
        <f>IF('Données projet'!$A$36&gt;35,N94+M95-V94,IF(A95&lt;'Données projet'!$A$36,$K$205^A95,IF(A95='Données projet'!$A$36,'Données projet'!$B$36,N94+M95-V94)))</f>
        <v>232.28999999999991</v>
      </c>
      <c r="O95" s="13">
        <f>N95*VLOOKUP('Données projet'!$B$9,Paramètres!$A$1:$I$89,3,0)*VLOOKUP('Données projet'!$B$9,Paramètres!$A$1:$I$89,5,0)</f>
        <v>235.54205999999991</v>
      </c>
      <c r="P95" s="13">
        <f t="shared" si="87"/>
        <v>57.479338849475639</v>
      </c>
      <c r="Q95" s="20">
        <f t="shared" si="54"/>
        <v>510.34560299616987</v>
      </c>
      <c r="R95" s="59">
        <f t="shared" si="55"/>
        <v>803.67893632950313</v>
      </c>
      <c r="S95" s="59">
        <f ca="1">AVERAGE(OFFSET($R$3,0,0,'Données projet'!$E$9+1,1))-AVERAGE(OFFSET($H$3,0,0,'Données projet'!$E$9+1,1))</f>
        <v>533.26035274112917</v>
      </c>
      <c r="T95" s="59">
        <f t="shared" si="88"/>
        <v>262.58149402282521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5.6235516911504346</v>
      </c>
      <c r="AA95" s="21">
        <f>EXP(-LN(2)/25)*AA94+(1-EXP(-LN(2)/25))/(LN(2)/25)*Calculateur!V95*Calculateur!X95*VLOOKUP('Données projet'!$B$9,Paramètres!$A$1:$I$89,3,0)*0.475*44/12</f>
        <v>31.751183375611095</v>
      </c>
      <c r="AB95" s="21">
        <f>EXP(-LN(2)/2)*AB94+(1-EXP(-LN(2)/2))/(LN(2)/2)*V95*Y95*VLOOKUP('Données projet'!$B$9,Paramètres!$A$1:$I$89,3,0)*0.475*44/12</f>
        <v>0.48783755894249031</v>
      </c>
      <c r="AC95" s="22">
        <f t="shared" si="57"/>
        <v>37.862572625704018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7.6966666666666681</v>
      </c>
      <c r="AI95" s="13">
        <f>IF('Données projet'!$A$62&gt;35,AI94+AH95-AQ94,IF(A95&lt;'Données projet'!$A$62,$AF$205^A95,IF(A95='Données projet'!$A$62,'Données projet'!$B$62,AI94+AH95-AQ94)))</f>
        <v>295.67333333333363</v>
      </c>
      <c r="AJ95" s="13">
        <f>AI95*VLOOKUP('Données projet'!$B$10,Paramètres!$A$1:$I$89,3,0)*VLOOKUP('Données projet'!$B$10,Paramètres!$A$1:$I$89,5,0)</f>
        <v>267.5252320000003</v>
      </c>
      <c r="AK95" s="13">
        <f t="shared" si="89"/>
        <v>64.323779926659213</v>
      </c>
      <c r="AL95" s="20">
        <f t="shared" si="58"/>
        <v>577.97036243893194</v>
      </c>
      <c r="AM95" s="59">
        <f t="shared" si="59"/>
        <v>871.3036957722652</v>
      </c>
      <c r="AN95" s="59">
        <f ca="1">AVERAGE(OFFSET($AM$3,0,0,'Données projet'!$E$10+1,1))-AVERAGE(OFFSET($H$3,0,0,'Données projet'!$E$10+1,1))</f>
        <v>482.62991869403385</v>
      </c>
      <c r="AO95" s="59">
        <f t="shared" si="90"/>
        <v>310.43914804089906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19.218769605208333</v>
      </c>
      <c r="AV95" s="21">
        <f>EXP(-LN(2)/25)*AV94+(1-EXP(-LN(2)/25))/(LN(2)/25)*Calculateur!AQ95*Calculateur!AS95*VLOOKUP('Données projet'!$B$10,Paramètres!$A$1:$I$89,3,0)*0.475*44/12</f>
        <v>21.734481208411768</v>
      </c>
      <c r="AW95" s="21">
        <f>EXP(-LN(2)/2)*AW94+(1-EXP(-LN(2)/2))/(LN(2)/2)*AQ95*AT95*VLOOKUP('Données projet'!$B$10,Paramètres!$A$1:$I$89,3,0)*0.475*44/12</f>
        <v>0.27593539707893089</v>
      </c>
      <c r="AX95" s="21">
        <f t="shared" si="60"/>
        <v>41.229186210699034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384.34044781465661</v>
      </c>
      <c r="BJ95" s="59">
        <f t="shared" si="92"/>
        <v>374.99493809709708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45.005054050365935</v>
      </c>
      <c r="BQ95" s="21">
        <f>EXP(-LN(2)/25)*BQ94+(1-EXP(-LN(2)/25))/(LN(2)/25)*Calculateur!BL95*Calculateur!BN95*VLOOKUP('Données projet'!$B$11,Paramètres!$A$1:$I$89,3,0)*0.475*44/12</f>
        <v>40.405622975819718</v>
      </c>
      <c r="BR95" s="21">
        <f>EXP(-LN(2)/2)*BR94+(1-EXP(-LN(2)/2))/(LN(2)/2)*BL95*BO95*VLOOKUP('Données projet'!$B$11,Paramètres!$A$1:$I$89,3,0)*0.475*44/12</f>
        <v>1.0709540402715878</v>
      </c>
      <c r="BS95" s="22">
        <f t="shared" si="63"/>
        <v>86.48163106645724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7.6966666666666681</v>
      </c>
      <c r="BY95" s="12">
        <f>IF('Données projet'!$A$114&gt;35,BY94+BX95-CG94,IF(A95&lt;'Données projet'!$A$114,$BV$205^A95,IF(A95='Données projet'!$A$114,'Données projet'!$B$114,BY94+BX95-CG94)))</f>
        <v>295.67333333333363</v>
      </c>
      <c r="BZ95" s="13">
        <f>BY95*VLOOKUP('Données projet'!$B$12,Paramètres!$A$1:$I$89,3,0)*VLOOKUP('Données projet'!$B$12,Paramètres!$A$1:$I$89,5,0)</f>
        <v>281.3627440000003</v>
      </c>
      <c r="CA95" s="13">
        <f t="shared" si="93"/>
        <v>67.254914435863455</v>
      </c>
      <c r="CB95" s="20">
        <f t="shared" si="64"/>
        <v>607.17575510912923</v>
      </c>
      <c r="CC95" s="59">
        <f t="shared" si="65"/>
        <v>900.5090884424626</v>
      </c>
      <c r="CD95" s="59">
        <f ca="1">AVERAGE(OFFSET($CC$3,0,0,'Données projet'!$E$12+1,1))-AVERAGE(OFFSET($H$3,0,0,'Données projet'!$E$12+1,1))</f>
        <v>513.14430745499283</v>
      </c>
      <c r="CE95" s="59">
        <f t="shared" si="94"/>
        <v>324.2490378019823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20.212843895132909</v>
      </c>
      <c r="CL95" s="21">
        <f>EXP(-LN(2)/25)*CL94+(1-EXP(-LN(2)/25))/(LN(2)/25)*Calculateur!CG95*Calculateur!CI95*VLOOKUP('Données projet'!$B$12,Paramètres!$A$1:$I$89,3,0)*0.475*44/12</f>
        <v>22.858678512295132</v>
      </c>
      <c r="CM95" s="21">
        <f>EXP(-LN(2)/2)*CM94+(1-EXP(-LN(2)/2))/(LN(2)/2)*CG95*CJ95*VLOOKUP('Données projet'!$B$12,Paramètres!$A$1:$I$89,3,0)*0.475*44/12</f>
        <v>0.29020791761749642</v>
      </c>
      <c r="CN95" s="22">
        <f t="shared" si="66"/>
        <v>43.361730325045535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-1.1368683772161603E-13</v>
      </c>
      <c r="CU95" s="17">
        <f>CT95*VLOOKUP('Données projet'!$B$13,Paramètres!$A$1:$I$89,3,0)*VLOOKUP('Données projet'!$B$13,Paramètres!$A$1:$I$89,5,0)</f>
        <v>-8.8675733422860506E-14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197.51452239559433</v>
      </c>
      <c r="CZ95" s="59">
        <f t="shared" si="96"/>
        <v>196.65166921588821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17.478727227737231</v>
      </c>
      <c r="DG95" s="21">
        <f>EXP(-LN(2)/25)*DG94+(1-EXP(-LN(2)/25))/(LN(2)/25)*Calculateur!DB95*Calculateur!DD95*VLOOKUP('Données projet'!$B$13,Paramètres!$A$1:$I$89,3,0)*0.475*44/12</f>
        <v>14.342644564086841</v>
      </c>
      <c r="DH95" s="21">
        <f>EXP(-LN(2)/2)*DH94+(1-EXP(-LN(2)/2))/(LN(2)/2)*DB95*DE95*VLOOKUP('Données projet'!$B$13,Paramètres!$A$1:$I$89,3,0)*0.475*44/12</f>
        <v>1.3446825830376546E-2</v>
      </c>
      <c r="DI95" s="22">
        <f t="shared" si="69"/>
        <v>31.834818617654445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1.7948717948717956</v>
      </c>
      <c r="DO95" s="12">
        <f>IF('Données projet'!$A$166&gt;35,DO94+DN95-DW94,IF(A95&lt;'Données projet'!$A$166,$DL$205^A95,IF(A95='Données projet'!$A$166,'Données projet'!$B$166,DO94+DN95-DW94)))</f>
        <v>134.99999999999994</v>
      </c>
      <c r="DP95" s="17">
        <f>DO95*VLOOKUP('Données projet'!$B$14,Paramètres!$A$1:$I$89,3,0)*VLOOKUP('Données projet'!$B$14,Paramètres!$A$1:$I$89,5,0)</f>
        <v>141.10199999999995</v>
      </c>
      <c r="DQ95" s="13">
        <f t="shared" si="97"/>
        <v>36.549342904663185</v>
      </c>
      <c r="DR95" s="20">
        <f t="shared" si="70"/>
        <v>309.4094222256216</v>
      </c>
      <c r="DS95" s="59">
        <f t="shared" si="71"/>
        <v>602.74275555895497</v>
      </c>
      <c r="DT95" s="59">
        <f ca="1">AVERAGE(OFFSET($DS$3,0,0,'Données projet'!$E$14+1,1))-AVERAGE(OFFSET($H$3,0,0,'Données projet'!$E$14+1,1))</f>
        <v>239.26156489359892</v>
      </c>
      <c r="DU95" s="59">
        <f t="shared" si="98"/>
        <v>213.97034450798111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1.7008151132583225</v>
      </c>
      <c r="EB95" s="21">
        <f>EXP(-LN(2)/25)*EB94+(1-EXP(-LN(2)/25))/(LN(2)/25)*Calculateur!DW95*Calculateur!DY95*VLOOKUP('Données projet'!$B$14,Paramètres!$A$1:$I$89,3,0)*0.475*44/12</f>
        <v>14.366747459545751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16.067562572804075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6.7600000000000007</v>
      </c>
      <c r="EJ95" s="12">
        <f>IF('Données projet'!$A$192&gt;35,EJ94+EI95-ER94,IF(A95&lt;'Données projet'!$A$192,$EG$205^A95,IF(A95='Données projet'!$A$192,'Données projet'!$B$192,EJ94+EI95-ER94)))</f>
        <v>232.28999999999991</v>
      </c>
      <c r="EK95" s="17">
        <f>EJ95*VLOOKUP('Données projet'!$B$15,Paramètres!$A$1:$I$89,3,0)*VLOOKUP('Données projet'!$B$15,Paramètres!$A$1:$I$89,5,0)</f>
        <v>231.91833599999993</v>
      </c>
      <c r="EL95" s="13">
        <f t="shared" si="99"/>
        <v>56.697269899323551</v>
      </c>
      <c r="EM95" s="20">
        <f t="shared" si="73"/>
        <v>502.67218027465498</v>
      </c>
      <c r="EN95" s="59">
        <f t="shared" si="74"/>
        <v>796.00551360798829</v>
      </c>
      <c r="EO95" s="59">
        <f ca="1">AVERAGE(OFFSET($EN$3,0,0,'Données projet'!$E$15+1,1))-AVERAGE(OFFSET($H$3,0,0,'Données projet'!$E$15+1,1))</f>
        <v>525.74725170626471</v>
      </c>
      <c r="EP95" s="59">
        <f t="shared" si="100"/>
        <v>259.19103598192197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5.5370355112865814</v>
      </c>
      <c r="EW95" s="21">
        <f>EXP(-LN(2)/25)*EW94+(1-EXP(-LN(2)/25))/(LN(2)/25)*Calculateur!ER95*Calculateur!ET95*VLOOKUP('Données projet'!$B$15,Paramètres!$A$1:$I$89,3,0)*0.475*44/12</f>
        <v>31.262703631370936</v>
      </c>
      <c r="EX95" s="21">
        <f>EXP(-LN(2)/2)*EX94+(1-EXP(-LN(2)/2))/(LN(2)/2)*ER95*EU95*VLOOKUP('Données projet'!$B$15,Paramètres!$A$1:$I$89,3,0)*0.475*44/12</f>
        <v>0.48033236572799048</v>
      </c>
      <c r="EY95" s="22">
        <f t="shared" si="75"/>
        <v>37.280071508385504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6.7600000000000007</v>
      </c>
      <c r="N96" s="13">
        <f>IF('Données projet'!$A$36&gt;35,N95+M96-V95,IF(A96&lt;'Données projet'!$A$36,$K$205^A96,IF(A96='Données projet'!$A$36,'Données projet'!$B$36,N95+M96-V95)))</f>
        <v>239.0499999999999</v>
      </c>
      <c r="O96" s="13">
        <f>N96*VLOOKUP('Données projet'!$B$9,Paramètres!$A$1:$I$89,3,0)*VLOOKUP('Données projet'!$B$9,Paramètres!$A$1:$I$89,5,0)</f>
        <v>242.3966999999999</v>
      </c>
      <c r="P96" s="13">
        <f t="shared" si="87"/>
        <v>58.954893567950833</v>
      </c>
      <c r="Q96" s="20">
        <f t="shared" si="54"/>
        <v>524.85402546418084</v>
      </c>
      <c r="R96" s="59">
        <f t="shared" si="55"/>
        <v>818.18735879751421</v>
      </c>
      <c r="S96" s="59">
        <f ca="1">AVERAGE(OFFSET($R$3,0,0,'Données projet'!$E$9+1,1))-AVERAGE(OFFSET($H$3,0,0,'Données projet'!$E$9+1,1))</f>
        <v>533.26035274112917</v>
      </c>
      <c r="T96" s="59">
        <f t="shared" si="88"/>
        <v>262.58149402282521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5.5132772725148191</v>
      </c>
      <c r="AA96" s="21">
        <f>EXP(-LN(2)/25)*AA95+(1-EXP(-LN(2)/25))/(LN(2)/25)*Calculateur!V96*Calculateur!X96*VLOOKUP('Données projet'!$B$9,Paramètres!$A$1:$I$89,3,0)*0.475*44/12</f>
        <v>30.882945596482845</v>
      </c>
      <c r="AB96" s="21">
        <f>EXP(-LN(2)/2)*AB95+(1-EXP(-LN(2)/2))/(LN(2)/2)*V96*Y96*VLOOKUP('Données projet'!$B$9,Paramètres!$A$1:$I$89,3,0)*0.475*44/12</f>
        <v>0.34495324604572702</v>
      </c>
      <c r="AC96" s="22">
        <f t="shared" si="57"/>
        <v>36.741176115043388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303.37</v>
      </c>
      <c r="AG96" s="12">
        <f>VLOOKUP(A96,'Données projet'!$A$61:$I$81,9,0)</f>
        <v>7.6966666666666681</v>
      </c>
      <c r="AH96" s="12">
        <f t="array" ref="AH96">INDEX(AG:AG,MIN(IF(ISNUMBER(AG96:AG292),ROW(AG96:AG292),"")))</f>
        <v>7.6966666666666681</v>
      </c>
      <c r="AI96" s="13">
        <f>IF('Données projet'!$A$62&gt;35,AI95+AH96-AQ95,IF(A96&lt;'Données projet'!$A$62,$AF$205^A96,IF(A96='Données projet'!$A$62,'Données projet'!$B$62,AI95+AH96-AQ95)))</f>
        <v>303.37000000000029</v>
      </c>
      <c r="AJ96" s="13">
        <f>AI96*VLOOKUP('Données projet'!$B$10,Paramètres!$A$1:$I$89,3,0)*VLOOKUP('Données projet'!$B$10,Paramètres!$A$1:$I$89,5,0)</f>
        <v>274.48917600000021</v>
      </c>
      <c r="AK96" s="13">
        <f t="shared" si="89"/>
        <v>65.801069476622146</v>
      </c>
      <c r="AL96" s="20">
        <f t="shared" si="58"/>
        <v>592.67217753845057</v>
      </c>
      <c r="AM96" s="59">
        <f t="shared" si="59"/>
        <v>886.00551087178383</v>
      </c>
      <c r="AN96" s="59">
        <f ca="1">AVERAGE(OFFSET($AM$3,0,0,'Données projet'!$E$10+1,1))-AVERAGE(OFFSET($H$3,0,0,'Données projet'!$E$10+1,1))</f>
        <v>482.62991869403385</v>
      </c>
      <c r="AO96" s="59">
        <f t="shared" si="90"/>
        <v>310.43914804089906</v>
      </c>
      <c r="AP96" s="15">
        <f>IF(ISNA(VLOOKUP(A96,'Données projet'!$A$61:$I$81,3,0)),0,VLOOKUP(A96,'Données projet'!$A$61:$I$81,3,0))</f>
        <v>7</v>
      </c>
      <c r="AQ96" s="15">
        <f>IF(ISNA(VLOOKUP(A96,'Données projet'!$A$61:$I$81,4,0)),0,VLOOKUP(A96,'Données projet'!$A$61:$I$81,4,0))</f>
        <v>42.910000000000025</v>
      </c>
      <c r="AR96" s="16">
        <f>IF(ISNA(VLOOKUP(A96,'Données projet'!$A$61:$I$81,5,0)),0%,VLOOKUP(A96,'Données projet'!$A$61:$I$81,5,0)*VLOOKUP('Données projet'!$B$10,Paramètres!$A$1:$I$89,7,0))</f>
        <v>0.15049999999999999</v>
      </c>
      <c r="AS96" s="16">
        <f>IF(ISNA(VLOOKUP(A96,'Données projet'!$A$61:$I$81,6,0)),0%,VLOOKUP(A96,'Données projet'!$A$61:$I$81,6,0)*VLOOKUP('Données projet'!$B$10,Paramètres!$A$1:$I$89,7,0))</f>
        <v>8.6000000000000007E-2</v>
      </c>
      <c r="AT96" s="16">
        <f>IF(ISNA(VLOOKUP(A96,'Données projet'!$A$61:$I$81,7,0)),0%,VLOOKUP(A96,'Données projet'!$A$61:$I$81,7,0))</f>
        <v>0.1</v>
      </c>
      <c r="AU96" s="21">
        <f>EXP(-LN(2)/35)*AU95+(1-EXP(-LN(2)/35))/(LN(2)/35)*AQ96*AR96*VLOOKUP('Données projet'!$B$10,Paramètres!$A$1:$I$89,3,0)*0.475*44/12</f>
        <v>25.301338998144534</v>
      </c>
      <c r="AV96" s="21">
        <f>EXP(-LN(2)/25)*AV95+(1-EXP(-LN(2)/25))/(LN(2)/25)*Calculateur!AQ96*Calculateur!AS96*VLOOKUP('Données projet'!$B$10,Paramètres!$A$1:$I$89,3,0)*0.475*44/12</f>
        <v>24.816724662498768</v>
      </c>
      <c r="AW96" s="21">
        <f>EXP(-LN(2)/2)*AW95+(1-EXP(-LN(2)/2))/(LN(2)/2)*AQ96*AT96*VLOOKUP('Données projet'!$B$10,Paramètres!$A$1:$I$89,3,0)*0.475*44/12</f>
        <v>3.8583560171132096</v>
      </c>
      <c r="AX96" s="21">
        <f t="shared" si="60"/>
        <v>53.97641967775651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384.34044781465661</v>
      </c>
      <c r="BJ96" s="59">
        <f t="shared" si="92"/>
        <v>374.99493809709708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44.122532390810733</v>
      </c>
      <c r="BQ96" s="21">
        <f>EXP(-LN(2)/25)*BQ95+(1-EXP(-LN(2)/25))/(LN(2)/25)*Calculateur!BL96*Calculateur!BN96*VLOOKUP('Données projet'!$B$11,Paramètres!$A$1:$I$89,3,0)*0.475*44/12</f>
        <v>39.300729090706561</v>
      </c>
      <c r="BR96" s="21">
        <f>EXP(-LN(2)/2)*BR95+(1-EXP(-LN(2)/2))/(LN(2)/2)*BL96*BO96*VLOOKUP('Données projet'!$B$11,Paramètres!$A$1:$I$89,3,0)*0.475*44/12</f>
        <v>0.75727886421517066</v>
      </c>
      <c r="BS96" s="22">
        <f t="shared" si="63"/>
        <v>84.180540345732467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>
        <f>VLOOKUP(A96,'Données projet'!$A$113:$I$133,2,0)</f>
        <v>303.37</v>
      </c>
      <c r="BW96" s="12">
        <f>VLOOKUP(A96,'Données projet'!$A$113:$I$133,9,0)</f>
        <v>7.6966666666666681</v>
      </c>
      <c r="BX96" s="12">
        <f t="array" ref="BX96">INDEX(BW:BW,MIN(IF(ISNUMBER(BW96:BW292),ROW(BW96:BW292),"")))</f>
        <v>7.6966666666666681</v>
      </c>
      <c r="BY96" s="12">
        <f>IF('Données projet'!$A$114&gt;35,BY95+BX96-CG95,IF(A96&lt;'Données projet'!$A$114,$BV$205^A96,IF(A96='Données projet'!$A$114,'Données projet'!$B$114,BY95+BX96-CG95)))</f>
        <v>303.37000000000029</v>
      </c>
      <c r="BZ96" s="13">
        <f>BY96*VLOOKUP('Données projet'!$B$12,Paramètres!$A$1:$I$89,3,0)*VLOOKUP('Données projet'!$B$12,Paramètres!$A$1:$I$89,5,0)</f>
        <v>288.68689200000028</v>
      </c>
      <c r="CA96" s="13">
        <f t="shared" si="93"/>
        <v>68.799521770709745</v>
      </c>
      <c r="CB96" s="20">
        <f t="shared" si="64"/>
        <v>622.62217065065329</v>
      </c>
      <c r="CC96" s="59">
        <f t="shared" si="65"/>
        <v>915.95550398398655</v>
      </c>
      <c r="CD96" s="59">
        <f ca="1">AVERAGE(OFFSET($CC$3,0,0,'Données projet'!$E$12+1,1))-AVERAGE(OFFSET($H$3,0,0,'Données projet'!$E$12+1,1))</f>
        <v>513.14430745499283</v>
      </c>
      <c r="CE96" s="59">
        <f t="shared" si="94"/>
        <v>324.2490378019823</v>
      </c>
      <c r="CF96" s="15">
        <f>IF(ISNA(VLOOKUP(A96,'Données projet'!$A$113:$I$133,3,0)),0,VLOOKUP(A96,'Données projet'!$A$113:$I$133,3,0))</f>
        <v>7</v>
      </c>
      <c r="CG96" s="15">
        <f>IF(ISNA(VLOOKUP(A96,'Données projet'!$A$113:$I$133,4,0)),0,VLOOKUP(A96,'Données projet'!$A$113:$I$133,4,0))</f>
        <v>42.910000000000025</v>
      </c>
      <c r="CH96" s="16">
        <f>IF(ISNA(VLOOKUP(A96,'Données projet'!$A$113:$I$133,5,0)),0%,VLOOKUP(A96,'Données projet'!$A$113:$I$133,5,0)*VLOOKUP('Données projet'!$B$12,Paramètres!$A$1:$I$89,7,0))</f>
        <v>0.15049999999999999</v>
      </c>
      <c r="CI96" s="16">
        <f>IF(ISNA(VLOOKUP(A96,'Données projet'!$A$113:$I$133,6,0)),0%,VLOOKUP(A96,'Données projet'!$A$113:$I$133,6,0)*VLOOKUP('Données projet'!$B$12,Paramètres!$A$1:$I$89,7,0))</f>
        <v>8.6000000000000007E-2</v>
      </c>
      <c r="CJ96" s="16">
        <f>IF(ISNA(VLOOKUP(A96,'Données projet'!$A$113:$I$133,7,0)),0%,VLOOKUP(A96,'Données projet'!$A$113:$I$133,7,0))</f>
        <v>0.1</v>
      </c>
      <c r="CK96" s="21">
        <f>EXP(-LN(2)/35)*CK95+(1-EXP(-LN(2)/35))/(LN(2)/35)*CG96*CH96*VLOOKUP('Données projet'!$B$12,Paramètres!$A$1:$I$89,3,0)*0.475*44/12</f>
        <v>26.610028946324434</v>
      </c>
      <c r="CL96" s="21">
        <f>EXP(-LN(2)/25)*CL95+(1-EXP(-LN(2)/25))/(LN(2)/25)*Calculateur!CG96*Calculateur!CI96*VLOOKUP('Données projet'!$B$12,Paramètres!$A$1:$I$89,3,0)*0.475*44/12</f>
        <v>26.100348351938358</v>
      </c>
      <c r="CM96" s="21">
        <f>EXP(-LN(2)/2)*CM95+(1-EXP(-LN(2)/2))/(LN(2)/2)*CG96*CJ96*VLOOKUP('Données projet'!$B$12,Paramètres!$A$1:$I$89,3,0)*0.475*44/12</f>
        <v>4.05792615592941</v>
      </c>
      <c r="CN96" s="22">
        <f t="shared" si="66"/>
        <v>56.7683034541922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-1.1368683772161603E-13</v>
      </c>
      <c r="CU96" s="17">
        <f>CT96*VLOOKUP('Données projet'!$B$13,Paramètres!$A$1:$I$89,3,0)*VLOOKUP('Données projet'!$B$13,Paramètres!$A$1:$I$89,5,0)</f>
        <v>-8.8675733422860506E-14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197.51452239559433</v>
      </c>
      <c r="CZ96" s="59">
        <f t="shared" si="96"/>
        <v>196.65166921588821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17.135980047772229</v>
      </c>
      <c r="DG96" s="21">
        <f>EXP(-LN(2)/25)*DG95+(1-EXP(-LN(2)/25))/(LN(2)/25)*Calculateur!DB96*Calculateur!DD96*VLOOKUP('Données projet'!$B$13,Paramètres!$A$1:$I$89,3,0)*0.475*44/12</f>
        <v>13.95044419423499</v>
      </c>
      <c r="DH96" s="21">
        <f>EXP(-LN(2)/2)*DH95+(1-EXP(-LN(2)/2))/(LN(2)/2)*DB96*DE96*VLOOKUP('Données projet'!$B$13,Paramètres!$A$1:$I$89,3,0)*0.475*44/12</f>
        <v>9.5083417300936834E-3</v>
      </c>
      <c r="DI96" s="22">
        <f t="shared" si="69"/>
        <v>31.095932583737312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1.7948717948717956</v>
      </c>
      <c r="DO96" s="12">
        <f>IF('Données projet'!$A$166&gt;35,DO95+DN96-DW95,IF(A96&lt;'Données projet'!$A$166,$DL$205^A96,IF(A96='Données projet'!$A$166,'Données projet'!$B$166,DO95+DN96-DW95)))</f>
        <v>136.79487179487174</v>
      </c>
      <c r="DP96" s="17">
        <f>DO96*VLOOKUP('Données projet'!$B$14,Paramètres!$A$1:$I$89,3,0)*VLOOKUP('Données projet'!$B$14,Paramètres!$A$1:$I$89,5,0)</f>
        <v>142.97799999999995</v>
      </c>
      <c r="DQ96" s="13">
        <f t="shared" si="97"/>
        <v>36.978385503948552</v>
      </c>
      <c r="DR96" s="20">
        <f t="shared" si="70"/>
        <v>313.42403808604359</v>
      </c>
      <c r="DS96" s="59">
        <f t="shared" si="71"/>
        <v>606.75737141937691</v>
      </c>
      <c r="DT96" s="59">
        <f ca="1">AVERAGE(OFFSET($DS$3,0,0,'Données projet'!$E$14+1,1))-AVERAGE(OFFSET($H$3,0,0,'Données projet'!$E$14+1,1))</f>
        <v>239.26156489359892</v>
      </c>
      <c r="DU96" s="59">
        <f t="shared" si="98"/>
        <v>213.97034450798111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1.6674631662821116</v>
      </c>
      <c r="EB96" s="21">
        <f>EXP(-LN(2)/25)*EB95+(1-EXP(-LN(2)/25))/(LN(2)/25)*Calculateur!DW96*Calculateur!DY96*VLOOKUP('Données projet'!$B$14,Paramètres!$A$1:$I$89,3,0)*0.475*44/12</f>
        <v>13.97388799475006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15.641351161032171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6.7600000000000007</v>
      </c>
      <c r="EJ96" s="12">
        <f>IF('Données projet'!$A$192&gt;35,EJ95+EI96-ER95,IF(A96&lt;'Données projet'!$A$192,$EG$205^A96,IF(A96='Données projet'!$A$192,'Données projet'!$B$192,EJ95+EI96-ER95)))</f>
        <v>239.0499999999999</v>
      </c>
      <c r="EK96" s="17">
        <f>EJ96*VLOOKUP('Données projet'!$B$15,Paramètres!$A$1:$I$89,3,0)*VLOOKUP('Données projet'!$B$15,Paramètres!$A$1:$I$89,5,0)</f>
        <v>238.66751999999991</v>
      </c>
      <c r="EL96" s="13">
        <f t="shared" si="99"/>
        <v>58.152748090255663</v>
      </c>
      <c r="EM96" s="20">
        <f t="shared" si="73"/>
        <v>516.96196692386172</v>
      </c>
      <c r="EN96" s="59">
        <f t="shared" si="74"/>
        <v>810.29530025719509</v>
      </c>
      <c r="EO96" s="59">
        <f ca="1">AVERAGE(OFFSET($EN$3,0,0,'Données projet'!$E$15+1,1))-AVERAGE(OFFSET($H$3,0,0,'Données projet'!$E$15+1,1))</f>
        <v>525.74725170626471</v>
      </c>
      <c r="EP96" s="59">
        <f t="shared" si="100"/>
        <v>259.19103598192197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5.4284576221684366</v>
      </c>
      <c r="EW96" s="21">
        <f>EXP(-LN(2)/25)*EW95+(1-EXP(-LN(2)/25))/(LN(2)/25)*Calculateur!ER96*Calculateur!ET96*VLOOKUP('Données projet'!$B$15,Paramètres!$A$1:$I$89,3,0)*0.475*44/12</f>
        <v>30.407823356536966</v>
      </c>
      <c r="EX96" s="21">
        <f>EXP(-LN(2)/2)*EX95+(1-EXP(-LN(2)/2))/(LN(2)/2)*ER96*EU96*VLOOKUP('Données projet'!$B$15,Paramètres!$A$1:$I$89,3,0)*0.475*44/12</f>
        <v>0.3396462730296389</v>
      </c>
      <c r="EY96" s="22">
        <f t="shared" si="75"/>
        <v>36.17592725173504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6.7600000000000007</v>
      </c>
      <c r="N97" s="13">
        <f>IF('Données projet'!$A$36&gt;35,N96+M97-V96,IF(A97&lt;'Données projet'!$A$36,$K$205^A97,IF(A97='Données projet'!$A$36,'Données projet'!$B$36,N96+M97-V96)))</f>
        <v>245.80999999999989</v>
      </c>
      <c r="O97" s="13">
        <f>N97*VLOOKUP('Données projet'!$B$9,Paramètres!$A$1:$I$89,3,0)*VLOOKUP('Données projet'!$B$9,Paramètres!$A$1:$I$89,5,0)</f>
        <v>249.25133999999991</v>
      </c>
      <c r="P97" s="13">
        <f t="shared" si="87"/>
        <v>60.42559860911723</v>
      </c>
      <c r="Q97" s="20">
        <f t="shared" si="54"/>
        <v>539.35400141087905</v>
      </c>
      <c r="R97" s="59">
        <f t="shared" si="55"/>
        <v>832.68733474421242</v>
      </c>
      <c r="S97" s="59">
        <f ca="1">AVERAGE(OFFSET($R$3,0,0,'Données projet'!$E$9+1,1))-AVERAGE(OFFSET($H$3,0,0,'Données projet'!$E$9+1,1))</f>
        <v>533.26035274112917</v>
      </c>
      <c r="T97" s="59">
        <f t="shared" si="88"/>
        <v>262.58149402282521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5.4051652679678943</v>
      </c>
      <c r="AA97" s="21">
        <f>EXP(-LN(2)/25)*AA96+(1-EXP(-LN(2)/25))/(LN(2)/25)*Calculateur!V97*Calculateur!X97*VLOOKUP('Données projet'!$B$9,Paramètres!$A$1:$I$89,3,0)*0.475*44/12</f>
        <v>30.038449825083497</v>
      </c>
      <c r="AB97" s="21">
        <f>EXP(-LN(2)/2)*AB96+(1-EXP(-LN(2)/2))/(LN(2)/2)*V97*Y97*VLOOKUP('Données projet'!$B$9,Paramètres!$A$1:$I$89,3,0)*0.475*44/12</f>
        <v>0.24391877947124521</v>
      </c>
      <c r="AC97" s="22">
        <f t="shared" si="57"/>
        <v>35.687533872522636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7.7249999999999996</v>
      </c>
      <c r="AI97" s="13">
        <f>IF('Données projet'!$A$62&gt;35,AI96+AH97-AQ96,IF(A97&lt;'Données projet'!$A$62,$AF$205^A97,IF(A97='Données projet'!$A$62,'Données projet'!$B$62,AI96+AH97-AQ96)))</f>
        <v>268.18500000000029</v>
      </c>
      <c r="AJ97" s="13">
        <f>AI97*VLOOKUP('Données projet'!$B$10,Paramètres!$A$1:$I$89,3,0)*VLOOKUP('Données projet'!$B$10,Paramètres!$A$1:$I$89,5,0)</f>
        <v>242.65378800000025</v>
      </c>
      <c r="AK97" s="13">
        <f t="shared" si="89"/>
        <v>59.010139953692004</v>
      </c>
      <c r="AL97" s="20">
        <f t="shared" si="58"/>
        <v>525.39800785268062</v>
      </c>
      <c r="AM97" s="59">
        <f t="shared" si="59"/>
        <v>818.73134118601388</v>
      </c>
      <c r="AN97" s="59">
        <f ca="1">AVERAGE(OFFSET($AM$3,0,0,'Données projet'!$E$10+1,1))-AVERAGE(OFFSET($H$3,0,0,'Données projet'!$E$10+1,1))</f>
        <v>482.62991869403385</v>
      </c>
      <c r="AO97" s="59">
        <f t="shared" si="90"/>
        <v>310.43914804089906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24.805195172683895</v>
      </c>
      <c r="AV97" s="21">
        <f>EXP(-LN(2)/25)*AV96+(1-EXP(-LN(2)/25))/(LN(2)/25)*Calculateur!AQ97*Calculateur!AS97*VLOOKUP('Données projet'!$B$10,Paramètres!$A$1:$I$89,3,0)*0.475*44/12</f>
        <v>24.138110021547909</v>
      </c>
      <c r="AW97" s="21">
        <f>EXP(-LN(2)/2)*AW96+(1-EXP(-LN(2)/2))/(LN(2)/2)*AQ97*AT97*VLOOKUP('Données projet'!$B$10,Paramètres!$A$1:$I$89,3,0)*0.475*44/12</f>
        <v>2.7282697039326695</v>
      </c>
      <c r="AX97" s="21">
        <f t="shared" si="60"/>
        <v>51.671574898164472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384.34044781465661</v>
      </c>
      <c r="BJ97" s="59">
        <f t="shared" si="92"/>
        <v>374.99493809709708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43.257316442714348</v>
      </c>
      <c r="BQ97" s="21">
        <f>EXP(-LN(2)/25)*BQ96+(1-EXP(-LN(2)/25))/(LN(2)/25)*Calculateur!BL97*Calculateur!BN97*VLOOKUP('Données projet'!$B$11,Paramètres!$A$1:$I$89,3,0)*0.475*44/12</f>
        <v>38.226048586985669</v>
      </c>
      <c r="BR97" s="21">
        <f>EXP(-LN(2)/2)*BR96+(1-EXP(-LN(2)/2))/(LN(2)/2)*BL97*BO97*VLOOKUP('Données projet'!$B$11,Paramètres!$A$1:$I$89,3,0)*0.475*44/12</f>
        <v>0.5354770201357939</v>
      </c>
      <c r="BS97" s="22">
        <f t="shared" si="63"/>
        <v>82.018842049835825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7.7249999999999996</v>
      </c>
      <c r="BY97" s="12">
        <f>IF('Données projet'!$A$114&gt;35,BY96+BX97-CG96,IF(A97&lt;'Données projet'!$A$114,$BV$205^A97,IF(A97='Données projet'!$A$114,'Données projet'!$B$114,BY96+BX97-CG96)))</f>
        <v>268.18500000000029</v>
      </c>
      <c r="BZ97" s="13">
        <f>BY97*VLOOKUP('Données projet'!$B$12,Paramètres!$A$1:$I$89,3,0)*VLOOKUP('Données projet'!$B$12,Paramètres!$A$1:$I$89,5,0)</f>
        <v>255.20484600000026</v>
      </c>
      <c r="CA97" s="13">
        <f t="shared" si="93"/>
        <v>61.699140161833625</v>
      </c>
      <c r="CB97" s="20">
        <f t="shared" si="64"/>
        <v>551.94110923186065</v>
      </c>
      <c r="CC97" s="59">
        <f t="shared" si="65"/>
        <v>845.27444256519402</v>
      </c>
      <c r="CD97" s="59">
        <f ca="1">AVERAGE(OFFSET($CC$3,0,0,'Données projet'!$E$12+1,1))-AVERAGE(OFFSET($H$3,0,0,'Données projet'!$E$12+1,1))</f>
        <v>513.14430745499283</v>
      </c>
      <c r="CE97" s="59">
        <f t="shared" si="94"/>
        <v>324.2490378019823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26.088222509202037</v>
      </c>
      <c r="CL97" s="21">
        <f>EXP(-LN(2)/25)*CL96+(1-EXP(-LN(2)/25))/(LN(2)/25)*Calculateur!CG97*Calculateur!CI97*VLOOKUP('Données projet'!$B$12,Paramètres!$A$1:$I$89,3,0)*0.475*44/12</f>
        <v>25.386632953696935</v>
      </c>
      <c r="CM97" s="21">
        <f>EXP(-LN(2)/2)*CM96+(1-EXP(-LN(2)/2))/(LN(2)/2)*CG97*CJ97*VLOOKUP('Données projet'!$B$12,Paramètres!$A$1:$I$89,3,0)*0.475*44/12</f>
        <v>2.8693871024119453</v>
      </c>
      <c r="CN97" s="22">
        <f t="shared" si="66"/>
        <v>54.344242565310921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-1.1368683772161603E-13</v>
      </c>
      <c r="CU97" s="17">
        <f>CT97*VLOOKUP('Données projet'!$B$13,Paramètres!$A$1:$I$89,3,0)*VLOOKUP('Données projet'!$B$13,Paramètres!$A$1:$I$89,5,0)</f>
        <v>-8.8675733422860506E-14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197.51452239559433</v>
      </c>
      <c r="CZ97" s="59">
        <f t="shared" si="96"/>
        <v>196.65166921588821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16.799953930951204</v>
      </c>
      <c r="DG97" s="21">
        <f>EXP(-LN(2)/25)*DG96+(1-EXP(-LN(2)/25))/(LN(2)/25)*Calculateur!DB97*Calculateur!DD97*VLOOKUP('Données projet'!$B$13,Paramètres!$A$1:$I$89,3,0)*0.475*44/12</f>
        <v>13.568968564121658</v>
      </c>
      <c r="DH97" s="21">
        <f>EXP(-LN(2)/2)*DH96+(1-EXP(-LN(2)/2))/(LN(2)/2)*DB97*DE97*VLOOKUP('Données projet'!$B$13,Paramètres!$A$1:$I$89,3,0)*0.475*44/12</f>
        <v>6.723412915188273E-3</v>
      </c>
      <c r="DI97" s="22">
        <f t="shared" si="69"/>
        <v>30.375645907988051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1.7948717948717956</v>
      </c>
      <c r="DO97" s="12">
        <f>IF('Données projet'!$A$166&gt;35,DO96+DN97-DW96,IF(A97&lt;'Données projet'!$A$166,$DL$205^A97,IF(A97='Données projet'!$A$166,'Données projet'!$B$166,DO96+DN97-DW96)))</f>
        <v>138.58974358974353</v>
      </c>
      <c r="DP97" s="17">
        <f>DO97*VLOOKUP('Données projet'!$B$14,Paramètres!$A$1:$I$89,3,0)*VLOOKUP('Données projet'!$B$14,Paramètres!$A$1:$I$89,5,0)</f>
        <v>144.85399999999996</v>
      </c>
      <c r="DQ97" s="13">
        <f t="shared" si="97"/>
        <v>37.406773318436002</v>
      </c>
      <c r="DR97" s="20">
        <f t="shared" si="70"/>
        <v>317.43751352960925</v>
      </c>
      <c r="DS97" s="59">
        <f t="shared" si="71"/>
        <v>610.77084686294256</v>
      </c>
      <c r="DT97" s="59">
        <f ca="1">AVERAGE(OFFSET($DS$3,0,0,'Données projet'!$E$14+1,1))-AVERAGE(OFFSET($H$3,0,0,'Données projet'!$E$14+1,1))</f>
        <v>239.26156489359892</v>
      </c>
      <c r="DU97" s="59">
        <f t="shared" si="98"/>
        <v>213.97034450798111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1.6347652306434253</v>
      </c>
      <c r="EB97" s="21">
        <f>EXP(-LN(2)/25)*EB96+(1-EXP(-LN(2)/25))/(LN(2)/25)*Calculateur!DW97*Calculateur!DY97*VLOOKUP('Données projet'!$B$14,Paramètres!$A$1:$I$89,3,0)*0.475*44/12</f>
        <v>13.591771292678787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15.226536523322213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6.7600000000000007</v>
      </c>
      <c r="EJ97" s="12">
        <f>IF('Données projet'!$A$192&gt;35,EJ96+EI97-ER96,IF(A97&lt;'Données projet'!$A$192,$EG$205^A97,IF(A97='Données projet'!$A$192,'Données projet'!$B$192,EJ96+EI97-ER96)))</f>
        <v>245.80999999999989</v>
      </c>
      <c r="EK97" s="17">
        <f>EJ97*VLOOKUP('Données projet'!$B$15,Paramètres!$A$1:$I$89,3,0)*VLOOKUP('Données projet'!$B$15,Paramètres!$A$1:$I$89,5,0)</f>
        <v>245.41670399999992</v>
      </c>
      <c r="EL97" s="13">
        <f t="shared" si="99"/>
        <v>59.603442589015842</v>
      </c>
      <c r="EM97" s="20">
        <f t="shared" si="73"/>
        <v>531.24342197586907</v>
      </c>
      <c r="EN97" s="59">
        <f t="shared" si="74"/>
        <v>824.57675530920233</v>
      </c>
      <c r="EO97" s="59">
        <f ca="1">AVERAGE(OFFSET($EN$3,0,0,'Données projet'!$E$15+1,1))-AVERAGE(OFFSET($H$3,0,0,'Données projet'!$E$15+1,1))</f>
        <v>525.74725170626471</v>
      </c>
      <c r="EP97" s="59">
        <f t="shared" si="100"/>
        <v>259.19103598192197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5.3220088792299256</v>
      </c>
      <c r="EW97" s="21">
        <f>EXP(-LN(2)/25)*EW96+(1-EXP(-LN(2)/25))/(LN(2)/25)*Calculateur!ER97*Calculateur!ET97*VLOOKUP('Données projet'!$B$15,Paramètres!$A$1:$I$89,3,0)*0.475*44/12</f>
        <v>29.57631982777453</v>
      </c>
      <c r="EX97" s="21">
        <f>EXP(-LN(2)/2)*EX96+(1-EXP(-LN(2)/2))/(LN(2)/2)*ER97*EU97*VLOOKUP('Données projet'!$B$15,Paramètres!$A$1:$I$89,3,0)*0.475*44/12</f>
        <v>0.24016618286399527</v>
      </c>
      <c r="EY97" s="22">
        <f t="shared" si="75"/>
        <v>35.138494889868447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252.57</v>
      </c>
      <c r="L98" s="12">
        <f>VLOOKUP(A98,'Données projet'!$A$35:$I$55,9,0)</f>
        <v>6.7600000000000007</v>
      </c>
      <c r="M98" s="12">
        <f t="array" ref="M98">INDEX(L:L,MIN(IF(ISNUMBER(L98:L294),ROW(L98:L294),"")))</f>
        <v>6.7600000000000007</v>
      </c>
      <c r="N98" s="13">
        <f>IF('Données projet'!$A$36&gt;35,N97+M98-V97,IF(A98&lt;'Données projet'!$A$36,$K$205^A98,IF(A98='Données projet'!$A$36,'Données projet'!$B$36,N97+M98-V97)))</f>
        <v>252.56999999999988</v>
      </c>
      <c r="O98" s="13">
        <f>N98*VLOOKUP('Données projet'!$B$9,Paramètres!$A$1:$I$89,3,0)*VLOOKUP('Données projet'!$B$9,Paramètres!$A$1:$I$89,5,0)</f>
        <v>256.10597999999987</v>
      </c>
      <c r="P98" s="13">
        <f t="shared" si="87"/>
        <v>61.89160266777624</v>
      </c>
      <c r="Q98" s="20">
        <f t="shared" si="54"/>
        <v>553.84578981304333</v>
      </c>
      <c r="R98" s="59">
        <f t="shared" si="55"/>
        <v>847.1791231463767</v>
      </c>
      <c r="S98" s="59">
        <f ca="1">AVERAGE(OFFSET($R$3,0,0,'Données projet'!$E$9+1,1))-AVERAGE(OFFSET($H$3,0,0,'Données projet'!$E$9+1,1))</f>
        <v>533.26035274112917</v>
      </c>
      <c r="T98" s="59">
        <f t="shared" si="88"/>
        <v>262.58149402282521</v>
      </c>
      <c r="U98" s="15">
        <f>IF(ISNA(VLOOKUP(A98,'Données projet'!$A$35:$I$55,3,0)),0,VLOOKUP(A98,'Données projet'!$A$35:$I$55,3,0))</f>
        <v>5</v>
      </c>
      <c r="V98" s="15">
        <f>IF(ISNA(VLOOKUP(A98,'Données projet'!$A$35:$I$55,4,0)),0,VLOOKUP(A98,'Données projet'!$A$35:$I$55,4,0))</f>
        <v>42.199999999999989</v>
      </c>
      <c r="W98" s="16">
        <f>IF(ISNA(VLOOKUP(A98,'Données projet'!$A$35:$I$55,5,0)),0%,VLOOKUP(A98,'Données projet'!$A$35:$I$55,5,0)*VLOOKUP('Données projet'!$B$9,Paramètres!$A$1:$I$89,7,0))</f>
        <v>0.15049999999999999</v>
      </c>
      <c r="X98" s="16">
        <f>IF(ISNA(VLOOKUP(A98,'Données projet'!$A$35:$I$55,6,0)),0%,VLOOKUP(A98,'Données projet'!$A$35:$I$55,6,0)*VLOOKUP('Données projet'!$B$9,Paramètres!$A$1:$I$89,7,0))</f>
        <v>8.6000000000000007E-2</v>
      </c>
      <c r="Y98" s="16">
        <f>IF(ISNA(VLOOKUP(A98,'Données projet'!$A$35:$I$55,7,0)),0%,VLOOKUP(A98,'Données projet'!$A$35:$I$55,7,0))</f>
        <v>0.1</v>
      </c>
      <c r="Z98" s="21">
        <f>EXP(-LN(2)/35)*Z97+(1-EXP(-LN(2)/35))/(LN(2)/35)*V98*W98*VLOOKUP('Données projet'!$B$9,Paramètres!$A$1:$I$89,3,0)*0.475*44/12</f>
        <v>12.418419542324367</v>
      </c>
      <c r="AA98" s="21">
        <f>EXP(-LN(2)/25)*AA97+(1-EXP(-LN(2)/25))/(LN(2)/25)*Calculateur!V98*Calculateur!X98*VLOOKUP('Données projet'!$B$9,Paramètres!$A$1:$I$89,3,0)*0.475*44/12</f>
        <v>33.269169739667007</v>
      </c>
      <c r="AB98" s="21">
        <f>EXP(-LN(2)/2)*AB97+(1-EXP(-LN(2)/2))/(LN(2)/2)*V98*Y98*VLOOKUP('Données projet'!$B$9,Paramètres!$A$1:$I$89,3,0)*0.475*44/12</f>
        <v>4.2099037727724866</v>
      </c>
      <c r="AC98" s="22">
        <f t="shared" si="57"/>
        <v>49.897493054763856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7.7249999999999996</v>
      </c>
      <c r="AI98" s="13">
        <f>IF('Données projet'!$A$62&gt;35,AI97+AH98-AQ97,IF(A98&lt;'Données projet'!$A$62,$AF$205^A98,IF(A98='Données projet'!$A$62,'Données projet'!$B$62,AI97+AH98-AQ97)))</f>
        <v>275.91000000000031</v>
      </c>
      <c r="AJ98" s="13">
        <f>AI98*VLOOKUP('Données projet'!$B$10,Paramètres!$A$1:$I$89,3,0)*VLOOKUP('Données projet'!$B$10,Paramètres!$A$1:$I$89,5,0)</f>
        <v>249.64336800000024</v>
      </c>
      <c r="AK98" s="13">
        <f t="shared" si="89"/>
        <v>60.5095671334008</v>
      </c>
      <c r="AL98" s="20">
        <f t="shared" si="58"/>
        <v>540.1830286906735</v>
      </c>
      <c r="AM98" s="59">
        <f t="shared" si="59"/>
        <v>833.51636202400687</v>
      </c>
      <c r="AN98" s="59">
        <f ca="1">AVERAGE(OFFSET($AM$3,0,0,'Données projet'!$E$10+1,1))-AVERAGE(OFFSET($H$3,0,0,'Données projet'!$E$10+1,1))</f>
        <v>482.62991869403385</v>
      </c>
      <c r="AO98" s="59">
        <f t="shared" si="90"/>
        <v>310.43914804089906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24.318780425022688</v>
      </c>
      <c r="AV98" s="21">
        <f>EXP(-LN(2)/25)*AV97+(1-EXP(-LN(2)/25))/(LN(2)/25)*Calculateur!AQ98*Calculateur!AS98*VLOOKUP('Données projet'!$B$10,Paramètres!$A$1:$I$89,3,0)*0.475*44/12</f>
        <v>23.478052133640645</v>
      </c>
      <c r="AW98" s="21">
        <f>EXP(-LN(2)/2)*AW97+(1-EXP(-LN(2)/2))/(LN(2)/2)*AQ98*AT98*VLOOKUP('Données projet'!$B$10,Paramètres!$A$1:$I$89,3,0)*0.475*44/12</f>
        <v>1.929178008556605</v>
      </c>
      <c r="AX98" s="21">
        <f t="shared" si="60"/>
        <v>49.726010567219937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384.34044781465661</v>
      </c>
      <c r="BJ98" s="59">
        <f t="shared" si="92"/>
        <v>374.99493809709708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42.409066851630513</v>
      </c>
      <c r="BQ98" s="21">
        <f>EXP(-LN(2)/25)*BQ97+(1-EXP(-LN(2)/25))/(LN(2)/25)*Calculateur!BL98*Calculateur!BN98*VLOOKUP('Données projet'!$B$11,Paramètres!$A$1:$I$89,3,0)*0.475*44/12</f>
        <v>37.180755278154017</v>
      </c>
      <c r="BR98" s="21">
        <f>EXP(-LN(2)/2)*BR97+(1-EXP(-LN(2)/2))/(LN(2)/2)*BL98*BO98*VLOOKUP('Données projet'!$B$11,Paramètres!$A$1:$I$89,3,0)*0.475*44/12</f>
        <v>0.37863943210758533</v>
      </c>
      <c r="BS98" s="22">
        <f t="shared" si="63"/>
        <v>79.968461561892113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7.7249999999999996</v>
      </c>
      <c r="BY98" s="12">
        <f>IF('Données projet'!$A$114&gt;35,BY97+BX98-CG97,IF(A98&lt;'Données projet'!$A$114,$BV$205^A98,IF(A98='Données projet'!$A$114,'Données projet'!$B$114,BY97+BX98-CG97)))</f>
        <v>275.91000000000031</v>
      </c>
      <c r="BZ98" s="13">
        <f>BY98*VLOOKUP('Données projet'!$B$12,Paramètres!$A$1:$I$89,3,0)*VLOOKUP('Données projet'!$B$12,Paramètres!$A$1:$I$89,5,0)</f>
        <v>262.55595600000026</v>
      </c>
      <c r="CA98" s="13">
        <f t="shared" si="93"/>
        <v>63.266893903748354</v>
      </c>
      <c r="CB98" s="20">
        <f t="shared" si="64"/>
        <v>567.47479691569549</v>
      </c>
      <c r="CC98" s="59">
        <f t="shared" si="65"/>
        <v>860.80813024902886</v>
      </c>
      <c r="CD98" s="59">
        <f ca="1">AVERAGE(OFFSET($CC$3,0,0,'Données projet'!$E$12+1,1))-AVERAGE(OFFSET($H$3,0,0,'Données projet'!$E$12+1,1))</f>
        <v>513.14430745499283</v>
      </c>
      <c r="CE98" s="59">
        <f t="shared" si="94"/>
        <v>324.2490378019823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25.576648378041114</v>
      </c>
      <c r="CL98" s="21">
        <f>EXP(-LN(2)/25)*CL97+(1-EXP(-LN(2)/25))/(LN(2)/25)*Calculateur!CG98*Calculateur!CI98*VLOOKUP('Données projet'!$B$12,Paramètres!$A$1:$I$89,3,0)*0.475*44/12</f>
        <v>24.692434140553086</v>
      </c>
      <c r="CM98" s="21">
        <f>EXP(-LN(2)/2)*CM97+(1-EXP(-LN(2)/2))/(LN(2)/2)*CG98*CJ98*VLOOKUP('Données projet'!$B$12,Paramètres!$A$1:$I$89,3,0)*0.475*44/12</f>
        <v>2.028963077964705</v>
      </c>
      <c r="CN98" s="22">
        <f t="shared" si="66"/>
        <v>52.298045596558907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-1.1368683772161603E-13</v>
      </c>
      <c r="CU98" s="17">
        <f>CT98*VLOOKUP('Données projet'!$B$13,Paramètres!$A$1:$I$89,3,0)*VLOOKUP('Données projet'!$B$13,Paramètres!$A$1:$I$89,5,0)</f>
        <v>-8.8675733422860506E-14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197.51452239559433</v>
      </c>
      <c r="CZ98" s="59">
        <f t="shared" si="96"/>
        <v>196.65166921588821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16.470517081325347</v>
      </c>
      <c r="DG98" s="21">
        <f>EXP(-LN(2)/25)*DG97+(1-EXP(-LN(2)/25))/(LN(2)/25)*Calculateur!DB98*Calculateur!DD98*VLOOKUP('Données projet'!$B$13,Paramètres!$A$1:$I$89,3,0)*0.475*44/12</f>
        <v>13.197924405174707</v>
      </c>
      <c r="DH98" s="21">
        <f>EXP(-LN(2)/2)*DH97+(1-EXP(-LN(2)/2))/(LN(2)/2)*DB98*DE98*VLOOKUP('Données projet'!$B$13,Paramètres!$A$1:$I$89,3,0)*0.475*44/12</f>
        <v>4.7541708650468417E-3</v>
      </c>
      <c r="DI98" s="22">
        <f t="shared" si="69"/>
        <v>29.673195657365103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140.38461538461539</v>
      </c>
      <c r="DM98" s="12">
        <f>VLOOKUP(A98,'Données projet'!$A$165:$I$185,9,0)</f>
        <v>1.7948717948717956</v>
      </c>
      <c r="DN98" s="12">
        <f t="array" ref="DN98">INDEX(DM:DM,MIN(IF(ISNUMBER(DM98:DM294),ROW(DM98:DM294),"")))</f>
        <v>1.7948717948717956</v>
      </c>
      <c r="DO98" s="12">
        <f>IF('Données projet'!$A$166&gt;35,DO97+DN98-DW97,IF(A98&lt;'Données projet'!$A$166,$DL$205^A98,IF(A98='Données projet'!$A$166,'Données projet'!$B$166,DO97+DN98-DW97)))</f>
        <v>140.38461538461533</v>
      </c>
      <c r="DP98" s="17">
        <f>DO98*VLOOKUP('Données projet'!$B$14,Paramètres!$A$1:$I$89,3,0)*VLOOKUP('Données projet'!$B$14,Paramètres!$A$1:$I$89,5,0)</f>
        <v>146.72999999999996</v>
      </c>
      <c r="DQ98" s="13">
        <f t="shared" si="97"/>
        <v>37.834515808707891</v>
      </c>
      <c r="DR98" s="20">
        <f t="shared" si="70"/>
        <v>321.44986503349952</v>
      </c>
      <c r="DS98" s="59">
        <f t="shared" si="71"/>
        <v>614.78319836683283</v>
      </c>
      <c r="DT98" s="59">
        <f ca="1">AVERAGE(OFFSET($DS$3,0,0,'Données projet'!$E$14+1,1))-AVERAGE(OFFSET($H$3,0,0,'Données projet'!$E$14+1,1))</f>
        <v>239.26156489359892</v>
      </c>
      <c r="DU98" s="59">
        <f t="shared" si="98"/>
        <v>213.97034450798111</v>
      </c>
      <c r="DV98" s="15">
        <f>IF(ISNA(VLOOKUP(A98,'Données projet'!$A$165:$I$185,3,0)),0,VLOOKUP(A98,'Données projet'!$A$165:$I$185,3,0))</f>
        <v>16</v>
      </c>
      <c r="DW98" s="15">
        <f>IF(ISNA(VLOOKUP(A98,'Données projet'!$A$165:$I$185,4,0)),0,VLOOKUP(A98,'Données projet'!$A$165:$I$185,4,0))</f>
        <v>7.0512820512820511</v>
      </c>
      <c r="DX98" s="16">
        <f>IF(ISNA(VLOOKUP(A98,'Données projet'!$A$165:$I$185,5,0)),0%,VLOOKUP(A98,'Données projet'!$A$165:$I$185,5,0)*VLOOKUP('Données projet'!$B$14,Paramètres!$A$1:$I$89,7,0))</f>
        <v>4.3000000000000003E-2</v>
      </c>
      <c r="DY98" s="16">
        <f>IF(ISNA(VLOOKUP(A98,'Données projet'!$A$165:$I$185,6,0)),0%,VLOOKUP(A98,'Données projet'!$A$165:$I$185,6,0)*VLOOKUP('Données projet'!$B$14,Paramètres!$A$1:$I$89,7,0))</f>
        <v>0.215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1.9530430995566295</v>
      </c>
      <c r="EB98" s="21">
        <f>EXP(-LN(2)/25)*EB97+(1-EXP(-LN(2)/25))/(LN(2)/25)*Calculateur!DW98*Calculateur!DY98*VLOOKUP('Données projet'!$B$14,Paramètres!$A$1:$I$89,3,0)*0.475*44/12</f>
        <v>14.964879677414567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16.917922776971196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>
        <f>VLOOKUP(A98,'Données projet'!$A$191:$I$211,2,0)</f>
        <v>252.57</v>
      </c>
      <c r="EH98" s="12">
        <f>VLOOKUP(A98,'Données projet'!$A$191:$I$211,9,0)</f>
        <v>6.7600000000000007</v>
      </c>
      <c r="EI98" s="12">
        <f t="array" ref="EI98">INDEX(EH:EH,MIN(IF(ISNUMBER(EH98:EH294),ROW(EH98:EH294),"")))</f>
        <v>6.7600000000000007</v>
      </c>
      <c r="EJ98" s="12">
        <f>IF('Données projet'!$A$192&gt;35,EJ97+EI98-ER97,IF(A98&lt;'Données projet'!$A$192,$EG$205^A98,IF(A98='Données projet'!$A$192,'Données projet'!$B$192,EJ97+EI98-ER97)))</f>
        <v>252.56999999999988</v>
      </c>
      <c r="EK98" s="17">
        <f>EJ98*VLOOKUP('Données projet'!$B$15,Paramètres!$A$1:$I$89,3,0)*VLOOKUP('Données projet'!$B$15,Paramètres!$A$1:$I$89,5,0)</f>
        <v>252.16588799999988</v>
      </c>
      <c r="EL98" s="13">
        <f t="shared" si="99"/>
        <v>61.049500067250946</v>
      </c>
      <c r="EM98" s="20">
        <f t="shared" si="73"/>
        <v>545.5168008837951</v>
      </c>
      <c r="EN98" s="59">
        <f t="shared" si="74"/>
        <v>838.85013421712847</v>
      </c>
      <c r="EO98" s="59">
        <f ca="1">AVERAGE(OFFSET($EN$3,0,0,'Données projet'!$E$15+1,1))-AVERAGE(OFFSET($H$3,0,0,'Données projet'!$E$15+1,1))</f>
        <v>525.74725170626471</v>
      </c>
      <c r="EP98" s="59">
        <f t="shared" si="100"/>
        <v>259.19103598192197</v>
      </c>
      <c r="EQ98" s="15">
        <f>IF(ISNA(VLOOKUP(A98,'Données projet'!$A$191:$I$211,3,0)),0,VLOOKUP(A98,'Données projet'!$A$191:$I$211,3,0))</f>
        <v>5</v>
      </c>
      <c r="ER98" s="15">
        <f>IF(ISNA(VLOOKUP(A98,'Données projet'!$A$191:$I$211,4,0)),0,VLOOKUP(A98,'Données projet'!$A$191:$I$211,4,0))</f>
        <v>42.199999999999989</v>
      </c>
      <c r="ES98" s="16">
        <f>IF(ISNA(VLOOKUP(A98,'Données projet'!$A$191:$I$211,5,0)),0%,VLOOKUP(A98,'Données projet'!$A$191:$I$211,5,0)*VLOOKUP('Données projet'!$B$15,Paramètres!$A$1:$I$89,7,0))</f>
        <v>0.15049999999999999</v>
      </c>
      <c r="ET98" s="16">
        <f>IF(ISNA(VLOOKUP(A98,'Données projet'!$A$191:$I$211,6,0)),0%,VLOOKUP(A98,'Données projet'!$A$191:$I$211,6,0)*VLOOKUP('Données projet'!$B$15,Paramètres!$A$1:$I$89,7,0))</f>
        <v>8.6000000000000007E-2</v>
      </c>
      <c r="EU98" s="16">
        <f>IF(ISNA(VLOOKUP(A98,'Données projet'!$A$191:$I$211,7,0)),0%,VLOOKUP(A98,'Données projet'!$A$191:$I$211,7,0))</f>
        <v>0.1</v>
      </c>
      <c r="EV98" s="21">
        <f>EXP(-LN(2)/35)*EV97+(1-EXP(-LN(2)/35))/(LN(2)/35)*ER98*ES98*VLOOKUP('Données projet'!$B$15,Paramètres!$A$1:$I$89,3,0)*0.475*44/12</f>
        <v>12.227366933980912</v>
      </c>
      <c r="EW98" s="21">
        <f>EXP(-LN(2)/25)*EW97+(1-EXP(-LN(2)/25))/(LN(2)/25)*Calculateur!ER98*Calculateur!ET98*VLOOKUP('Données projet'!$B$15,Paramètres!$A$1:$I$89,3,0)*0.475*44/12</f>
        <v>32.757336359056751</v>
      </c>
      <c r="EX98" s="21">
        <f>EXP(-LN(2)/2)*EX97+(1-EXP(-LN(2)/2))/(LN(2)/2)*ER98*EU98*VLOOKUP('Données projet'!$B$15,Paramètres!$A$1:$I$89,3,0)*0.475*44/12</f>
        <v>4.1451360224221414</v>
      </c>
      <c r="EY98" s="22">
        <f t="shared" si="75"/>
        <v>49.129839315459805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6.7777777777777777</v>
      </c>
      <c r="N99" s="13">
        <f>IF('Données projet'!$A$36&gt;35,N98+M99-V98,IF(A99&lt;'Données projet'!$A$36,$K$205^A99,IF(A99='Données projet'!$A$36,'Données projet'!$B$36,N98+M99-V98)))</f>
        <v>217.14777777777766</v>
      </c>
      <c r="O99" s="13">
        <f>N99*VLOOKUP('Données projet'!$B$9,Paramètres!$A$1:$I$89,3,0)*VLOOKUP('Données projet'!$B$9,Paramètres!$A$1:$I$89,5,0)</f>
        <v>220.18784666666656</v>
      </c>
      <c r="P99" s="13">
        <f t="shared" si="87"/>
        <v>54.155711237243175</v>
      </c>
      <c r="Q99" s="20">
        <f t="shared" ref="Q99:Q130" si="107">(O99+P99)*0.475*44/12</f>
        <v>477.81503001597611</v>
      </c>
      <c r="R99" s="59">
        <f t="shared" si="55"/>
        <v>771.14836334930942</v>
      </c>
      <c r="S99" s="59">
        <f ca="1">AVERAGE(OFFSET($R$3,0,0,'Données projet'!$E$9+1,1))-AVERAGE(OFFSET($H$3,0,0,'Données projet'!$E$9+1,1))</f>
        <v>533.26035274112917</v>
      </c>
      <c r="T99" s="59">
        <f t="shared" si="88"/>
        <v>262.58149402282521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12.174901909587389</v>
      </c>
      <c r="AA99" s="21">
        <f>EXP(-LN(2)/25)*AA98+(1-EXP(-LN(2)/25))/(LN(2)/25)*Calculateur!V99*Calculateur!X99*VLOOKUP('Données projet'!$B$9,Paramètres!$A$1:$I$89,3,0)*0.475*44/12</f>
        <v>32.359422543586213</v>
      </c>
      <c r="AB99" s="21">
        <f>EXP(-LN(2)/2)*AB98+(1-EXP(-LN(2)/2))/(LN(2)/2)*V99*Y99*VLOOKUP('Données projet'!$B$9,Paramètres!$A$1:$I$89,3,0)*0.475*44/12</f>
        <v>2.9768515058702558</v>
      </c>
      <c r="AC99" s="22">
        <f t="shared" si="57"/>
        <v>47.511175959043861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7.7249999999999996</v>
      </c>
      <c r="AI99" s="13">
        <f>IF('Données projet'!$A$62&gt;35,AI98+AH99-AQ98,IF(A99&lt;'Données projet'!$A$62,$AF$205^A99,IF(A99='Données projet'!$A$62,'Données projet'!$B$62,AI98+AH99-AQ98)))</f>
        <v>283.63500000000033</v>
      </c>
      <c r="AJ99" s="13">
        <f>AI99*VLOOKUP('Données projet'!$B$10,Paramètres!$A$1:$I$89,3,0)*VLOOKUP('Données projet'!$B$10,Paramètres!$A$1:$I$89,5,0)</f>
        <v>256.63294800000028</v>
      </c>
      <c r="AK99" s="13">
        <f t="shared" si="89"/>
        <v>62.00411496417383</v>
      </c>
      <c r="AL99" s="20">
        <f t="shared" si="58"/>
        <v>554.95955132926986</v>
      </c>
      <c r="AM99" s="59">
        <f t="shared" si="59"/>
        <v>848.29288466260323</v>
      </c>
      <c r="AN99" s="59">
        <f ca="1">AVERAGE(OFFSET($AM$3,0,0,'Données projet'!$E$10+1,1))-AVERAGE(OFFSET($H$3,0,0,'Données projet'!$E$10+1,1))</f>
        <v>482.62991869403385</v>
      </c>
      <c r="AO99" s="59">
        <f t="shared" si="90"/>
        <v>310.43914804089906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23.841903973879415</v>
      </c>
      <c r="AV99" s="21">
        <f>EXP(-LN(2)/25)*AV98+(1-EXP(-LN(2)/25))/(LN(2)/25)*Calculateur!AQ99*Calculateur!AS99*VLOOKUP('Données projet'!$B$10,Paramètres!$A$1:$I$89,3,0)*0.475*44/12</f>
        <v>22.83604356338914</v>
      </c>
      <c r="AW99" s="21">
        <f>EXP(-LN(2)/2)*AW98+(1-EXP(-LN(2)/2))/(LN(2)/2)*AQ99*AT99*VLOOKUP('Données projet'!$B$10,Paramètres!$A$1:$I$89,3,0)*0.475*44/12</f>
        <v>1.364134851966335</v>
      </c>
      <c r="AX99" s="21">
        <f t="shared" si="60"/>
        <v>48.042082389234885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384.34044781465661</v>
      </c>
      <c r="BJ99" s="59">
        <f t="shared" si="92"/>
        <v>374.99493809709708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41.577450917646665</v>
      </c>
      <c r="BQ99" s="21">
        <f>EXP(-LN(2)/25)*BQ98+(1-EXP(-LN(2)/25))/(LN(2)/25)*Calculateur!BL99*Calculateur!BN99*VLOOKUP('Données projet'!$B$11,Paramètres!$A$1:$I$89,3,0)*0.475*44/12</f>
        <v>36.164045569821951</v>
      </c>
      <c r="BR99" s="21">
        <f>EXP(-LN(2)/2)*BR98+(1-EXP(-LN(2)/2))/(LN(2)/2)*BL99*BO99*VLOOKUP('Données projet'!$B$11,Paramètres!$A$1:$I$89,3,0)*0.475*44/12</f>
        <v>0.26773851006789695</v>
      </c>
      <c r="BS99" s="22">
        <f t="shared" si="63"/>
        <v>78.009234997536524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7.7249999999999996</v>
      </c>
      <c r="BY99" s="12">
        <f>IF('Données projet'!$A$114&gt;35,BY98+BX99-CG98,IF(A99&lt;'Données projet'!$A$114,$BV$205^A99,IF(A99='Données projet'!$A$114,'Données projet'!$B$114,BY98+BX99-CG98)))</f>
        <v>283.63500000000033</v>
      </c>
      <c r="BZ99" s="13">
        <f>BY99*VLOOKUP('Données projet'!$B$12,Paramètres!$A$1:$I$89,3,0)*VLOOKUP('Données projet'!$B$12,Paramètres!$A$1:$I$89,5,0)</f>
        <v>269.90706600000033</v>
      </c>
      <c r="CA99" s="13">
        <f t="shared" si="93"/>
        <v>64.829545952392806</v>
      </c>
      <c r="CB99" s="20">
        <f t="shared" si="64"/>
        <v>582.99959915041802</v>
      </c>
      <c r="CC99" s="59">
        <f t="shared" si="65"/>
        <v>876.33293248375139</v>
      </c>
      <c r="CD99" s="59">
        <f ca="1">AVERAGE(OFFSET($CC$3,0,0,'Données projet'!$E$12+1,1))-AVERAGE(OFFSET($H$3,0,0,'Données projet'!$E$12+1,1))</f>
        <v>513.14430745499283</v>
      </c>
      <c r="CE99" s="59">
        <f t="shared" si="94"/>
        <v>324.2490378019823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25.075105903562843</v>
      </c>
      <c r="CL99" s="21">
        <f>EXP(-LN(2)/25)*CL98+(1-EXP(-LN(2)/25))/(LN(2)/25)*Calculateur!CG99*Calculateur!CI99*VLOOKUP('Données projet'!$B$12,Paramètres!$A$1:$I$89,3,0)*0.475*44/12</f>
        <v>24.017218230460987</v>
      </c>
      <c r="CM99" s="21">
        <f>EXP(-LN(2)/2)*CM98+(1-EXP(-LN(2)/2))/(LN(2)/2)*CG99*CJ99*VLOOKUP('Données projet'!$B$12,Paramètres!$A$1:$I$89,3,0)*0.475*44/12</f>
        <v>1.4346935512059726</v>
      </c>
      <c r="CN99" s="22">
        <f t="shared" si="66"/>
        <v>50.527017685229801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-1.1368683772161603E-13</v>
      </c>
      <c r="CU99" s="17">
        <f>CT99*VLOOKUP('Données projet'!$B$13,Paramètres!$A$1:$I$89,3,0)*VLOOKUP('Données projet'!$B$13,Paramètres!$A$1:$I$89,5,0)</f>
        <v>-8.8675733422860506E-14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197.51452239559433</v>
      </c>
      <c r="CZ99" s="59">
        <f t="shared" si="96"/>
        <v>196.65166921588821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16.147540287384015</v>
      </c>
      <c r="DG99" s="21">
        <f>EXP(-LN(2)/25)*DG98+(1-EXP(-LN(2)/25))/(LN(2)/25)*Calculateur!DB99*Calculateur!DD99*VLOOKUP('Données projet'!$B$13,Paramètres!$A$1:$I$89,3,0)*0.475*44/12</f>
        <v>12.837026468266524</v>
      </c>
      <c r="DH99" s="21">
        <f>EXP(-LN(2)/2)*DH98+(1-EXP(-LN(2)/2))/(LN(2)/2)*DB99*DE99*VLOOKUP('Données projet'!$B$13,Paramètres!$A$1:$I$89,3,0)*0.475*44/12</f>
        <v>3.3617064575941365E-3</v>
      </c>
      <c r="DI99" s="22">
        <f t="shared" si="69"/>
        <v>28.987928462108133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1.9230769230769227</v>
      </c>
      <c r="DO99" s="12">
        <f>IF('Données projet'!$A$166&gt;35,DO98+DN99-DW98,IF(A99&lt;'Données projet'!$A$166,$DL$205^A99,IF(A99='Données projet'!$A$166,'Données projet'!$B$166,DO98+DN99-DW98)))</f>
        <v>135.25641025641022</v>
      </c>
      <c r="DP99" s="17">
        <f>DO99*VLOOKUP('Données projet'!$B$14,Paramètres!$A$1:$I$89,3,0)*VLOOKUP('Données projet'!$B$14,Paramètres!$A$1:$I$89,5,0)</f>
        <v>141.36999999999998</v>
      </c>
      <c r="DQ99" s="13">
        <f t="shared" si="97"/>
        <v>36.610675159135589</v>
      </c>
      <c r="DR99" s="20">
        <f t="shared" si="70"/>
        <v>309.98300923549442</v>
      </c>
      <c r="DS99" s="59">
        <f t="shared" si="71"/>
        <v>603.31634256882774</v>
      </c>
      <c r="DT99" s="59">
        <f ca="1">AVERAGE(OFFSET($DS$3,0,0,'Données projet'!$E$14+1,1))-AVERAGE(OFFSET($H$3,0,0,'Données projet'!$E$14+1,1))</f>
        <v>239.26156489359892</v>
      </c>
      <c r="DU99" s="59">
        <f t="shared" si="98"/>
        <v>213.97034450798111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1.9147451156129895</v>
      </c>
      <c r="EB99" s="21">
        <f>EXP(-LN(2)/25)*EB98+(1-EXP(-LN(2)/25))/(LN(2)/25)*Calculateur!DW99*Calculateur!DY99*VLOOKUP('Données projet'!$B$14,Paramètres!$A$1:$I$89,3,0)*0.475*44/12</f>
        <v>14.555664255666846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16.470409371279835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6.7777777777777777</v>
      </c>
      <c r="EJ99" s="12">
        <f>IF('Données projet'!$A$192&gt;35,EJ98+EI99-ER98,IF(A99&lt;'Données projet'!$A$192,$EG$205^A99,IF(A99='Données projet'!$A$192,'Données projet'!$B$192,EJ98+EI99-ER98)))</f>
        <v>217.14777777777766</v>
      </c>
      <c r="EK99" s="17">
        <f>EJ99*VLOOKUP('Données projet'!$B$15,Paramètres!$A$1:$I$89,3,0)*VLOOKUP('Données projet'!$B$15,Paramètres!$A$1:$I$89,5,0)</f>
        <v>216.80034133333325</v>
      </c>
      <c r="EL99" s="13">
        <f t="shared" si="99"/>
        <v>53.418863857300941</v>
      </c>
      <c r="EM99" s="20">
        <f t="shared" si="73"/>
        <v>470.63178237368783</v>
      </c>
      <c r="EN99" s="59">
        <f t="shared" si="74"/>
        <v>763.96511570702114</v>
      </c>
      <c r="EO99" s="59">
        <f ca="1">AVERAGE(OFFSET($EN$3,0,0,'Données projet'!$E$15+1,1))-AVERAGE(OFFSET($H$3,0,0,'Données projet'!$E$15+1,1))</f>
        <v>525.74725170626471</v>
      </c>
      <c r="EP99" s="59">
        <f t="shared" si="100"/>
        <v>259.19103598192197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11.987595726362963</v>
      </c>
      <c r="EW99" s="21">
        <f>EXP(-LN(2)/25)*EW98+(1-EXP(-LN(2)/25))/(LN(2)/25)*Calculateur!ER99*Calculateur!ET99*VLOOKUP('Données projet'!$B$15,Paramètres!$A$1:$I$89,3,0)*0.475*44/12</f>
        <v>31.861585273684891</v>
      </c>
      <c r="EX99" s="21">
        <f>EXP(-LN(2)/2)*EX98+(1-EXP(-LN(2)/2))/(LN(2)/2)*ER99*EU99*VLOOKUP('Données projet'!$B$15,Paramètres!$A$1:$I$89,3,0)*0.475*44/12</f>
        <v>2.9310537903953291</v>
      </c>
      <c r="EY99" s="22">
        <f t="shared" si="75"/>
        <v>46.780234790443188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6.7777777777777777</v>
      </c>
      <c r="N100" s="13">
        <f>IF('Données projet'!$A$36&gt;35,N99+M100-V99,IF(A100&lt;'Données projet'!$A$36,$K$205^A100,IF(A100='Données projet'!$A$36,'Données projet'!$B$36,N99+M100-V99)))</f>
        <v>223.92555555555543</v>
      </c>
      <c r="O100" s="13">
        <f>N100*VLOOKUP('Données projet'!$B$9,Paramètres!$A$1:$I$89,3,0)*VLOOKUP('Données projet'!$B$9,Paramètres!$A$1:$I$89,5,0)</f>
        <v>227.06051333333323</v>
      </c>
      <c r="P100" s="13">
        <f t="shared" si="87"/>
        <v>55.646620764750722</v>
      </c>
      <c r="Q100" s="20">
        <f t="shared" si="107"/>
        <v>492.38159188749614</v>
      </c>
      <c r="R100" s="59">
        <f t="shared" si="55"/>
        <v>785.7149252208294</v>
      </c>
      <c r="S100" s="59">
        <f ca="1">AVERAGE(OFFSET($R$3,0,0,'Données projet'!$E$9+1,1))-AVERAGE(OFFSET($H$3,0,0,'Données projet'!$E$9+1,1))</f>
        <v>533.26035274112917</v>
      </c>
      <c r="T100" s="59">
        <f t="shared" si="88"/>
        <v>262.58149402282521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11.936159509097292</v>
      </c>
      <c r="AA100" s="21">
        <f>EXP(-LN(2)/25)*AA99+(1-EXP(-LN(2)/25))/(LN(2)/25)*Calculateur!V100*Calculateur!X100*VLOOKUP('Données projet'!$B$9,Paramètres!$A$1:$I$89,3,0)*0.475*44/12</f>
        <v>31.474552432423774</v>
      </c>
      <c r="AB100" s="21">
        <f>EXP(-LN(2)/2)*AB99+(1-EXP(-LN(2)/2))/(LN(2)/2)*V100*Y100*VLOOKUP('Données projet'!$B$9,Paramètres!$A$1:$I$89,3,0)*0.475*44/12</f>
        <v>2.1049518863862438</v>
      </c>
      <c r="AC100" s="22">
        <f t="shared" si="57"/>
        <v>45.515663827907311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7.7249999999999996</v>
      </c>
      <c r="AI100" s="13">
        <f>IF('Données projet'!$A$62&gt;35,AI99+AH100-AQ99,IF(A100&lt;'Données projet'!$A$62,$AF$205^A100,IF(A100='Données projet'!$A$62,'Données projet'!$B$62,AI99+AH100-AQ99)))</f>
        <v>291.36000000000035</v>
      </c>
      <c r="AJ100" s="13">
        <f>AI100*VLOOKUP('Données projet'!$B$10,Paramètres!$A$1:$I$89,3,0)*VLOOKUP('Données projet'!$B$10,Paramètres!$A$1:$I$89,5,0)</f>
        <v>263.62252800000033</v>
      </c>
      <c r="AK100" s="13">
        <f t="shared" si="89"/>
        <v>63.493931609397407</v>
      </c>
      <c r="AL100" s="20">
        <f t="shared" si="58"/>
        <v>569.727833819701</v>
      </c>
      <c r="AM100" s="59">
        <f t="shared" si="59"/>
        <v>863.06116715303438</v>
      </c>
      <c r="AN100" s="59">
        <f ca="1">AVERAGE(OFFSET($AM$3,0,0,'Données projet'!$E$10+1,1))-AVERAGE(OFFSET($H$3,0,0,'Données projet'!$E$10+1,1))</f>
        <v>482.62991869403385</v>
      </c>
      <c r="AO100" s="59">
        <f t="shared" si="90"/>
        <v>310.43914804089906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23.374378779077148</v>
      </c>
      <c r="AV100" s="21">
        <f>EXP(-LN(2)/25)*AV99+(1-EXP(-LN(2)/25))/(LN(2)/25)*Calculateur!AQ100*Calculateur!AS100*VLOOKUP('Données projet'!$B$10,Paramètres!$A$1:$I$89,3,0)*0.475*44/12</f>
        <v>22.211590751252924</v>
      </c>
      <c r="AW100" s="21">
        <f>EXP(-LN(2)/2)*AW99+(1-EXP(-LN(2)/2))/(LN(2)/2)*AQ100*AT100*VLOOKUP('Données projet'!$B$10,Paramètres!$A$1:$I$89,3,0)*0.475*44/12</f>
        <v>0.96458900427830274</v>
      </c>
      <c r="AX100" s="21">
        <f t="shared" si="60"/>
        <v>46.550558534608378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384.34044781465661</v>
      </c>
      <c r="BJ100" s="59">
        <f t="shared" si="92"/>
        <v>374.99493809709708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40.762142464892605</v>
      </c>
      <c r="BQ100" s="21">
        <f>EXP(-LN(2)/25)*BQ99+(1-EXP(-LN(2)/25))/(LN(2)/25)*Calculateur!BL100*Calculateur!BN100*VLOOKUP('Données projet'!$B$11,Paramètres!$A$1:$I$89,3,0)*0.475*44/12</f>
        <v>35.17513784193067</v>
      </c>
      <c r="BR100" s="21">
        <f>EXP(-LN(2)/2)*BR99+(1-EXP(-LN(2)/2))/(LN(2)/2)*BL100*BO100*VLOOKUP('Données projet'!$B$11,Paramètres!$A$1:$I$89,3,0)*0.475*44/12</f>
        <v>0.18931971605379266</v>
      </c>
      <c r="BS100" s="22">
        <f t="shared" si="63"/>
        <v>76.126600022877071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7.7249999999999996</v>
      </c>
      <c r="BY100" s="12">
        <f>IF('Données projet'!$A$114&gt;35,BY99+BX100-CG99,IF(A100&lt;'Données projet'!$A$114,$BV$205^A100,IF(A100='Données projet'!$A$114,'Données projet'!$B$114,BY99+BX100-CG99)))</f>
        <v>291.36000000000035</v>
      </c>
      <c r="BZ100" s="13">
        <f>BY100*VLOOKUP('Données projet'!$B$12,Paramètres!$A$1:$I$89,3,0)*VLOOKUP('Données projet'!$B$12,Paramètres!$A$1:$I$89,5,0)</f>
        <v>277.25817600000033</v>
      </c>
      <c r="CA100" s="13">
        <f t="shared" si="93"/>
        <v>66.387251222727926</v>
      </c>
      <c r="CB100" s="20">
        <f t="shared" si="64"/>
        <v>598.51578574625171</v>
      </c>
      <c r="CC100" s="59">
        <f t="shared" si="65"/>
        <v>891.84911907958508</v>
      </c>
      <c r="CD100" s="59">
        <f ca="1">AVERAGE(OFFSET($CC$3,0,0,'Données projet'!$E$12+1,1))-AVERAGE(OFFSET($H$3,0,0,'Données projet'!$E$12+1,1))</f>
        <v>513.14430745499283</v>
      </c>
      <c r="CE100" s="59">
        <f t="shared" si="94"/>
        <v>324.2490378019823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24.58339837109839</v>
      </c>
      <c r="CL100" s="21">
        <f>EXP(-LN(2)/25)*CL99+(1-EXP(-LN(2)/25))/(LN(2)/25)*Calculateur!CG100*Calculateur!CI100*VLOOKUP('Données projet'!$B$12,Paramètres!$A$1:$I$89,3,0)*0.475*44/12</f>
        <v>23.360466134938417</v>
      </c>
      <c r="CM100" s="21">
        <f>EXP(-LN(2)/2)*CM99+(1-EXP(-LN(2)/2))/(LN(2)/2)*CG100*CJ100*VLOOKUP('Données projet'!$B$12,Paramètres!$A$1:$I$89,3,0)*0.475*44/12</f>
        <v>1.0144815389823525</v>
      </c>
      <c r="CN100" s="22">
        <f t="shared" si="66"/>
        <v>48.958346045019155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-1.1368683772161603E-13</v>
      </c>
      <c r="CU100" s="17">
        <f>CT100*VLOOKUP('Données projet'!$B$13,Paramètres!$A$1:$I$89,3,0)*VLOOKUP('Données projet'!$B$13,Paramètres!$A$1:$I$89,5,0)</f>
        <v>-8.8675733422860506E-14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197.51452239559433</v>
      </c>
      <c r="CZ100" s="59">
        <f t="shared" si="96"/>
        <v>196.65166921588821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15.830896871375479</v>
      </c>
      <c r="DG100" s="21">
        <f>EXP(-LN(2)/25)*DG99+(1-EXP(-LN(2)/25))/(LN(2)/25)*Calculateur!DB100*Calculateur!DD100*VLOOKUP('Données projet'!$B$13,Paramètres!$A$1:$I$89,3,0)*0.475*44/12</f>
        <v>12.485997304421893</v>
      </c>
      <c r="DH100" s="21">
        <f>EXP(-LN(2)/2)*DH99+(1-EXP(-LN(2)/2))/(LN(2)/2)*DB100*DE100*VLOOKUP('Données projet'!$B$13,Paramètres!$A$1:$I$89,3,0)*0.475*44/12</f>
        <v>2.3770854325234209E-3</v>
      </c>
      <c r="DI100" s="22">
        <f t="shared" si="69"/>
        <v>28.319271261229897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1.9230769230769227</v>
      </c>
      <c r="DO100" s="12">
        <f>IF('Données projet'!$A$166&gt;35,DO99+DN100-DW99,IF(A100&lt;'Données projet'!$A$166,$DL$205^A100,IF(A100='Données projet'!$A$166,'Données projet'!$B$166,DO99+DN100-DW99)))</f>
        <v>137.17948717948715</v>
      </c>
      <c r="DP100" s="17">
        <f>DO100*VLOOKUP('Données projet'!$B$14,Paramètres!$A$1:$I$89,3,0)*VLOOKUP('Données projet'!$B$14,Paramètres!$A$1:$I$89,5,0)</f>
        <v>143.37999999999997</v>
      </c>
      <c r="DQ100" s="13">
        <f t="shared" si="97"/>
        <v>37.070237688614135</v>
      </c>
      <c r="DR100" s="20">
        <f t="shared" si="70"/>
        <v>314.2841639743362</v>
      </c>
      <c r="DS100" s="59">
        <f t="shared" si="71"/>
        <v>607.61749730766951</v>
      </c>
      <c r="DT100" s="59">
        <f ca="1">AVERAGE(OFFSET($DS$3,0,0,'Données projet'!$E$14+1,1))-AVERAGE(OFFSET($H$3,0,0,'Données projet'!$E$14+1,1))</f>
        <v>239.26156489359892</v>
      </c>
      <c r="DU100" s="59">
        <f t="shared" si="98"/>
        <v>213.97034450798111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1.8771981317750208</v>
      </c>
      <c r="EB100" s="21">
        <f>EXP(-LN(2)/25)*EB99+(1-EXP(-LN(2)/25))/(LN(2)/25)*Calculateur!DW100*Calculateur!DY100*VLOOKUP('Données projet'!$B$14,Paramètres!$A$1:$I$89,3,0)*0.475*44/12</f>
        <v>14.157638851146521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16.03483698292154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6.7777777777777777</v>
      </c>
      <c r="EJ100" s="12">
        <f>IF('Données projet'!$A$192&gt;35,EJ99+EI100-ER99,IF(A100&lt;'Données projet'!$A$192,$EG$205^A100,IF(A100='Données projet'!$A$192,'Données projet'!$B$192,EJ99+EI100-ER99)))</f>
        <v>223.92555555555543</v>
      </c>
      <c r="EK100" s="17">
        <f>EJ100*VLOOKUP('Données projet'!$B$15,Paramètres!$A$1:$I$89,3,0)*VLOOKUP('Données projet'!$B$15,Paramètres!$A$1:$I$89,5,0)</f>
        <v>223.56727466666658</v>
      </c>
      <c r="EL100" s="13">
        <f t="shared" si="99"/>
        <v>54.889487938380462</v>
      </c>
      <c r="EM100" s="20">
        <f t="shared" si="73"/>
        <v>484.97886153712358</v>
      </c>
      <c r="EN100" s="59">
        <f t="shared" si="74"/>
        <v>778.31219487045689</v>
      </c>
      <c r="EO100" s="59">
        <f ca="1">AVERAGE(OFFSET($EN$3,0,0,'Données projet'!$E$15+1,1))-AVERAGE(OFFSET($H$3,0,0,'Données projet'!$E$15+1,1))</f>
        <v>525.74725170626471</v>
      </c>
      <c r="EP100" s="59">
        <f t="shared" si="100"/>
        <v>259.19103598192197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11.752526285880407</v>
      </c>
      <c r="EW100" s="21">
        <f>EXP(-LN(2)/25)*EW99+(1-EXP(-LN(2)/25))/(LN(2)/25)*Calculateur!ER100*Calculateur!ET100*VLOOKUP('Données projet'!$B$15,Paramètres!$A$1:$I$89,3,0)*0.475*44/12</f>
        <v>30.99032854884803</v>
      </c>
      <c r="EX100" s="21">
        <f>EXP(-LN(2)/2)*EX99+(1-EXP(-LN(2)/2))/(LN(2)/2)*ER100*EU100*VLOOKUP('Données projet'!$B$15,Paramètres!$A$1:$I$89,3,0)*0.475*44/12</f>
        <v>2.0725680112110707</v>
      </c>
      <c r="EY100" s="22">
        <f t="shared" si="75"/>
        <v>44.815422845939501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6.7777777777777777</v>
      </c>
      <c r="N101" s="13">
        <f>IF('Données projet'!$A$36&gt;35,N100+M101-V100,IF(A101&lt;'Données projet'!$A$36,$K$205^A101,IF(A101='Données projet'!$A$36,'Données projet'!$B$36,N100+M101-V100)))</f>
        <v>230.70333333333321</v>
      </c>
      <c r="O101" s="13">
        <f>N101*VLOOKUP('Données projet'!$B$9,Paramètres!$A$1:$I$89,3,0)*VLOOKUP('Données projet'!$B$9,Paramètres!$A$1:$I$89,5,0)</f>
        <v>233.93317999999988</v>
      </c>
      <c r="P101" s="13">
        <f t="shared" si="87"/>
        <v>57.132285924019129</v>
      </c>
      <c r="Q101" s="20">
        <f t="shared" si="107"/>
        <v>506.93901981766635</v>
      </c>
      <c r="R101" s="59">
        <f t="shared" si="55"/>
        <v>800.27235315099961</v>
      </c>
      <c r="S101" s="59">
        <f ca="1">AVERAGE(OFFSET($R$3,0,0,'Données projet'!$E$9+1,1))-AVERAGE(OFFSET($H$3,0,0,'Données projet'!$E$9+1,1))</f>
        <v>533.26035274112917</v>
      </c>
      <c r="T101" s="59">
        <f t="shared" si="88"/>
        <v>262.58149402282521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11.702098701462321</v>
      </c>
      <c r="AA101" s="21">
        <f>EXP(-LN(2)/25)*AA100+(1-EXP(-LN(2)/25))/(LN(2)/25)*Calculateur!V101*Calculateur!X101*VLOOKUP('Données projet'!$B$9,Paramètres!$A$1:$I$89,3,0)*0.475*44/12</f>
        <v>30.61387914098437</v>
      </c>
      <c r="AB101" s="21">
        <f>EXP(-LN(2)/2)*AB100+(1-EXP(-LN(2)/2))/(LN(2)/2)*V101*Y101*VLOOKUP('Données projet'!$B$9,Paramètres!$A$1:$I$89,3,0)*0.475*44/12</f>
        <v>1.4884257529351281</v>
      </c>
      <c r="AC101" s="22">
        <f t="shared" si="57"/>
        <v>43.804403595381821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7.7249999999999996</v>
      </c>
      <c r="AI101" s="13">
        <f>IF('Données projet'!$A$62&gt;35,AI100+AH101-AQ100,IF(A101&lt;'Données projet'!$A$62,$AF$205^A101,IF(A101='Données projet'!$A$62,'Données projet'!$B$62,AI100+AH101-AQ100)))</f>
        <v>299.08500000000038</v>
      </c>
      <c r="AJ101" s="13">
        <f>AI101*VLOOKUP('Données projet'!$B$10,Paramètres!$A$1:$I$89,3,0)*VLOOKUP('Données projet'!$B$10,Paramètres!$A$1:$I$89,5,0)</f>
        <v>270.61210800000032</v>
      </c>
      <c r="AK101" s="13">
        <f t="shared" si="89"/>
        <v>64.979156928389983</v>
      </c>
      <c r="AL101" s="20">
        <f t="shared" si="58"/>
        <v>584.48811975027968</v>
      </c>
      <c r="AM101" s="59">
        <f t="shared" si="59"/>
        <v>877.82145308361305</v>
      </c>
      <c r="AN101" s="59">
        <f ca="1">AVERAGE(OFFSET($AM$3,0,0,'Données projet'!$E$10+1,1))-AVERAGE(OFFSET($H$3,0,0,'Données projet'!$E$10+1,1))</f>
        <v>482.62991869403385</v>
      </c>
      <c r="AO101" s="59">
        <f t="shared" si="90"/>
        <v>310.43914804089906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22.916021468182741</v>
      </c>
      <c r="AV101" s="21">
        <f>EXP(-LN(2)/25)*AV100+(1-EXP(-LN(2)/25))/(LN(2)/25)*Calculateur!AQ101*Calculateur!AS101*VLOOKUP('Données projet'!$B$10,Paramètres!$A$1:$I$89,3,0)*0.475*44/12</f>
        <v>21.604213634103122</v>
      </c>
      <c r="AW101" s="21">
        <f>EXP(-LN(2)/2)*AW100+(1-EXP(-LN(2)/2))/(LN(2)/2)*AQ101*AT101*VLOOKUP('Données projet'!$B$10,Paramètres!$A$1:$I$89,3,0)*0.475*44/12</f>
        <v>0.68206742598316761</v>
      </c>
      <c r="AX101" s="21">
        <f t="shared" si="60"/>
        <v>45.202302528269037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384.34044781465661</v>
      </c>
      <c r="BJ101" s="59">
        <f t="shared" si="92"/>
        <v>374.99493809709708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39.962821713608001</v>
      </c>
      <c r="BQ101" s="21">
        <f>EXP(-LN(2)/25)*BQ100+(1-EXP(-LN(2)/25))/(LN(2)/25)*Calculateur!BL101*Calculateur!BN101*VLOOKUP('Données projet'!$B$11,Paramètres!$A$1:$I$89,3,0)*0.475*44/12</f>
        <v>34.21327184786297</v>
      </c>
      <c r="BR101" s="21">
        <f>EXP(-LN(2)/2)*BR100+(1-EXP(-LN(2)/2))/(LN(2)/2)*BL101*BO101*VLOOKUP('Données projet'!$B$11,Paramètres!$A$1:$I$89,3,0)*0.475*44/12</f>
        <v>0.13386925503394848</v>
      </c>
      <c r="BS101" s="22">
        <f t="shared" si="63"/>
        <v>74.309962816504907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7.7249999999999996</v>
      </c>
      <c r="BY101" s="12">
        <f>IF('Données projet'!$A$114&gt;35,BY100+BX101-CG100,IF(A101&lt;'Données projet'!$A$114,$BV$205^A101,IF(A101='Données projet'!$A$114,'Données projet'!$B$114,BY100+BX101-CG100)))</f>
        <v>299.08500000000038</v>
      </c>
      <c r="BZ101" s="13">
        <f>BY101*VLOOKUP('Données projet'!$B$12,Paramètres!$A$1:$I$89,3,0)*VLOOKUP('Données projet'!$B$12,Paramètres!$A$1:$I$89,5,0)</f>
        <v>284.60928600000034</v>
      </c>
      <c r="CA101" s="13">
        <f t="shared" si="93"/>
        <v>67.940155947243795</v>
      </c>
      <c r="CB101" s="20">
        <f t="shared" si="64"/>
        <v>614.02361139145012</v>
      </c>
      <c r="CC101" s="59">
        <f t="shared" si="65"/>
        <v>907.35694472478349</v>
      </c>
      <c r="CD101" s="59">
        <f ca="1">AVERAGE(OFFSET($CC$3,0,0,'Données projet'!$E$12+1,1))-AVERAGE(OFFSET($H$3,0,0,'Données projet'!$E$12+1,1))</f>
        <v>513.14430745499283</v>
      </c>
      <c r="CE101" s="59">
        <f t="shared" si="94"/>
        <v>324.2490378019823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24.101332923433585</v>
      </c>
      <c r="CL101" s="21">
        <f>EXP(-LN(2)/25)*CL100+(1-EXP(-LN(2)/25))/(LN(2)/25)*Calculateur!CG101*Calculateur!CI101*VLOOKUP('Données projet'!$B$12,Paramètres!$A$1:$I$89,3,0)*0.475*44/12</f>
        <v>22.721672960005002</v>
      </c>
      <c r="CM101" s="21">
        <f>EXP(-LN(2)/2)*CM100+(1-EXP(-LN(2)/2))/(LN(2)/2)*CG101*CJ101*VLOOKUP('Données projet'!$B$12,Paramètres!$A$1:$I$89,3,0)*0.475*44/12</f>
        <v>0.71734677560298632</v>
      </c>
      <c r="CN101" s="22">
        <f t="shared" si="66"/>
        <v>47.540352659041567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-1.1368683772161603E-13</v>
      </c>
      <c r="CU101" s="17">
        <f>CT101*VLOOKUP('Données projet'!$B$13,Paramètres!$A$1:$I$89,3,0)*VLOOKUP('Données projet'!$B$13,Paramètres!$A$1:$I$89,5,0)</f>
        <v>-8.8675733422860506E-14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197.51452239559433</v>
      </c>
      <c r="CZ101" s="59">
        <f t="shared" si="96"/>
        <v>196.65166921588821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15.520462639621458</v>
      </c>
      <c r="DG101" s="21">
        <f>EXP(-LN(2)/25)*DG100+(1-EXP(-LN(2)/25))/(LN(2)/25)*Calculateur!DB101*Calculateur!DD101*VLOOKUP('Données projet'!$B$13,Paramètres!$A$1:$I$89,3,0)*0.475*44/12</f>
        <v>12.144567051522415</v>
      </c>
      <c r="DH101" s="21">
        <f>EXP(-LN(2)/2)*DH100+(1-EXP(-LN(2)/2))/(LN(2)/2)*DB101*DE101*VLOOKUP('Données projet'!$B$13,Paramètres!$A$1:$I$89,3,0)*0.475*44/12</f>
        <v>1.6808532287970683E-3</v>
      </c>
      <c r="DI101" s="22">
        <f t="shared" si="69"/>
        <v>27.66671054437267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1.9230769230769227</v>
      </c>
      <c r="DO101" s="12">
        <f>IF('Données projet'!$A$166&gt;35,DO100+DN101-DW100,IF(A101&lt;'Données projet'!$A$166,$DL$205^A101,IF(A101='Données projet'!$A$166,'Données projet'!$B$166,DO100+DN101-DW100)))</f>
        <v>139.10256410256409</v>
      </c>
      <c r="DP101" s="17">
        <f>DO101*VLOOKUP('Données projet'!$B$14,Paramètres!$A$1:$I$89,3,0)*VLOOKUP('Données projet'!$B$14,Paramètres!$A$1:$I$89,5,0)</f>
        <v>145.38999999999999</v>
      </c>
      <c r="DQ101" s="13">
        <f t="shared" si="97"/>
        <v>37.529050900676538</v>
      </c>
      <c r="DR101" s="20">
        <f t="shared" si="70"/>
        <v>318.58401365201161</v>
      </c>
      <c r="DS101" s="59">
        <f t="shared" si="71"/>
        <v>611.91734698534492</v>
      </c>
      <c r="DT101" s="59">
        <f ca="1">AVERAGE(OFFSET($DS$3,0,0,'Données projet'!$E$14+1,1))-AVERAGE(OFFSET($H$3,0,0,'Données projet'!$E$14+1,1))</f>
        <v>239.26156489359892</v>
      </c>
      <c r="DU101" s="59">
        <f t="shared" si="98"/>
        <v>213.97034450798111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1.8403874213887159</v>
      </c>
      <c r="EB101" s="21">
        <f>EXP(-LN(2)/25)*EB100+(1-EXP(-LN(2)/25))/(LN(2)/25)*Calculateur!DW101*Calculateur!DY101*VLOOKUP('Données projet'!$B$14,Paramètres!$A$1:$I$89,3,0)*0.475*44/12</f>
        <v>13.770497472244049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15.610884893632765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6.7777777777777777</v>
      </c>
      <c r="EJ101" s="12">
        <f>IF('Données projet'!$A$192&gt;35,EJ100+EI101-ER100,IF(A101&lt;'Données projet'!$A$192,$EG$205^A101,IF(A101='Données projet'!$A$192,'Données projet'!$B$192,EJ100+EI101-ER100)))</f>
        <v>230.70333333333321</v>
      </c>
      <c r="EK101" s="17">
        <f>EJ101*VLOOKUP('Données projet'!$B$15,Paramètres!$A$1:$I$89,3,0)*VLOOKUP('Données projet'!$B$15,Paramètres!$A$1:$I$89,5,0)</f>
        <v>230.3342079999999</v>
      </c>
      <c r="EL101" s="13">
        <f t="shared" si="99"/>
        <v>56.354939006557252</v>
      </c>
      <c r="EM101" s="20">
        <f t="shared" si="73"/>
        <v>499.31693103642039</v>
      </c>
      <c r="EN101" s="59">
        <f t="shared" si="74"/>
        <v>792.6502643697537</v>
      </c>
      <c r="EO101" s="59">
        <f ca="1">AVERAGE(OFFSET($EN$3,0,0,'Données projet'!$E$15+1,1))-AVERAGE(OFFSET($H$3,0,0,'Données projet'!$E$15+1,1))</f>
        <v>525.74725170626471</v>
      </c>
      <c r="EP101" s="59">
        <f t="shared" si="100"/>
        <v>259.19103598192197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11.522066413747513</v>
      </c>
      <c r="EW101" s="21">
        <f>EXP(-LN(2)/25)*EW100+(1-EXP(-LN(2)/25))/(LN(2)/25)*Calculateur!ER101*Calculateur!ET101*VLOOKUP('Données projet'!$B$15,Paramètres!$A$1:$I$89,3,0)*0.475*44/12</f>
        <v>30.14289638496923</v>
      </c>
      <c r="EX101" s="21">
        <f>EXP(-LN(2)/2)*EX100+(1-EXP(-LN(2)/2))/(LN(2)/2)*ER101*EU101*VLOOKUP('Données projet'!$B$15,Paramètres!$A$1:$I$89,3,0)*0.475*44/12</f>
        <v>1.4655268951976645</v>
      </c>
      <c r="EY101" s="22">
        <f t="shared" si="75"/>
        <v>43.130489693914406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6.7777777777777777</v>
      </c>
      <c r="N102" s="13">
        <f>IF('Données projet'!$A$36&gt;35,N101+M102-V101,IF(A102&lt;'Données projet'!$A$36,$K$205^A102,IF(A102='Données projet'!$A$36,'Données projet'!$B$36,N101+M102-V101)))</f>
        <v>237.48111111111098</v>
      </c>
      <c r="O102" s="13">
        <f>N102*VLOOKUP('Données projet'!$B$9,Paramètres!$A$1:$I$89,3,0)*VLOOKUP('Données projet'!$B$9,Paramètres!$A$1:$I$89,5,0)</f>
        <v>240.80584666666655</v>
      </c>
      <c r="P102" s="13">
        <f t="shared" si="87"/>
        <v>58.612878478503731</v>
      </c>
      <c r="Q102" s="20">
        <f t="shared" si="107"/>
        <v>521.48761296117152</v>
      </c>
      <c r="R102" s="59">
        <f t="shared" si="55"/>
        <v>814.82094629450489</v>
      </c>
      <c r="S102" s="59">
        <f ca="1">AVERAGE(OFFSET($R$3,0,0,'Données projet'!$E$9+1,1))-AVERAGE(OFFSET($H$3,0,0,'Données projet'!$E$9+1,1))</f>
        <v>533.26035274112917</v>
      </c>
      <c r="T102" s="59">
        <f t="shared" si="88"/>
        <v>262.58149402282521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11.472627683502076</v>
      </c>
      <c r="AA102" s="21">
        <f>EXP(-LN(2)/25)*AA101+(1-EXP(-LN(2)/25))/(LN(2)/25)*Calculateur!V102*Calculateur!X102*VLOOKUP('Données projet'!$B$9,Paramètres!$A$1:$I$89,3,0)*0.475*44/12</f>
        <v>29.776741005960218</v>
      </c>
      <c r="AB102" s="21">
        <f>EXP(-LN(2)/2)*AB101+(1-EXP(-LN(2)/2))/(LN(2)/2)*V102*Y102*VLOOKUP('Données projet'!$B$9,Paramètres!$A$1:$I$89,3,0)*0.475*44/12</f>
        <v>1.0524759431931219</v>
      </c>
      <c r="AC102" s="22">
        <f t="shared" si="57"/>
        <v>42.301844632655417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7.7249999999999996</v>
      </c>
      <c r="AI102" s="13">
        <f>IF('Données projet'!$A$62&gt;35,AI101+AH102-AQ101,IF(A102&lt;'Données projet'!$A$62,$AF$205^A102,IF(A102='Données projet'!$A$62,'Données projet'!$B$62,AI101+AH102-AQ101)))</f>
        <v>306.8100000000004</v>
      </c>
      <c r="AJ102" s="13">
        <f>AI102*VLOOKUP('Données projet'!$B$10,Paramètres!$A$1:$I$89,3,0)*VLOOKUP('Données projet'!$B$10,Paramètres!$A$1:$I$89,5,0)</f>
        <v>277.60168800000031</v>
      </c>
      <c r="AK102" s="13">
        <f t="shared" si="89"/>
        <v>66.459923144116161</v>
      </c>
      <c r="AL102" s="20">
        <f t="shared" si="58"/>
        <v>599.24063940933604</v>
      </c>
      <c r="AM102" s="59">
        <f t="shared" si="59"/>
        <v>892.57397274266941</v>
      </c>
      <c r="AN102" s="59">
        <f ca="1">AVERAGE(OFFSET($AM$3,0,0,'Données projet'!$E$10+1,1))-AVERAGE(OFFSET($H$3,0,0,'Données projet'!$E$10+1,1))</f>
        <v>482.62991869403385</v>
      </c>
      <c r="AO102" s="59">
        <f t="shared" si="90"/>
        <v>310.43914804089906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22.466652264584621</v>
      </c>
      <c r="AV102" s="21">
        <f>EXP(-LN(2)/25)*AV101+(1-EXP(-LN(2)/25))/(LN(2)/25)*Calculateur!AQ102*Calculateur!AS102*VLOOKUP('Données projet'!$B$10,Paramètres!$A$1:$I$89,3,0)*0.475*44/12</f>
        <v>21.013445276162354</v>
      </c>
      <c r="AW102" s="21">
        <f>EXP(-LN(2)/2)*AW101+(1-EXP(-LN(2)/2))/(LN(2)/2)*AQ102*AT102*VLOOKUP('Données projet'!$B$10,Paramètres!$A$1:$I$89,3,0)*0.475*44/12</f>
        <v>0.48229450213915143</v>
      </c>
      <c r="AX102" s="21">
        <f t="shared" si="60"/>
        <v>43.96239204288613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384.34044781465661</v>
      </c>
      <c r="BJ102" s="59">
        <f t="shared" si="92"/>
        <v>374.99493809709708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39.179175154718571</v>
      </c>
      <c r="BQ102" s="21">
        <f>EXP(-LN(2)/25)*BQ101+(1-EXP(-LN(2)/25))/(LN(2)/25)*Calculateur!BL102*Calculateur!BN102*VLOOKUP('Données projet'!$B$11,Paramètres!$A$1:$I$89,3,0)*0.475*44/12</f>
        <v>33.277708129985385</v>
      </c>
      <c r="BR102" s="21">
        <f>EXP(-LN(2)/2)*BR101+(1-EXP(-LN(2)/2))/(LN(2)/2)*BL102*BO102*VLOOKUP('Données projet'!$B$11,Paramètres!$A$1:$I$89,3,0)*0.475*44/12</f>
        <v>9.4659858026896332E-2</v>
      </c>
      <c r="BS102" s="22">
        <f t="shared" si="63"/>
        <v>72.551543142730864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7.7249999999999996</v>
      </c>
      <c r="BY102" s="12">
        <f>IF('Données projet'!$A$114&gt;35,BY101+BX102-CG101,IF(A102&lt;'Données projet'!$A$114,$BV$205^A102,IF(A102='Données projet'!$A$114,'Données projet'!$B$114,BY101+BX102-CG101)))</f>
        <v>306.8100000000004</v>
      </c>
      <c r="BZ102" s="13">
        <f>BY102*VLOOKUP('Données projet'!$B$12,Paramètres!$A$1:$I$89,3,0)*VLOOKUP('Données projet'!$B$12,Paramètres!$A$1:$I$89,5,0)</f>
        <v>291.96039600000034</v>
      </c>
      <c r="CA102" s="13">
        <f t="shared" si="93"/>
        <v>69.488398374099404</v>
      </c>
      <c r="CB102" s="20">
        <f t="shared" si="64"/>
        <v>629.52331686822367</v>
      </c>
      <c r="CC102" s="59">
        <f t="shared" si="65"/>
        <v>922.85665020155693</v>
      </c>
      <c r="CD102" s="59">
        <f ca="1">AVERAGE(OFFSET($CC$3,0,0,'Données projet'!$E$12+1,1))-AVERAGE(OFFSET($H$3,0,0,'Données projet'!$E$12+1,1))</f>
        <v>513.14430745499283</v>
      </c>
      <c r="CE102" s="59">
        <f t="shared" si="94"/>
        <v>324.2490378019823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23.628720485166596</v>
      </c>
      <c r="CL102" s="21">
        <f>EXP(-LN(2)/25)*CL101+(1-EXP(-LN(2)/25))/(LN(2)/25)*Calculateur!CG102*Calculateur!CI102*VLOOKUP('Données projet'!$B$12,Paramètres!$A$1:$I$89,3,0)*0.475*44/12</f>
        <v>22.100347618032814</v>
      </c>
      <c r="CM102" s="21">
        <f>EXP(-LN(2)/2)*CM101+(1-EXP(-LN(2)/2))/(LN(2)/2)*CG102*CJ102*VLOOKUP('Données projet'!$B$12,Paramètres!$A$1:$I$89,3,0)*0.475*44/12</f>
        <v>0.50724076949117625</v>
      </c>
      <c r="CN102" s="22">
        <f t="shared" si="66"/>
        <v>46.236308872690586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-1.1368683772161603E-13</v>
      </c>
      <c r="CU102" s="17">
        <f>CT102*VLOOKUP('Données projet'!$B$13,Paramètres!$A$1:$I$89,3,0)*VLOOKUP('Données projet'!$B$13,Paramètres!$A$1:$I$89,5,0)</f>
        <v>-8.8675733422860506E-14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197.51452239559433</v>
      </c>
      <c r="CZ102" s="59">
        <f t="shared" si="96"/>
        <v>196.65166921588821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15.216115833805947</v>
      </c>
      <c r="DG102" s="21">
        <f>EXP(-LN(2)/25)*DG101+(1-EXP(-LN(2)/25))/(LN(2)/25)*Calculateur!DB102*Calculateur!DD102*VLOOKUP('Données projet'!$B$13,Paramètres!$A$1:$I$89,3,0)*0.475*44/12</f>
        <v>11.81247322684351</v>
      </c>
      <c r="DH102" s="21">
        <f>EXP(-LN(2)/2)*DH101+(1-EXP(-LN(2)/2))/(LN(2)/2)*DB102*DE102*VLOOKUP('Données projet'!$B$13,Paramètres!$A$1:$I$89,3,0)*0.475*44/12</f>
        <v>1.1885427162617104E-3</v>
      </c>
      <c r="DI102" s="22">
        <f t="shared" si="69"/>
        <v>27.029777603365719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1.9230769230769227</v>
      </c>
      <c r="DO102" s="12">
        <f>IF('Données projet'!$A$166&gt;35,DO101+DN102-DW101,IF(A102&lt;'Données projet'!$A$166,$DL$205^A102,IF(A102='Données projet'!$A$166,'Données projet'!$B$166,DO101+DN102-DW101)))</f>
        <v>141.02564102564102</v>
      </c>
      <c r="DP102" s="17">
        <f>DO102*VLOOKUP('Données projet'!$B$14,Paramètres!$A$1:$I$89,3,0)*VLOOKUP('Données projet'!$B$14,Paramètres!$A$1:$I$89,5,0)</f>
        <v>147.4</v>
      </c>
      <c r="DQ102" s="13">
        <f t="shared" si="97"/>
        <v>37.987126351804257</v>
      </c>
      <c r="DR102" s="20">
        <f t="shared" si="70"/>
        <v>322.88257839605905</v>
      </c>
      <c r="DS102" s="59">
        <f t="shared" si="71"/>
        <v>616.21591172939236</v>
      </c>
      <c r="DT102" s="59">
        <f ca="1">AVERAGE(OFFSET($DS$3,0,0,'Données projet'!$E$14+1,1))-AVERAGE(OFFSET($H$3,0,0,'Données projet'!$E$14+1,1))</f>
        <v>239.26156489359892</v>
      </c>
      <c r="DU102" s="59">
        <f t="shared" si="98"/>
        <v>213.97034450798111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1.8042985465807702</v>
      </c>
      <c r="EB102" s="21">
        <f>EXP(-LN(2)/25)*EB101+(1-EXP(-LN(2)/25))/(LN(2)/25)*Calculateur!DW102*Calculateur!DY102*VLOOKUP('Données projet'!$B$14,Paramètres!$A$1:$I$89,3,0)*0.475*44/12</f>
        <v>13.393942494706547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15.198241041287318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6.7777777777777777</v>
      </c>
      <c r="EJ102" s="12">
        <f>IF('Données projet'!$A$192&gt;35,EJ101+EI102-ER101,IF(A102&lt;'Données projet'!$A$192,$EG$205^A102,IF(A102='Données projet'!$A$192,'Données projet'!$B$192,EJ101+EI102-ER101)))</f>
        <v>237.48111111111098</v>
      </c>
      <c r="EK102" s="17">
        <f>EJ102*VLOOKUP('Données projet'!$B$15,Paramètres!$A$1:$I$89,3,0)*VLOOKUP('Données projet'!$B$15,Paramètres!$A$1:$I$89,5,0)</f>
        <v>237.10114133333323</v>
      </c>
      <c r="EL102" s="13">
        <f t="shared" si="99"/>
        <v>57.815386488258035</v>
      </c>
      <c r="EM102" s="20">
        <f t="shared" si="73"/>
        <v>513.6462859559382</v>
      </c>
      <c r="EN102" s="59">
        <f t="shared" si="74"/>
        <v>806.97961928927157</v>
      </c>
      <c r="EO102" s="59">
        <f ca="1">AVERAGE(OFFSET($EN$3,0,0,'Données projet'!$E$15+1,1))-AVERAGE(OFFSET($H$3,0,0,'Données projet'!$E$15+1,1))</f>
        <v>525.74725170626471</v>
      </c>
      <c r="EP102" s="59">
        <f t="shared" si="100"/>
        <v>259.19103598192197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11.296125719140502</v>
      </c>
      <c r="EW102" s="21">
        <f>EXP(-LN(2)/25)*EW101+(1-EXP(-LN(2)/25))/(LN(2)/25)*Calculateur!ER102*Calculateur!ET102*VLOOKUP('Données projet'!$B$15,Paramètres!$A$1:$I$89,3,0)*0.475*44/12</f>
        <v>29.318637298176217</v>
      </c>
      <c r="EX102" s="21">
        <f>EXP(-LN(2)/2)*EX101+(1-EXP(-LN(2)/2))/(LN(2)/2)*ER102*EU102*VLOOKUP('Données projet'!$B$15,Paramètres!$A$1:$I$89,3,0)*0.475*44/12</f>
        <v>1.0362840056055354</v>
      </c>
      <c r="EY102" s="22">
        <f t="shared" si="75"/>
        <v>41.651047022922256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6.7777777777777777</v>
      </c>
      <c r="N103" s="13">
        <f>IF('Données projet'!$A$36&gt;35,N102+M103-V102,IF(A103&lt;'Données projet'!$A$36,$K$205^A103,IF(A103='Données projet'!$A$36,'Données projet'!$B$36,N102+M103-V102)))</f>
        <v>244.25888888888875</v>
      </c>
      <c r="O103" s="13">
        <f>N103*VLOOKUP('Données projet'!$B$9,Paramètres!$A$1:$I$89,3,0)*VLOOKUP('Données projet'!$B$9,Paramètres!$A$1:$I$89,5,0)</f>
        <v>247.6785133333332</v>
      </c>
      <c r="P103" s="13">
        <f t="shared" si="87"/>
        <v>60.088559829649782</v>
      </c>
      <c r="Q103" s="20">
        <f t="shared" si="107"/>
        <v>536.02765242552857</v>
      </c>
      <c r="R103" s="59">
        <f t="shared" si="55"/>
        <v>829.36098575886194</v>
      </c>
      <c r="S103" s="59">
        <f ca="1">AVERAGE(OFFSET($R$3,0,0,'Données projet'!$E$9+1,1))-AVERAGE(OFFSET($H$3,0,0,'Données projet'!$E$9+1,1))</f>
        <v>533.26035274112917</v>
      </c>
      <c r="T103" s="59">
        <f t="shared" si="88"/>
        <v>262.58149402282521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11.24765645224053</v>
      </c>
      <c r="AA103" s="21">
        <f>EXP(-LN(2)/25)*AA102+(1-EXP(-LN(2)/25))/(LN(2)/25)*Calculateur!V103*Calculateur!X103*VLOOKUP('Données projet'!$B$9,Paramètres!$A$1:$I$89,3,0)*0.475*44/12</f>
        <v>28.962494457261482</v>
      </c>
      <c r="AB103" s="21">
        <f>EXP(-LN(2)/2)*AB102+(1-EXP(-LN(2)/2))/(LN(2)/2)*V103*Y103*VLOOKUP('Données projet'!$B$9,Paramètres!$A$1:$I$89,3,0)*0.475*44/12</f>
        <v>0.74421287646756407</v>
      </c>
      <c r="AC103" s="22">
        <f t="shared" si="57"/>
        <v>40.954363785969576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7.7249999999999996</v>
      </c>
      <c r="AI103" s="13">
        <f>IF('Données projet'!$A$62&gt;35,AI102+AH103-AQ102,IF(A103&lt;'Données projet'!$A$62,$AF$205^A103,IF(A103='Données projet'!$A$62,'Données projet'!$B$62,AI102+AH103-AQ102)))</f>
        <v>314.53500000000042</v>
      </c>
      <c r="AJ103" s="13">
        <f>AI103*VLOOKUP('Données projet'!$B$10,Paramètres!$A$1:$I$89,3,0)*VLOOKUP('Données projet'!$B$10,Paramètres!$A$1:$I$89,5,0)</f>
        <v>284.59126800000041</v>
      </c>
      <c r="AK103" s="13">
        <f t="shared" si="89"/>
        <v>67.936355441759275</v>
      </c>
      <c r="AL103" s="20">
        <f t="shared" si="58"/>
        <v>613.98561082773153</v>
      </c>
      <c r="AM103" s="59">
        <f t="shared" si="59"/>
        <v>907.31894416106479</v>
      </c>
      <c r="AN103" s="59">
        <f ca="1">AVERAGE(OFFSET($AM$3,0,0,'Données projet'!$E$10+1,1))-AVERAGE(OFFSET($H$3,0,0,'Données projet'!$E$10+1,1))</f>
        <v>482.62991869403385</v>
      </c>
      <c r="AO103" s="59">
        <f t="shared" si="90"/>
        <v>310.43914804089906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22.026094916980909</v>
      </c>
      <c r="AV103" s="21">
        <f>EXP(-LN(2)/25)*AV102+(1-EXP(-LN(2)/25))/(LN(2)/25)*Calculateur!AQ103*Calculateur!AS103*VLOOKUP('Données projet'!$B$10,Paramètres!$A$1:$I$89,3,0)*0.475*44/12</f>
        <v>20.438831510036636</v>
      </c>
      <c r="AW103" s="21">
        <f>EXP(-LN(2)/2)*AW102+(1-EXP(-LN(2)/2))/(LN(2)/2)*AQ103*AT103*VLOOKUP('Données projet'!$B$10,Paramètres!$A$1:$I$89,3,0)*0.475*44/12</f>
        <v>0.34103371299158386</v>
      </c>
      <c r="AX103" s="21">
        <f t="shared" si="60"/>
        <v>42.805960140009127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384.34044781465661</v>
      </c>
      <c r="BJ103" s="59">
        <f t="shared" si="92"/>
        <v>374.99493809709708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38.410895426871761</v>
      </c>
      <c r="BQ103" s="21">
        <f>EXP(-LN(2)/25)*BQ102+(1-EXP(-LN(2)/25))/(LN(2)/25)*Calculateur!BL103*Calculateur!BN103*VLOOKUP('Données projet'!$B$11,Paramètres!$A$1:$I$89,3,0)*0.475*44/12</f>
        <v>32.367727451172321</v>
      </c>
      <c r="BR103" s="21">
        <f>EXP(-LN(2)/2)*BR102+(1-EXP(-LN(2)/2))/(LN(2)/2)*BL103*BO103*VLOOKUP('Données projet'!$B$11,Paramètres!$A$1:$I$89,3,0)*0.475*44/12</f>
        <v>6.6934627516974238E-2</v>
      </c>
      <c r="BS103" s="22">
        <f t="shared" si="63"/>
        <v>70.845557505561047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7.7249999999999996</v>
      </c>
      <c r="BY103" s="12">
        <f>IF('Données projet'!$A$114&gt;35,BY102+BX103-CG102,IF(A103&lt;'Données projet'!$A$114,$BV$205^A103,IF(A103='Données projet'!$A$114,'Données projet'!$B$114,BY102+BX103-CG102)))</f>
        <v>314.53500000000042</v>
      </c>
      <c r="BZ103" s="13">
        <f>BY103*VLOOKUP('Données projet'!$B$12,Paramètres!$A$1:$I$89,3,0)*VLOOKUP('Données projet'!$B$12,Paramètres!$A$1:$I$89,5,0)</f>
        <v>299.31150600000041</v>
      </c>
      <c r="CA103" s="13">
        <f t="shared" si="93"/>
        <v>71.032109392972274</v>
      </c>
      <c r="CB103" s="20">
        <f t="shared" si="64"/>
        <v>645.01513014276077</v>
      </c>
      <c r="CC103" s="59">
        <f t="shared" si="65"/>
        <v>938.34846347609414</v>
      </c>
      <c r="CD103" s="59">
        <f ca="1">AVERAGE(OFFSET($CC$3,0,0,'Données projet'!$E$12+1,1))-AVERAGE(OFFSET($H$3,0,0,'Données projet'!$E$12+1,1))</f>
        <v>513.14430745499283</v>
      </c>
      <c r="CE103" s="59">
        <f t="shared" si="94"/>
        <v>324.2490378019823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23.165375688548899</v>
      </c>
      <c r="CL103" s="21">
        <f>EXP(-LN(2)/25)*CL102+(1-EXP(-LN(2)/25))/(LN(2)/25)*Calculateur!CG103*Calculateur!CI103*VLOOKUP('Données projet'!$B$12,Paramètres!$A$1:$I$89,3,0)*0.475*44/12</f>
        <v>21.496012450210937</v>
      </c>
      <c r="CM103" s="21">
        <f>EXP(-LN(2)/2)*CM102+(1-EXP(-LN(2)/2))/(LN(2)/2)*CG103*CJ103*VLOOKUP('Données projet'!$B$12,Paramètres!$A$1:$I$89,3,0)*0.475*44/12</f>
        <v>0.35867338780149316</v>
      </c>
      <c r="CN103" s="22">
        <f t="shared" si="66"/>
        <v>45.020061526561328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-1.1368683772161603E-13</v>
      </c>
      <c r="CU103" s="17">
        <f>CT103*VLOOKUP('Données projet'!$B$13,Paramètres!$A$1:$I$89,3,0)*VLOOKUP('Données projet'!$B$13,Paramètres!$A$1:$I$89,5,0)</f>
        <v>-8.8675733422860506E-14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197.51452239559433</v>
      </c>
      <c r="CZ103" s="59">
        <f t="shared" si="96"/>
        <v>196.65166921588821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14.917737083219256</v>
      </c>
      <c r="DG103" s="21">
        <f>EXP(-LN(2)/25)*DG102+(1-EXP(-LN(2)/25))/(LN(2)/25)*Calculateur!DB103*Calculateur!DD103*VLOOKUP('Données projet'!$B$13,Paramètres!$A$1:$I$89,3,0)*0.475*44/12</f>
        <v>11.489460525264505</v>
      </c>
      <c r="DH103" s="21">
        <f>EXP(-LN(2)/2)*DH102+(1-EXP(-LN(2)/2))/(LN(2)/2)*DB103*DE103*VLOOKUP('Données projet'!$B$13,Paramètres!$A$1:$I$89,3,0)*0.475*44/12</f>
        <v>8.4042661439853413E-4</v>
      </c>
      <c r="DI103" s="22">
        <f t="shared" si="69"/>
        <v>26.408038035098162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142.94871794871796</v>
      </c>
      <c r="DM103" s="12">
        <f>VLOOKUP(A103,'Données projet'!$A$165:$I$185,9,0)</f>
        <v>1.9230769230769227</v>
      </c>
      <c r="DN103" s="12">
        <f t="array" ref="DN103">INDEX(DM:DM,MIN(IF(ISNUMBER(DM103:DM299),ROW(DM103:DM299),"")))</f>
        <v>1.9230769230769227</v>
      </c>
      <c r="DO103" s="12">
        <f>IF('Données projet'!$A$166&gt;35,DO102+DN103-DW102,IF(A103&lt;'Données projet'!$A$166,$DL$205^A103,IF(A103='Données projet'!$A$166,'Données projet'!$B$166,DO102+DN103-DW102)))</f>
        <v>142.94871794871796</v>
      </c>
      <c r="DP103" s="17">
        <f>DO103*VLOOKUP('Données projet'!$B$14,Paramètres!$A$1:$I$89,3,0)*VLOOKUP('Données projet'!$B$14,Paramètres!$A$1:$I$89,5,0)</f>
        <v>149.41000000000003</v>
      </c>
      <c r="DQ103" s="13">
        <f t="shared" si="97"/>
        <v>38.444475265192452</v>
      </c>
      <c r="DR103" s="20">
        <f t="shared" si="70"/>
        <v>327.17987775354362</v>
      </c>
      <c r="DS103" s="59">
        <f t="shared" si="71"/>
        <v>620.51321108687694</v>
      </c>
      <c r="DT103" s="59">
        <f ca="1">AVERAGE(OFFSET($DS$3,0,0,'Données projet'!$E$14+1,1))-AVERAGE(OFFSET($H$3,0,0,'Données projet'!$E$14+1,1))</f>
        <v>239.26156489359892</v>
      </c>
      <c r="DU103" s="59">
        <f t="shared" si="98"/>
        <v>213.97034450798111</v>
      </c>
      <c r="DV103" s="15">
        <f>IF(ISNA(VLOOKUP(A103,'Données projet'!$A$165:$I$185,3,0)),0,VLOOKUP(A103,'Données projet'!$A$165:$I$185,3,0))</f>
        <v>17</v>
      </c>
      <c r="DW103" s="15">
        <f>IF(ISNA(VLOOKUP(A103,'Données projet'!$A$165:$I$185,4,0)),0,VLOOKUP(A103,'Données projet'!$A$165:$I$185,4,0))</f>
        <v>142.94871794871796</v>
      </c>
      <c r="DX103" s="16">
        <f>IF(ISNA(VLOOKUP(A103,'Données projet'!$A$165:$I$185,5,0)),0%,VLOOKUP(A103,'Données projet'!$A$165:$I$185,5,0)*VLOOKUP('Données projet'!$B$14,Paramètres!$A$1:$I$89,7,0))</f>
        <v>4.3000000000000003E-2</v>
      </c>
      <c r="DY103" s="16">
        <f>IF(ISNA(VLOOKUP(A103,'Données projet'!$A$165:$I$185,6,0)),0%,VLOOKUP(A103,'Données projet'!$A$165:$I$185,6,0)*VLOOKUP('Données projet'!$B$14,Paramètres!$A$1:$I$89,7,0))</f>
        <v>0.215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8.8711555170545484</v>
      </c>
      <c r="EB103" s="21">
        <f>EXP(-LN(2)/25)*EB102+(1-EXP(-LN(2)/25))/(LN(2)/25)*Calculateur!DW103*Calculateur!DY103*VLOOKUP('Données projet'!$B$14,Paramètres!$A$1:$I$89,3,0)*0.475*44/12</f>
        <v>48.399054166033999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57.270209683088545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6.7777777777777777</v>
      </c>
      <c r="EJ103" s="12">
        <f>IF('Données projet'!$A$192&gt;35,EJ102+EI103-ER102,IF(A103&lt;'Données projet'!$A$192,$EG$205^A103,IF(A103='Données projet'!$A$192,'Données projet'!$B$192,EJ102+EI103-ER102)))</f>
        <v>244.25888888888875</v>
      </c>
      <c r="EK103" s="17">
        <f>EJ103*VLOOKUP('Données projet'!$B$15,Paramètres!$A$1:$I$89,3,0)*VLOOKUP('Données projet'!$B$15,Paramètres!$A$1:$I$89,5,0)</f>
        <v>243.86807466666656</v>
      </c>
      <c r="EL103" s="13">
        <f t="shared" si="99"/>
        <v>59.270989588885712</v>
      </c>
      <c r="EM103" s="20">
        <f t="shared" si="73"/>
        <v>527.96720357842025</v>
      </c>
      <c r="EN103" s="59">
        <f t="shared" si="74"/>
        <v>821.30053691175362</v>
      </c>
      <c r="EO103" s="59">
        <f ca="1">AVERAGE(OFFSET($EN$3,0,0,'Données projet'!$E$15+1,1))-AVERAGE(OFFSET($H$3,0,0,'Données projet'!$E$15+1,1))</f>
        <v>525.74725170626471</v>
      </c>
      <c r="EP103" s="59">
        <f t="shared" si="100"/>
        <v>259.19103598192197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11.074615583744519</v>
      </c>
      <c r="EW103" s="21">
        <f>EXP(-LN(2)/25)*EW102+(1-EXP(-LN(2)/25))/(LN(2)/25)*Calculateur!ER103*Calculateur!ET103*VLOOKUP('Données projet'!$B$15,Paramètres!$A$1:$I$89,3,0)*0.475*44/12</f>
        <v>28.516917619457463</v>
      </c>
      <c r="EX103" s="21">
        <f>EXP(-LN(2)/2)*EX102+(1-EXP(-LN(2)/2))/(LN(2)/2)*ER103*EU103*VLOOKUP('Données projet'!$B$15,Paramètres!$A$1:$I$89,3,0)*0.475*44/12</f>
        <v>0.73276344759883227</v>
      </c>
      <c r="EY103" s="22">
        <f t="shared" si="75"/>
        <v>40.324296650800818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6.7777777777777777</v>
      </c>
      <c r="N104" s="13">
        <f>IF('Données projet'!$A$36&gt;35,N103+M104-V103,IF(A104&lt;'Données projet'!$A$36,$K$205^A104,IF(A104='Données projet'!$A$36,'Données projet'!$B$36,N103+M104-V103)))</f>
        <v>251.03666666666652</v>
      </c>
      <c r="O104" s="13">
        <f>N104*VLOOKUP('Données projet'!$B$9,Paramètres!$A$1:$I$89,3,0)*VLOOKUP('Données projet'!$B$9,Paramètres!$A$1:$I$89,5,0)</f>
        <v>254.55117999999987</v>
      </c>
      <c r="P104" s="13">
        <f t="shared" si="87"/>
        <v>61.55948191196579</v>
      </c>
      <c r="Q104" s="20">
        <f t="shared" si="107"/>
        <v>550.55940283000689</v>
      </c>
      <c r="R104" s="59">
        <f t="shared" si="55"/>
        <v>843.89273616334026</v>
      </c>
      <c r="S104" s="59">
        <f ca="1">AVERAGE(OFFSET($R$3,0,0,'Données projet'!$E$9+1,1))-AVERAGE(OFFSET($H$3,0,0,'Données projet'!$E$9+1,1))</f>
        <v>533.26035274112917</v>
      </c>
      <c r="T104" s="59">
        <f t="shared" si="88"/>
        <v>262.58149402282521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11.027096769605121</v>
      </c>
      <c r="AA104" s="21">
        <f>EXP(-LN(2)/25)*AA103+(1-EXP(-LN(2)/25))/(LN(2)/25)*Calculateur!V104*Calculateur!X104*VLOOKUP('Données projet'!$B$9,Paramètres!$A$1:$I$89,3,0)*0.475*44/12</f>
        <v>28.170513523256279</v>
      </c>
      <c r="AB104" s="21">
        <f>EXP(-LN(2)/2)*AB103+(1-EXP(-LN(2)/2))/(LN(2)/2)*V104*Y104*VLOOKUP('Données projet'!$B$9,Paramètres!$A$1:$I$89,3,0)*0.475*44/12</f>
        <v>0.52623797159656094</v>
      </c>
      <c r="AC104" s="22">
        <f t="shared" si="57"/>
        <v>39.723848264457956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7.7249999999999996</v>
      </c>
      <c r="AI104" s="13">
        <f>IF('Données projet'!$A$62&gt;35,AI103+AH104-AQ103,IF(A104&lt;'Données projet'!$A$62,$AF$205^A104,IF(A104='Données projet'!$A$62,'Données projet'!$B$62,AI103+AH104-AQ103)))</f>
        <v>322.26000000000045</v>
      </c>
      <c r="AJ104" s="13">
        <f>AI104*VLOOKUP('Données projet'!$B$10,Paramètres!$A$1:$I$89,3,0)*VLOOKUP('Données projet'!$B$10,Paramètres!$A$1:$I$89,5,0)</f>
        <v>291.5808480000004</v>
      </c>
      <c r="AK104" s="13">
        <f t="shared" si="89"/>
        <v>69.408572506835355</v>
      </c>
      <c r="AL104" s="20">
        <f t="shared" si="58"/>
        <v>628.72324071607227</v>
      </c>
      <c r="AM104" s="59">
        <f t="shared" si="59"/>
        <v>922.05657404940553</v>
      </c>
      <c r="AN104" s="59">
        <f ca="1">AVERAGE(OFFSET($AM$3,0,0,'Données projet'!$E$10+1,1))-AVERAGE(OFFSET($H$3,0,0,'Données projet'!$E$10+1,1))</f>
        <v>482.62991869403385</v>
      </c>
      <c r="AO104" s="59">
        <f t="shared" si="90"/>
        <v>310.43914804089906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21.594176630250256</v>
      </c>
      <c r="AV104" s="21">
        <f>EXP(-LN(2)/25)*AV103+(1-EXP(-LN(2)/25))/(LN(2)/25)*Calculateur!AQ104*Calculateur!AS104*VLOOKUP('Données projet'!$B$10,Paramètres!$A$1:$I$89,3,0)*0.475*44/12</f>
        <v>19.879930587563248</v>
      </c>
      <c r="AW104" s="21">
        <f>EXP(-LN(2)/2)*AW103+(1-EXP(-LN(2)/2))/(LN(2)/2)*AQ104*AT104*VLOOKUP('Données projet'!$B$10,Paramètres!$A$1:$I$89,3,0)*0.475*44/12</f>
        <v>0.24114725106957574</v>
      </c>
      <c r="AX104" s="21">
        <f t="shared" si="60"/>
        <v>41.715254468883082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384.34044781465661</v>
      </c>
      <c r="BJ104" s="59">
        <f t="shared" si="92"/>
        <v>374.99493809709708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37.657681195883661</v>
      </c>
      <c r="BQ104" s="21">
        <f>EXP(-LN(2)/25)*BQ103+(1-EXP(-LN(2)/25))/(LN(2)/25)*Calculateur!BL104*Calculateur!BN104*VLOOKUP('Données projet'!$B$11,Paramètres!$A$1:$I$89,3,0)*0.475*44/12</f>
        <v>31.482630241875206</v>
      </c>
      <c r="BR104" s="21">
        <f>EXP(-LN(2)/2)*BR103+(1-EXP(-LN(2)/2))/(LN(2)/2)*BL104*BO104*VLOOKUP('Données projet'!$B$11,Paramètres!$A$1:$I$89,3,0)*0.475*44/12</f>
        <v>4.7329929013448166E-2</v>
      </c>
      <c r="BS104" s="22">
        <f t="shared" si="63"/>
        <v>69.187641366772311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7.7249999999999996</v>
      </c>
      <c r="BY104" s="12">
        <f>IF('Données projet'!$A$114&gt;35,BY103+BX104-CG103,IF(A104&lt;'Données projet'!$A$114,$BV$205^A104,IF(A104='Données projet'!$A$114,'Données projet'!$B$114,BY103+BX104-CG103)))</f>
        <v>322.26000000000045</v>
      </c>
      <c r="BZ104" s="13">
        <f>BY104*VLOOKUP('Données projet'!$B$12,Paramètres!$A$1:$I$89,3,0)*VLOOKUP('Données projet'!$B$12,Paramètres!$A$1:$I$89,5,0)</f>
        <v>306.66261600000047</v>
      </c>
      <c r="CA104" s="13">
        <f t="shared" si="93"/>
        <v>72.571413097692343</v>
      </c>
      <c r="CB104" s="20">
        <f t="shared" si="64"/>
        <v>660.49926734514838</v>
      </c>
      <c r="CC104" s="59">
        <f t="shared" si="65"/>
        <v>953.83260067848164</v>
      </c>
      <c r="CD104" s="59">
        <f ca="1">AVERAGE(OFFSET($CC$3,0,0,'Données projet'!$E$12+1,1))-AVERAGE(OFFSET($H$3,0,0,'Données projet'!$E$12+1,1))</f>
        <v>513.14430745499283</v>
      </c>
      <c r="CE104" s="59">
        <f t="shared" si="94"/>
        <v>324.2490378019823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22.711116800780456</v>
      </c>
      <c r="CL104" s="21">
        <f>EXP(-LN(2)/25)*CL103+(1-EXP(-LN(2)/25))/(LN(2)/25)*Calculateur!CG104*Calculateur!CI104*VLOOKUP('Données projet'!$B$12,Paramètres!$A$1:$I$89,3,0)*0.475*44/12</f>
        <v>20.908202859333755</v>
      </c>
      <c r="CM104" s="21">
        <f>EXP(-LN(2)/2)*CM103+(1-EXP(-LN(2)/2))/(LN(2)/2)*CG104*CJ104*VLOOKUP('Données projet'!$B$12,Paramètres!$A$1:$I$89,3,0)*0.475*44/12</f>
        <v>0.25362038474558812</v>
      </c>
      <c r="CN104" s="22">
        <f t="shared" si="66"/>
        <v>43.872940044859803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-1.1368683772161603E-13</v>
      </c>
      <c r="CU104" s="17">
        <f>CT104*VLOOKUP('Données projet'!$B$13,Paramètres!$A$1:$I$89,3,0)*VLOOKUP('Données projet'!$B$13,Paramètres!$A$1:$I$89,5,0)</f>
        <v>-8.8675733422860506E-14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197.51452239559433</v>
      </c>
      <c r="CZ104" s="59">
        <f t="shared" si="96"/>
        <v>196.65166921588821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14.625209357938504</v>
      </c>
      <c r="DG104" s="21">
        <f>EXP(-LN(2)/25)*DG103+(1-EXP(-LN(2)/25))/(LN(2)/25)*Calculateur!DB104*Calculateur!DD104*VLOOKUP('Données projet'!$B$13,Paramètres!$A$1:$I$89,3,0)*0.475*44/12</f>
        <v>11.175280622996677</v>
      </c>
      <c r="DH104" s="21">
        <f>EXP(-LN(2)/2)*DH103+(1-EXP(-LN(2)/2))/(LN(2)/2)*DB104*DE104*VLOOKUP('Données projet'!$B$13,Paramètres!$A$1:$I$89,3,0)*0.475*44/12</f>
        <v>5.9427135813085522E-4</v>
      </c>
      <c r="DI104" s="22">
        <f t="shared" si="69"/>
        <v>25.801084252293315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>
        <f>DO104*VLOOKUP('Données projet'!$B$14,Paramètres!$A$1:$I$89,3,0)*VLOOKUP('Données projet'!$B$14,Paramètres!$A$1:$I$89,5,0)</f>
        <v>0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239.26156489359892</v>
      </c>
      <c r="DU104" s="59">
        <f t="shared" si="98"/>
        <v>213.97034450798111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8.6971975682356959</v>
      </c>
      <c r="EB104" s="21">
        <f>EXP(-LN(2)/25)*EB103+(1-EXP(-LN(2)/25))/(LN(2)/25)*Calculateur!DW104*Calculateur!DY104*VLOOKUP('Données projet'!$B$14,Paramètres!$A$1:$I$89,3,0)*0.475*44/12</f>
        <v>47.075579484668161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55.772777052903855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6.7777777777777777</v>
      </c>
      <c r="EJ104" s="12">
        <f>IF('Données projet'!$A$192&gt;35,EJ103+EI104-ER103,IF(A104&lt;'Données projet'!$A$192,$EG$205^A104,IF(A104='Données projet'!$A$192,'Données projet'!$B$192,EJ103+EI104-ER103)))</f>
        <v>251.03666666666652</v>
      </c>
      <c r="EK104" s="17">
        <f>EJ104*VLOOKUP('Données projet'!$B$15,Paramètres!$A$1:$I$89,3,0)*VLOOKUP('Données projet'!$B$15,Paramètres!$A$1:$I$89,5,0)</f>
        <v>250.63500799999989</v>
      </c>
      <c r="EL104" s="13">
        <f t="shared" si="99"/>
        <v>60.7218981757145</v>
      </c>
      <c r="EM104" s="20">
        <f t="shared" si="73"/>
        <v>542.2799449227025</v>
      </c>
      <c r="EN104" s="59">
        <f t="shared" si="74"/>
        <v>835.61327825603576</v>
      </c>
      <c r="EO104" s="59">
        <f ca="1">AVERAGE(OFFSET($EN$3,0,0,'Données projet'!$E$15+1,1))-AVERAGE(OFFSET($H$3,0,0,'Données projet'!$E$15+1,1))</f>
        <v>525.74725170626471</v>
      </c>
      <c r="EP104" s="59">
        <f t="shared" si="100"/>
        <v>259.19103598192197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10.857449126995808</v>
      </c>
      <c r="EW104" s="21">
        <f>EXP(-LN(2)/25)*EW103+(1-EXP(-LN(2)/25))/(LN(2)/25)*Calculateur!ER104*Calculateur!ET104*VLOOKUP('Données projet'!$B$15,Paramètres!$A$1:$I$89,3,0)*0.475*44/12</f>
        <v>27.737121007513878</v>
      </c>
      <c r="EX104" s="21">
        <f>EXP(-LN(2)/2)*EX103+(1-EXP(-LN(2)/2))/(LN(2)/2)*ER104*EU104*VLOOKUP('Données projet'!$B$15,Paramètres!$A$1:$I$89,3,0)*0.475*44/12</f>
        <v>0.51814200280276768</v>
      </c>
      <c r="EY104" s="22">
        <f t="shared" si="75"/>
        <v>39.112712137312457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6.7777777777777777</v>
      </c>
      <c r="N105" s="13">
        <f>IF('Données projet'!$A$36&gt;35,N104+M105-V104,IF(A105&lt;'Données projet'!$A$36,$K$205^A105,IF(A105='Données projet'!$A$36,'Données projet'!$B$36,N104+M105-V104)))</f>
        <v>257.81444444444429</v>
      </c>
      <c r="O105" s="13">
        <f>N105*VLOOKUP('Données projet'!$B$9,Paramètres!$A$1:$I$89,3,0)*VLOOKUP('Données projet'!$B$9,Paramètres!$A$1:$I$89,5,0)</f>
        <v>261.42384666666652</v>
      </c>
      <c r="P105" s="13">
        <f t="shared" si="87"/>
        <v>63.025787988714278</v>
      </c>
      <c r="Q105" s="20">
        <f t="shared" si="107"/>
        <v>565.08311369145497</v>
      </c>
      <c r="R105" s="59">
        <f t="shared" si="55"/>
        <v>858.41644702478834</v>
      </c>
      <c r="S105" s="59">
        <f ca="1">AVERAGE(OFFSET($R$3,0,0,'Données projet'!$E$9+1,1))-AVERAGE(OFFSET($H$3,0,0,'Données projet'!$E$9+1,1))</f>
        <v>533.26035274112917</v>
      </c>
      <c r="T105" s="59">
        <f t="shared" si="88"/>
        <v>262.58149402282521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10.810862127818071</v>
      </c>
      <c r="AA105" s="21">
        <f>EXP(-LN(2)/25)*AA104+(1-EXP(-LN(2)/25))/(LN(2)/25)*Calculateur!V105*Calculateur!X105*VLOOKUP('Données projet'!$B$9,Paramètres!$A$1:$I$89,3,0)*0.475*44/12</f>
        <v>27.400189349539914</v>
      </c>
      <c r="AB105" s="21">
        <f>EXP(-LN(2)/2)*AB104+(1-EXP(-LN(2)/2))/(LN(2)/2)*V105*Y105*VLOOKUP('Données projet'!$B$9,Paramètres!$A$1:$I$89,3,0)*0.475*44/12</f>
        <v>0.37210643823378203</v>
      </c>
      <c r="AC105" s="22">
        <f t="shared" si="57"/>
        <v>38.583157915591762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7.7249999999999996</v>
      </c>
      <c r="AI105" s="13">
        <f>IF('Données projet'!$A$62&gt;35,AI104+AH105-AQ104,IF(A105&lt;'Données projet'!$A$62,$AF$205^A105,IF(A105='Données projet'!$A$62,'Données projet'!$B$62,AI104+AH105-AQ104)))</f>
        <v>329.98500000000047</v>
      </c>
      <c r="AJ105" s="13">
        <f>AI105*VLOOKUP('Données projet'!$B$10,Paramètres!$A$1:$I$89,3,0)*VLOOKUP('Données projet'!$B$10,Paramètres!$A$1:$I$89,5,0)</f>
        <v>298.57042800000039</v>
      </c>
      <c r="AK105" s="13">
        <f t="shared" si="89"/>
        <v>70.876687010255509</v>
      </c>
      <c r="AL105" s="20">
        <f t="shared" si="58"/>
        <v>643.45372530952898</v>
      </c>
      <c r="AM105" s="59">
        <f t="shared" si="59"/>
        <v>936.78705864286235</v>
      </c>
      <c r="AN105" s="59">
        <f ca="1">AVERAGE(OFFSET($AM$3,0,0,'Données projet'!$E$10+1,1))-AVERAGE(OFFSET($H$3,0,0,'Données projet'!$E$10+1,1))</f>
        <v>482.62991869403385</v>
      </c>
      <c r="AO105" s="59">
        <f t="shared" si="90"/>
        <v>310.43914804089906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21.170727997678252</v>
      </c>
      <c r="AV105" s="21">
        <f>EXP(-LN(2)/25)*AV104+(1-EXP(-LN(2)/25))/(LN(2)/25)*Calculateur!AQ105*Calculateur!AS105*VLOOKUP('Données projet'!$B$10,Paramètres!$A$1:$I$89,3,0)*0.475*44/12</f>
        <v>19.336312840206219</v>
      </c>
      <c r="AW105" s="21">
        <f>EXP(-LN(2)/2)*AW104+(1-EXP(-LN(2)/2))/(LN(2)/2)*AQ105*AT105*VLOOKUP('Données projet'!$B$10,Paramètres!$A$1:$I$89,3,0)*0.475*44/12</f>
        <v>0.17051685649579196</v>
      </c>
      <c r="AX105" s="21">
        <f t="shared" si="60"/>
        <v>40.677557694380269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384.34044781465661</v>
      </c>
      <c r="BJ105" s="59">
        <f t="shared" si="92"/>
        <v>374.99493809709708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36.919237036549923</v>
      </c>
      <c r="BQ105" s="21">
        <f>EXP(-LN(2)/25)*BQ104+(1-EXP(-LN(2)/25))/(LN(2)/25)*Calculateur!BL105*Calculateur!BN105*VLOOKUP('Données projet'!$B$11,Paramètres!$A$1:$I$89,3,0)*0.475*44/12</f>
        <v>30.621736062311559</v>
      </c>
      <c r="BR105" s="21">
        <f>EXP(-LN(2)/2)*BR104+(1-EXP(-LN(2)/2))/(LN(2)/2)*BL105*BO105*VLOOKUP('Données projet'!$B$11,Paramètres!$A$1:$I$89,3,0)*0.475*44/12</f>
        <v>3.3467313758487119E-2</v>
      </c>
      <c r="BS105" s="22">
        <f t="shared" si="63"/>
        <v>67.574440412619978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7.7249999999999996</v>
      </c>
      <c r="BY105" s="12">
        <f>IF('Données projet'!$A$114&gt;35,BY104+BX105-CG104,IF(A105&lt;'Données projet'!$A$114,$BV$205^A105,IF(A105='Données projet'!$A$114,'Données projet'!$B$114,BY104+BX105-CG104)))</f>
        <v>329.98500000000047</v>
      </c>
      <c r="BZ105" s="13">
        <f>BY105*VLOOKUP('Données projet'!$B$12,Paramètres!$A$1:$I$89,3,0)*VLOOKUP('Données projet'!$B$12,Paramètres!$A$1:$I$89,5,0)</f>
        <v>314.01372600000047</v>
      </c>
      <c r="CA105" s="13">
        <f t="shared" si="93"/>
        <v>74.106427293408942</v>
      </c>
      <c r="CB105" s="20">
        <f t="shared" si="64"/>
        <v>675.97593365268801</v>
      </c>
      <c r="CC105" s="59">
        <f t="shared" si="65"/>
        <v>969.30926698602138</v>
      </c>
      <c r="CD105" s="59">
        <f ca="1">AVERAGE(OFFSET($CC$3,0,0,'Données projet'!$E$12+1,1))-AVERAGE(OFFSET($H$3,0,0,'Données projet'!$E$12+1,1))</f>
        <v>513.14430745499283</v>
      </c>
      <c r="CE105" s="59">
        <f t="shared" si="94"/>
        <v>324.2490378019823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22.265765652730586</v>
      </c>
      <c r="CL105" s="21">
        <f>EXP(-LN(2)/25)*CL104+(1-EXP(-LN(2)/25))/(LN(2)/25)*Calculateur!CG105*Calculateur!CI105*VLOOKUP('Données projet'!$B$12,Paramètres!$A$1:$I$89,3,0)*0.475*44/12</f>
        <v>20.336466952630673</v>
      </c>
      <c r="CM105" s="21">
        <f>EXP(-LN(2)/2)*CM104+(1-EXP(-LN(2)/2))/(LN(2)/2)*CG105*CJ105*VLOOKUP('Données projet'!$B$12,Paramètres!$A$1:$I$89,3,0)*0.475*44/12</f>
        <v>0.17933669390074658</v>
      </c>
      <c r="CN105" s="22">
        <f t="shared" si="66"/>
        <v>42.781569299262003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-1.1368683772161603E-13</v>
      </c>
      <c r="CU105" s="17">
        <f>CT105*VLOOKUP('Données projet'!$B$13,Paramètres!$A$1:$I$89,3,0)*VLOOKUP('Données projet'!$B$13,Paramètres!$A$1:$I$89,5,0)</f>
        <v>-8.8675733422860506E-14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197.51452239559433</v>
      </c>
      <c r="CZ105" s="59">
        <f t="shared" si="96"/>
        <v>196.65166921588821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14.338417922926212</v>
      </c>
      <c r="DG105" s="21">
        <f>EXP(-LN(2)/25)*DG104+(1-EXP(-LN(2)/25))/(LN(2)/25)*Calculateur!DB105*Calculateur!DD105*VLOOKUP('Données projet'!$B$13,Paramètres!$A$1:$I$89,3,0)*0.475*44/12</f>
        <v>10.869691986678367</v>
      </c>
      <c r="DH105" s="21">
        <f>EXP(-LN(2)/2)*DH104+(1-EXP(-LN(2)/2))/(LN(2)/2)*DB105*DE105*VLOOKUP('Données projet'!$B$13,Paramètres!$A$1:$I$89,3,0)*0.475*44/12</f>
        <v>4.2021330719926707E-4</v>
      </c>
      <c r="DI105" s="22">
        <f t="shared" si="69"/>
        <v>25.208530122911778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>
        <f>DO105*VLOOKUP('Données projet'!$B$14,Paramètres!$A$1:$I$89,3,0)*VLOOKUP('Données projet'!$B$14,Paramètres!$A$1:$I$89,5,0)</f>
        <v>0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239.26156489359892</v>
      </c>
      <c r="DU105" s="59">
        <f t="shared" si="98"/>
        <v>213.97034450798111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8.5266508286893075</v>
      </c>
      <c r="EB105" s="21">
        <f>EXP(-LN(2)/25)*EB104+(1-EXP(-LN(2)/25))/(LN(2)/25)*Calculateur!DW105*Calculateur!DY105*VLOOKUP('Données projet'!$B$14,Paramètres!$A$1:$I$89,3,0)*0.475*44/12</f>
        <v>45.788295288062777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54.314946116752083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6.7777777777777777</v>
      </c>
      <c r="EJ105" s="12">
        <f>IF('Données projet'!$A$192&gt;35,EJ104+EI105-ER104,IF(A105&lt;'Données projet'!$A$192,$EG$205^A105,IF(A105='Données projet'!$A$192,'Données projet'!$B$192,EJ104+EI105-ER104)))</f>
        <v>257.81444444444429</v>
      </c>
      <c r="EK105" s="17">
        <f>EJ105*VLOOKUP('Données projet'!$B$15,Paramètres!$A$1:$I$89,3,0)*VLOOKUP('Données projet'!$B$15,Paramètres!$A$1:$I$89,5,0)</f>
        <v>257.40194133333318</v>
      </c>
      <c r="EL105" s="13">
        <f t="shared" si="99"/>
        <v>62.168253562754337</v>
      </c>
      <c r="EM105" s="20">
        <f t="shared" si="73"/>
        <v>556.5847561106857</v>
      </c>
      <c r="EN105" s="59">
        <f t="shared" si="74"/>
        <v>849.91808944401896</v>
      </c>
      <c r="EO105" s="59">
        <f ca="1">AVERAGE(OFFSET($EN$3,0,0,'Données projet'!$E$15+1,1))-AVERAGE(OFFSET($H$3,0,0,'Données projet'!$E$15+1,1))</f>
        <v>525.74725170626471</v>
      </c>
      <c r="EP105" s="59">
        <f t="shared" si="100"/>
        <v>259.19103598192197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10.644541172005482</v>
      </c>
      <c r="EW105" s="21">
        <f>EXP(-LN(2)/25)*EW104+(1-EXP(-LN(2)/25))/(LN(2)/25)*Calculateur!ER105*Calculateur!ET105*VLOOKUP('Données projet'!$B$15,Paramètres!$A$1:$I$89,3,0)*0.475*44/12</f>
        <v>26.978647974931611</v>
      </c>
      <c r="EX105" s="21">
        <f>EXP(-LN(2)/2)*EX104+(1-EXP(-LN(2)/2))/(LN(2)/2)*ER105*EU105*VLOOKUP('Données projet'!$B$15,Paramètres!$A$1:$I$89,3,0)*0.475*44/12</f>
        <v>0.36638172379941614</v>
      </c>
      <c r="EY105" s="22">
        <f t="shared" si="75"/>
        <v>37.989570870736507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6.7777777777777777</v>
      </c>
      <c r="N106" s="13">
        <f>IF('Données projet'!$A$36&gt;35,N105+M106-V105,IF(A106&lt;'Données projet'!$A$36,$K$205^A106,IF(A106='Données projet'!$A$36,'Données projet'!$B$36,N105+M106-V105)))</f>
        <v>264.59222222222206</v>
      </c>
      <c r="O106" s="13">
        <f>N106*VLOOKUP('Données projet'!$B$9,Paramètres!$A$1:$I$89,3,0)*VLOOKUP('Données projet'!$B$9,Paramètres!$A$1:$I$89,5,0)</f>
        <v>268.29651333333322</v>
      </c>
      <c r="P106" s="13">
        <f t="shared" si="87"/>
        <v>64.487613361575328</v>
      </c>
      <c r="Q106" s="20">
        <f t="shared" si="107"/>
        <v>579.59902066029906</v>
      </c>
      <c r="R106" s="59">
        <f t="shared" si="55"/>
        <v>872.93235399363243</v>
      </c>
      <c r="S106" s="59">
        <f ca="1">AVERAGE(OFFSET($R$3,0,0,'Données projet'!$E$9+1,1))-AVERAGE(OFFSET($H$3,0,0,'Données projet'!$E$9+1,1))</f>
        <v>533.26035274112917</v>
      </c>
      <c r="T106" s="59">
        <f t="shared" si="88"/>
        <v>262.58149402282521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10.598867715466355</v>
      </c>
      <c r="AA106" s="21">
        <f>EXP(-LN(2)/25)*AA105+(1-EXP(-LN(2)/25))/(LN(2)/25)*Calculateur!V106*Calculateur!X106*VLOOKUP('Données projet'!$B$9,Paramètres!$A$1:$I$89,3,0)*0.475*44/12</f>
        <v>26.65092973086341</v>
      </c>
      <c r="AB106" s="21">
        <f>EXP(-LN(2)/2)*AB105+(1-EXP(-LN(2)/2))/(LN(2)/2)*V106*Y106*VLOOKUP('Données projet'!$B$9,Paramètres!$A$1:$I$89,3,0)*0.475*44/12</f>
        <v>0.26311898579828047</v>
      </c>
      <c r="AC106" s="22">
        <f t="shared" si="57"/>
        <v>37.512916432128044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337.71</v>
      </c>
      <c r="AG106" s="12">
        <f>VLOOKUP(A106,'Données projet'!$A$61:$I$81,9,0)</f>
        <v>7.7249999999999996</v>
      </c>
      <c r="AH106" s="12">
        <f t="array" ref="AH106">INDEX(AG:AG,MIN(IF(ISNUMBER(AG106:AG302),ROW(AG106:AG302),"")))</f>
        <v>7.7249999999999996</v>
      </c>
      <c r="AI106" s="13">
        <f>IF('Données projet'!$A$62&gt;35,AI105+AH106-AQ105,IF(A106&lt;'Données projet'!$A$62,$AF$205^A106,IF(A106='Données projet'!$A$62,'Données projet'!$B$62,AI105+AH106-AQ105)))</f>
        <v>337.71000000000049</v>
      </c>
      <c r="AJ106" s="13">
        <f>AI106*VLOOKUP('Données projet'!$B$10,Paramètres!$A$1:$I$89,3,0)*VLOOKUP('Données projet'!$B$10,Paramètres!$A$1:$I$89,5,0)</f>
        <v>305.56000800000044</v>
      </c>
      <c r="AK106" s="13">
        <f t="shared" si="89"/>
        <v>72.340806046688371</v>
      </c>
      <c r="AL106" s="20">
        <f t="shared" si="58"/>
        <v>658.17725113131621</v>
      </c>
      <c r="AM106" s="59">
        <f t="shared" si="59"/>
        <v>951.51058446464958</v>
      </c>
      <c r="AN106" s="59">
        <f ca="1">AVERAGE(OFFSET($AM$3,0,0,'Données projet'!$E$10+1,1))-AVERAGE(OFFSET($H$3,0,0,'Données projet'!$E$10+1,1))</f>
        <v>482.62991869403385</v>
      </c>
      <c r="AO106" s="59">
        <f t="shared" si="90"/>
        <v>310.43914804089906</v>
      </c>
      <c r="AP106" s="15">
        <f>IF(ISNA(VLOOKUP(A106,'Données projet'!$A$61:$I$81,3,0)),0,VLOOKUP(A106,'Données projet'!$A$61:$I$81,3,0))</f>
        <v>8</v>
      </c>
      <c r="AQ106" s="15">
        <f>IF(ISNA(VLOOKUP(A106,'Données projet'!$A$61:$I$81,4,0)),0,VLOOKUP(A106,'Données projet'!$A$61:$I$81,4,0))</f>
        <v>56.789999999999964</v>
      </c>
      <c r="AR106" s="16">
        <f>IF(ISNA(VLOOKUP(A106,'Données projet'!$A$61:$I$81,5,0)),0%,VLOOKUP(A106,'Données projet'!$A$61:$I$81,5,0)*VLOOKUP('Données projet'!$B$10,Paramètres!$A$1:$I$89,7,0))</f>
        <v>0.15049999999999999</v>
      </c>
      <c r="AS106" s="16">
        <f>IF(ISNA(VLOOKUP(A106,'Données projet'!$A$61:$I$81,6,0)),0%,VLOOKUP(A106,'Données projet'!$A$61:$I$81,6,0)*VLOOKUP('Données projet'!$B$10,Paramètres!$A$1:$I$89,7,0))</f>
        <v>8.6000000000000007E-2</v>
      </c>
      <c r="AT106" s="16">
        <f>IF(ISNA(VLOOKUP(A106,'Données projet'!$A$61:$I$81,7,0)),0%,VLOOKUP(A106,'Données projet'!$A$61:$I$81,7,0))</f>
        <v>0.1</v>
      </c>
      <c r="AU106" s="21">
        <f>EXP(-LN(2)/35)*AU105+(1-EXP(-LN(2)/35))/(LN(2)/35)*AQ106*AR106*VLOOKUP('Données projet'!$B$10,Paramètres!$A$1:$I$89,3,0)*0.475*44/12</f>
        <v>29.304440296488757</v>
      </c>
      <c r="AV106" s="21">
        <f>EXP(-LN(2)/25)*AV105+(1-EXP(-LN(2)/25))/(LN(2)/25)*Calculateur!AQ106*Calculateur!AS106*VLOOKUP('Données projet'!$B$10,Paramètres!$A$1:$I$89,3,0)*0.475*44/12</f>
        <v>23.673387350550744</v>
      </c>
      <c r="AW106" s="21">
        <f>EXP(-LN(2)/2)*AW105+(1-EXP(-LN(2)/2))/(LN(2)/2)*AQ106*AT106*VLOOKUP('Données projet'!$B$10,Paramètres!$A$1:$I$89,3,0)*0.475*44/12</f>
        <v>4.9687538276449956</v>
      </c>
      <c r="AX106" s="21">
        <f t="shared" si="60"/>
        <v>57.9465814746845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384.34044781465661</v>
      </c>
      <c r="BJ106" s="59">
        <f t="shared" si="92"/>
        <v>374.99493809709708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36.195273316774255</v>
      </c>
      <c r="BQ106" s="21">
        <f>EXP(-LN(2)/25)*BQ105+(1-EXP(-LN(2)/25))/(LN(2)/25)*Calculateur!BL106*Calculateur!BN106*VLOOKUP('Données projet'!$B$11,Paramètres!$A$1:$I$89,3,0)*0.475*44/12</f>
        <v>29.784383079360538</v>
      </c>
      <c r="BR106" s="21">
        <f>EXP(-LN(2)/2)*BR105+(1-EXP(-LN(2)/2))/(LN(2)/2)*BL106*BO106*VLOOKUP('Données projet'!$B$11,Paramètres!$A$1:$I$89,3,0)*0.475*44/12</f>
        <v>2.3664964506724083E-2</v>
      </c>
      <c r="BS106" s="22">
        <f t="shared" si="63"/>
        <v>66.003321360641522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>
        <f>VLOOKUP(A106,'Données projet'!$A$113:$I$133,2,0)</f>
        <v>337.71</v>
      </c>
      <c r="BW106" s="12">
        <f>VLOOKUP(A106,'Données projet'!$A$113:$I$133,9,0)</f>
        <v>7.7249999999999996</v>
      </c>
      <c r="BX106" s="12">
        <f t="array" ref="BX106">INDEX(BW:BW,MIN(IF(ISNUMBER(BW106:BW302),ROW(BW106:BW302),"")))</f>
        <v>7.7249999999999996</v>
      </c>
      <c r="BY106" s="12">
        <f>IF('Données projet'!$A$114&gt;35,BY105+BX106-CG105,IF(A106&lt;'Données projet'!$A$114,$BV$205^A106,IF(A106='Données projet'!$A$114,'Données projet'!$B$114,BY105+BX106-CG105)))</f>
        <v>337.71000000000049</v>
      </c>
      <c r="BZ106" s="13">
        <f>BY106*VLOOKUP('Données projet'!$B$12,Paramètres!$A$1:$I$89,3,0)*VLOOKUP('Données projet'!$B$12,Paramètres!$A$1:$I$89,5,0)</f>
        <v>321.36483600000048</v>
      </c>
      <c r="CA106" s="13">
        <f t="shared" si="93"/>
        <v>75.637263954927903</v>
      </c>
      <c r="CB106" s="20">
        <f t="shared" si="64"/>
        <v>691.44532408816701</v>
      </c>
      <c r="CC106" s="59">
        <f t="shared" si="65"/>
        <v>984.77865742150038</v>
      </c>
      <c r="CD106" s="59">
        <f ca="1">AVERAGE(OFFSET($CC$3,0,0,'Données projet'!$E$12+1,1))-AVERAGE(OFFSET($H$3,0,0,'Données projet'!$E$12+1,1))</f>
        <v>513.14430745499283</v>
      </c>
      <c r="CE106" s="59">
        <f t="shared" si="94"/>
        <v>324.2490378019823</v>
      </c>
      <c r="CF106" s="15">
        <f>IF(ISNA(VLOOKUP(A106,'Données projet'!$A$113:$I$133,3,0)),0,VLOOKUP(A106,'Données projet'!$A$113:$I$133,3,0))</f>
        <v>8</v>
      </c>
      <c r="CG106" s="15">
        <f>IF(ISNA(VLOOKUP(A106,'Données projet'!$A$113:$I$133,4,0)),0,VLOOKUP(A106,'Données projet'!$A$113:$I$133,4,0))</f>
        <v>56.789999999999964</v>
      </c>
      <c r="CH106" s="16">
        <f>IF(ISNA(VLOOKUP(A106,'Données projet'!$A$113:$I$133,5,0)),0%,VLOOKUP(A106,'Données projet'!$A$113:$I$133,5,0)*VLOOKUP('Données projet'!$B$12,Paramètres!$A$1:$I$89,7,0))</f>
        <v>0.15049999999999999</v>
      </c>
      <c r="CI106" s="16">
        <f>IF(ISNA(VLOOKUP(A106,'Données projet'!$A$113:$I$133,6,0)),0%,VLOOKUP(A106,'Données projet'!$A$113:$I$133,6,0)*VLOOKUP('Données projet'!$B$12,Paramètres!$A$1:$I$89,7,0))</f>
        <v>8.6000000000000007E-2</v>
      </c>
      <c r="CJ106" s="16">
        <f>IF(ISNA(VLOOKUP(A106,'Données projet'!$A$113:$I$133,7,0)),0%,VLOOKUP(A106,'Données projet'!$A$113:$I$133,7,0))</f>
        <v>0.1</v>
      </c>
      <c r="CK106" s="21">
        <f>EXP(-LN(2)/35)*CK105+(1-EXP(-LN(2)/35))/(LN(2)/35)*CG106*CH106*VLOOKUP('Données projet'!$B$12,Paramètres!$A$1:$I$89,3,0)*0.475*44/12</f>
        <v>30.820187208376119</v>
      </c>
      <c r="CL106" s="21">
        <f>EXP(-LN(2)/25)*CL105+(1-EXP(-LN(2)/25))/(LN(2)/25)*Calculateur!CG106*Calculateur!CI106*VLOOKUP('Données projet'!$B$12,Paramètres!$A$1:$I$89,3,0)*0.475*44/12</f>
        <v>24.897872903165432</v>
      </c>
      <c r="CM106" s="21">
        <f>EXP(-LN(2)/2)*CM105+(1-EXP(-LN(2)/2))/(LN(2)/2)*CG106*CJ106*VLOOKUP('Données projet'!$B$12,Paramètres!$A$1:$I$89,3,0)*0.475*44/12</f>
        <v>5.2257583359714603</v>
      </c>
      <c r="CN106" s="22">
        <f t="shared" si="66"/>
        <v>60.94381844751301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-1.1368683772161603E-13</v>
      </c>
      <c r="CU106" s="17">
        <f>CT106*VLOOKUP('Données projet'!$B$13,Paramètres!$A$1:$I$89,3,0)*VLOOKUP('Données projet'!$B$13,Paramètres!$A$1:$I$89,5,0)</f>
        <v>-8.8675733422860506E-14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197.51452239559433</v>
      </c>
      <c r="CZ106" s="59">
        <f t="shared" si="96"/>
        <v>196.65166921588821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14.057250293029009</v>
      </c>
      <c r="DG106" s="21">
        <f>EXP(-LN(2)/25)*DG105+(1-EXP(-LN(2)/25))/(LN(2)/25)*Calculateur!DB106*Calculateur!DD106*VLOOKUP('Données projet'!$B$13,Paramètres!$A$1:$I$89,3,0)*0.475*44/12</f>
        <v>10.572459687690388</v>
      </c>
      <c r="DH106" s="21">
        <f>EXP(-LN(2)/2)*DH105+(1-EXP(-LN(2)/2))/(LN(2)/2)*DB106*DE106*VLOOKUP('Données projet'!$B$13,Paramètres!$A$1:$I$89,3,0)*0.475*44/12</f>
        <v>2.9713567906542761E-4</v>
      </c>
      <c r="DI106" s="22">
        <f t="shared" si="69"/>
        <v>24.630007116398463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>
        <f>DO106*VLOOKUP('Données projet'!$B$14,Paramètres!$A$1:$I$89,3,0)*VLOOKUP('Données projet'!$B$14,Paramètres!$A$1:$I$89,5,0)</f>
        <v>0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239.26156489359892</v>
      </c>
      <c r="DU106" s="59">
        <f t="shared" si="98"/>
        <v>213.97034450798111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8.3594484066821853</v>
      </c>
      <c r="EB106" s="21">
        <f>EXP(-LN(2)/25)*EB105+(1-EXP(-LN(2)/25))/(LN(2)/25)*Calculateur!DW106*Calculateur!DY106*VLOOKUP('Données projet'!$B$14,Paramètres!$A$1:$I$89,3,0)*0.475*44/12</f>
        <v>44.536211945508903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52.895660352191086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6.7777777777777777</v>
      </c>
      <c r="EJ106" s="12">
        <f>IF('Données projet'!$A$192&gt;35,EJ105+EI106-ER105,IF(A106&lt;'Données projet'!$A$192,$EG$205^A106,IF(A106='Données projet'!$A$192,'Données projet'!$B$192,EJ105+EI106-ER105)))</f>
        <v>264.59222222222206</v>
      </c>
      <c r="EK106" s="17">
        <f>EJ106*VLOOKUP('Données projet'!$B$15,Paramètres!$A$1:$I$89,3,0)*VLOOKUP('Données projet'!$B$15,Paramètres!$A$1:$I$89,5,0)</f>
        <v>264.16887466666651</v>
      </c>
      <c r="EL106" s="13">
        <f t="shared" si="99"/>
        <v>63.610189210758726</v>
      </c>
      <c r="EM106" s="20">
        <f t="shared" si="73"/>
        <v>570.88186958651568</v>
      </c>
      <c r="EN106" s="59">
        <f t="shared" si="74"/>
        <v>864.21520291984893</v>
      </c>
      <c r="EO106" s="59">
        <f ca="1">AVERAGE(OFFSET($EN$3,0,0,'Données projet'!$E$15+1,1))-AVERAGE(OFFSET($H$3,0,0,'Données projet'!$E$15+1,1))</f>
        <v>525.74725170626471</v>
      </c>
      <c r="EP106" s="59">
        <f t="shared" si="100"/>
        <v>259.19103598192197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10.435808212151485</v>
      </c>
      <c r="EW106" s="21">
        <f>EXP(-LN(2)/25)*EW105+(1-EXP(-LN(2)/25))/(LN(2)/25)*Calculateur!ER106*Calculateur!ET106*VLOOKUP('Données projet'!$B$15,Paramètres!$A$1:$I$89,3,0)*0.475*44/12</f>
        <v>26.24091542731167</v>
      </c>
      <c r="EX106" s="21">
        <f>EXP(-LN(2)/2)*EX105+(1-EXP(-LN(2)/2))/(LN(2)/2)*ER106*EU106*VLOOKUP('Données projet'!$B$15,Paramètres!$A$1:$I$89,3,0)*0.475*44/12</f>
        <v>0.25907100140138384</v>
      </c>
      <c r="EY106" s="22">
        <f t="shared" si="75"/>
        <v>36.935794640864536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271.37</v>
      </c>
      <c r="L107" s="12">
        <f>VLOOKUP(A107,'Données projet'!$A$35:$I$55,9,0)</f>
        <v>6.7777777777777777</v>
      </c>
      <c r="M107" s="12">
        <f t="array" ref="M107">INDEX(L:L,MIN(IF(ISNUMBER(L107:L303),ROW(L107:L303),"")))</f>
        <v>6.7777777777777777</v>
      </c>
      <c r="N107" s="13">
        <f>IF('Données projet'!$A$36&gt;35,N106+M107-V106,IF(A107&lt;'Données projet'!$A$36,$K$205^A107,IF(A107='Données projet'!$A$36,'Données projet'!$B$36,N106+M107-V106)))</f>
        <v>271.36999999999983</v>
      </c>
      <c r="O107" s="13">
        <f>N107*VLOOKUP('Données projet'!$B$9,Paramètres!$A$1:$I$89,3,0)*VLOOKUP('Données projet'!$B$9,Paramètres!$A$1:$I$89,5,0)</f>
        <v>275.16917999999981</v>
      </c>
      <c r="P107" s="13">
        <f t="shared" si="87"/>
        <v>65.945086005549797</v>
      </c>
      <c r="Q107" s="20">
        <f t="shared" si="107"/>
        <v>594.10734662633229</v>
      </c>
      <c r="R107" s="59">
        <f t="shared" si="55"/>
        <v>887.44067995966566</v>
      </c>
      <c r="S107" s="59">
        <f ca="1">AVERAGE(OFFSET($R$3,0,0,'Données projet'!$E$9+1,1))-AVERAGE(OFFSET($H$3,0,0,'Données projet'!$E$9+1,1))</f>
        <v>533.26035274112917</v>
      </c>
      <c r="T107" s="59">
        <f t="shared" si="88"/>
        <v>262.58149402282521</v>
      </c>
      <c r="U107" s="15">
        <f>IF(ISNA(VLOOKUP(A107,'Données projet'!$A$35:$I$55,3,0)),0,VLOOKUP(A107,'Données projet'!$A$35:$I$55,3,0))</f>
        <v>6</v>
      </c>
      <c r="V107" s="15">
        <f>IF(ISNA(VLOOKUP(A107,'Données projet'!$A$35:$I$55,4,0)),0,VLOOKUP(A107,'Données projet'!$A$35:$I$55,4,0))</f>
        <v>39.400000000000006</v>
      </c>
      <c r="W107" s="16">
        <f>IF(ISNA(VLOOKUP(A107,'Données projet'!$A$35:$I$55,5,0)),0%,VLOOKUP(A107,'Données projet'!$A$35:$I$55,5,0)*VLOOKUP('Données projet'!$B$9,Paramètres!$A$1:$I$89,7,0))</f>
        <v>0.15049999999999999</v>
      </c>
      <c r="X107" s="16">
        <f>IF(ISNA(VLOOKUP(A107,'Données projet'!$A$35:$I$55,6,0)),0%,VLOOKUP(A107,'Données projet'!$A$35:$I$55,6,0)*VLOOKUP('Données projet'!$B$9,Paramètres!$A$1:$I$89,7,0))</f>
        <v>8.6000000000000007E-2</v>
      </c>
      <c r="Y107" s="16">
        <f>IF(ISNA(VLOOKUP(A107,'Données projet'!$A$35:$I$55,7,0)),0%,VLOOKUP(A107,'Données projet'!$A$35:$I$55,7,0))</f>
        <v>0.1</v>
      </c>
      <c r="Z107" s="21">
        <f>EXP(-LN(2)/35)*Z106+(1-EXP(-LN(2)/35))/(LN(2)/35)*V107*W107*VLOOKUP('Données projet'!$B$9,Paramètres!$A$1:$I$89,3,0)*0.475*44/12</f>
        <v>17.037909601686799</v>
      </c>
      <c r="AA107" s="21">
        <f>EXP(-LN(2)/25)*AA106+(1-EXP(-LN(2)/25))/(LN(2)/25)*Calculateur!V107*Calculateur!X107*VLOOKUP('Données projet'!$B$9,Paramètres!$A$1:$I$89,3,0)*0.475*44/12</f>
        <v>29.705420325182111</v>
      </c>
      <c r="AB107" s="21">
        <f>EXP(-LN(2)/2)*AB106+(1-EXP(-LN(2)/2))/(LN(2)/2)*V107*Y107*VLOOKUP('Données projet'!$B$9,Paramètres!$A$1:$I$89,3,0)*0.475*44/12</f>
        <v>3.9555942072717549</v>
      </c>
      <c r="AC107" s="22">
        <f t="shared" si="57"/>
        <v>50.698924134140668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7.5129999999999999</v>
      </c>
      <c r="AI107" s="13">
        <f>IF('Données projet'!$A$62&gt;35,AI106+AH107-AQ106,IF(A107&lt;'Données projet'!$A$62,$AF$205^A107,IF(A107='Données projet'!$A$62,'Données projet'!$B$62,AI106+AH107-AQ106)))</f>
        <v>288.4330000000005</v>
      </c>
      <c r="AJ107" s="13">
        <f>AI107*VLOOKUP('Données projet'!$B$10,Paramètres!$A$1:$I$89,3,0)*VLOOKUP('Données projet'!$B$10,Paramètres!$A$1:$I$89,5,0)</f>
        <v>260.97417840000043</v>
      </c>
      <c r="AK107" s="13">
        <f t="shared" si="89"/>
        <v>62.929988204000416</v>
      </c>
      <c r="AL107" s="20">
        <f t="shared" si="58"/>
        <v>564.13309016863479</v>
      </c>
      <c r="AM107" s="59">
        <f t="shared" si="59"/>
        <v>857.46642350196817</v>
      </c>
      <c r="AN107" s="59">
        <f ca="1">AVERAGE(OFFSET($AM$3,0,0,'Données projet'!$E$10+1,1))-AVERAGE(OFFSET($H$3,0,0,'Données projet'!$E$10+1,1))</f>
        <v>482.62991869403385</v>
      </c>
      <c r="AO107" s="59">
        <f t="shared" si="90"/>
        <v>310.43914804089906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28.729798096218289</v>
      </c>
      <c r="AV107" s="21">
        <f>EXP(-LN(2)/25)*AV106+(1-EXP(-LN(2)/25))/(LN(2)/25)*Calculateur!AQ107*Calculateur!AS107*VLOOKUP('Données projet'!$B$10,Paramètres!$A$1:$I$89,3,0)*0.475*44/12</f>
        <v>23.026037328520598</v>
      </c>
      <c r="AW107" s="21">
        <f>EXP(-LN(2)/2)*AW106+(1-EXP(-LN(2)/2))/(LN(2)/2)*AQ107*AT107*VLOOKUP('Données projet'!$B$10,Paramètres!$A$1:$I$89,3,0)*0.475*44/12</f>
        <v>3.5134395255743907</v>
      </c>
      <c r="AX107" s="21">
        <f t="shared" si="60"/>
        <v>55.269274950313282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384.34044781465661</v>
      </c>
      <c r="BJ107" s="59">
        <f t="shared" si="92"/>
        <v>374.99493809709708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35.485506083969121</v>
      </c>
      <c r="BQ107" s="21">
        <f>EXP(-LN(2)/25)*BQ106+(1-EXP(-LN(2)/25))/(LN(2)/25)*Calculateur!BL107*Calculateur!BN107*VLOOKUP('Données projet'!$B$11,Paramètres!$A$1:$I$89,3,0)*0.475*44/12</f>
        <v>28.969927557762791</v>
      </c>
      <c r="BR107" s="21">
        <f>EXP(-LN(2)/2)*BR106+(1-EXP(-LN(2)/2))/(LN(2)/2)*BL107*BO107*VLOOKUP('Données projet'!$B$11,Paramètres!$A$1:$I$89,3,0)*0.475*44/12</f>
        <v>1.6733656879243559E-2</v>
      </c>
      <c r="BS107" s="22">
        <f t="shared" si="63"/>
        <v>64.472167298611154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7.5129999999999999</v>
      </c>
      <c r="BY107" s="12">
        <f>IF('Données projet'!$A$114&gt;35,BY106+BX107-CG106,IF(A107&lt;'Données projet'!$A$114,$BV$205^A107,IF(A107='Données projet'!$A$114,'Données projet'!$B$114,BY106+BX107-CG106)))</f>
        <v>288.4330000000005</v>
      </c>
      <c r="BZ107" s="13">
        <f>BY107*VLOOKUP('Données projet'!$B$12,Paramètres!$A$1:$I$89,3,0)*VLOOKUP('Données projet'!$B$12,Paramètres!$A$1:$I$89,5,0)</f>
        <v>274.47284280000048</v>
      </c>
      <c r="CA107" s="13">
        <f t="shared" si="93"/>
        <v>65.797609794318632</v>
      </c>
      <c r="CB107" s="20">
        <f t="shared" si="64"/>
        <v>592.63770493510583</v>
      </c>
      <c r="CC107" s="59">
        <f t="shared" si="65"/>
        <v>885.97103826843909</v>
      </c>
      <c r="CD107" s="59">
        <f ca="1">AVERAGE(OFFSET($CC$3,0,0,'Données projet'!$E$12+1,1))-AVERAGE(OFFSET($H$3,0,0,'Données projet'!$E$12+1,1))</f>
        <v>513.14430745499283</v>
      </c>
      <c r="CE107" s="59">
        <f t="shared" si="94"/>
        <v>324.2490378019823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30.215822135677868</v>
      </c>
      <c r="CL107" s="21">
        <f>EXP(-LN(2)/25)*CL106+(1-EXP(-LN(2)/25))/(LN(2)/25)*Calculateur!CG107*Calculateur!CI107*VLOOKUP('Données projet'!$B$12,Paramètres!$A$1:$I$89,3,0)*0.475*44/12</f>
        <v>24.217039259306141</v>
      </c>
      <c r="CM107" s="21">
        <f>EXP(-LN(2)/2)*CM106+(1-EXP(-LN(2)/2))/(LN(2)/2)*CG107*CJ107*VLOOKUP('Données projet'!$B$12,Paramètres!$A$1:$I$89,3,0)*0.475*44/12</f>
        <v>3.6951691562075482</v>
      </c>
      <c r="CN107" s="22">
        <f t="shared" si="66"/>
        <v>58.128030551191557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-1.1368683772161603E-13</v>
      </c>
      <c r="CU107" s="17">
        <f>CT107*VLOOKUP('Données projet'!$B$13,Paramètres!$A$1:$I$89,3,0)*VLOOKUP('Données projet'!$B$13,Paramètres!$A$1:$I$89,5,0)</f>
        <v>-8.8675733422860506E-14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197.51452239559433</v>
      </c>
      <c r="CZ107" s="59">
        <f t="shared" si="96"/>
        <v>196.65166921588821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13.781596188858769</v>
      </c>
      <c r="DG107" s="21">
        <f>EXP(-LN(2)/25)*DG106+(1-EXP(-LN(2)/25))/(LN(2)/25)*Calculateur!DB107*Calculateur!DD107*VLOOKUP('Données projet'!$B$13,Paramètres!$A$1:$I$89,3,0)*0.475*44/12</f>
        <v>10.283355221549003</v>
      </c>
      <c r="DH107" s="21">
        <f>EXP(-LN(2)/2)*DH106+(1-EXP(-LN(2)/2))/(LN(2)/2)*DB107*DE107*VLOOKUP('Données projet'!$B$13,Paramètres!$A$1:$I$89,3,0)*0.475*44/12</f>
        <v>2.1010665359963353E-4</v>
      </c>
      <c r="DI107" s="22">
        <f t="shared" si="69"/>
        <v>24.065161517061373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>
        <f>DO107*VLOOKUP('Données projet'!$B$14,Paramètres!$A$1:$I$89,3,0)*VLOOKUP('Données projet'!$B$14,Paramètres!$A$1:$I$89,5,0)</f>
        <v>0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239.26156489359892</v>
      </c>
      <c r="DU107" s="59">
        <f t="shared" si="98"/>
        <v>213.97034450798111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8.1955247221872156</v>
      </c>
      <c r="EB107" s="21">
        <f>EXP(-LN(2)/25)*EB106+(1-EXP(-LN(2)/25))/(LN(2)/25)*Calculateur!DW107*Calculateur!DY107*VLOOKUP('Données projet'!$B$14,Paramètres!$A$1:$I$89,3,0)*0.475*44/12</f>
        <v>43.318366887801368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51.513891609988583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>
        <f>VLOOKUP(A107,'Données projet'!$A$191:$I$211,2,0)</f>
        <v>271.37</v>
      </c>
      <c r="EH107" s="12">
        <f>VLOOKUP(A107,'Données projet'!$A$191:$I$211,9,0)</f>
        <v>6.7777777777777777</v>
      </c>
      <c r="EI107" s="12">
        <f t="array" ref="EI107">INDEX(EH:EH,MIN(IF(ISNUMBER(EH107:EH303),ROW(EH107:EH303),"")))</f>
        <v>6.7777777777777777</v>
      </c>
      <c r="EJ107" s="12">
        <f>IF('Données projet'!$A$192&gt;35,EJ106+EI107-ER106,IF(A107&lt;'Données projet'!$A$192,$EG$205^A107,IF(A107='Données projet'!$A$192,'Données projet'!$B$192,EJ106+EI107-ER106)))</f>
        <v>271.36999999999983</v>
      </c>
      <c r="EK107" s="17">
        <f>EJ107*VLOOKUP('Données projet'!$B$15,Paramètres!$A$1:$I$89,3,0)*VLOOKUP('Données projet'!$B$15,Paramètres!$A$1:$I$89,5,0)</f>
        <v>270.93580799999984</v>
      </c>
      <c r="EL107" s="13">
        <f t="shared" si="99"/>
        <v>65.047831353489372</v>
      </c>
      <c r="EM107" s="20">
        <f t="shared" si="73"/>
        <v>585.17150520732696</v>
      </c>
      <c r="EN107" s="59">
        <f t="shared" si="74"/>
        <v>878.50483854066033</v>
      </c>
      <c r="EO107" s="59">
        <f ca="1">AVERAGE(OFFSET($EN$3,0,0,'Données projet'!$E$15+1,1))-AVERAGE(OFFSET($H$3,0,0,'Données projet'!$E$15+1,1))</f>
        <v>525.74725170626471</v>
      </c>
      <c r="EP107" s="59">
        <f t="shared" si="100"/>
        <v>259.19103598192197</v>
      </c>
      <c r="EQ107" s="15">
        <f>IF(ISNA(VLOOKUP(A107,'Données projet'!$A$191:$I$211,3,0)),0,VLOOKUP(A107,'Données projet'!$A$191:$I$211,3,0))</f>
        <v>6</v>
      </c>
      <c r="ER107" s="15">
        <f>IF(ISNA(VLOOKUP(A107,'Données projet'!$A$191:$I$211,4,0)),0,VLOOKUP(A107,'Données projet'!$A$191:$I$211,4,0))</f>
        <v>39.400000000000006</v>
      </c>
      <c r="ES107" s="16">
        <f>IF(ISNA(VLOOKUP(A107,'Données projet'!$A$191:$I$211,5,0)),0%,VLOOKUP(A107,'Données projet'!$A$191:$I$211,5,0)*VLOOKUP('Données projet'!$B$15,Paramètres!$A$1:$I$89,7,0))</f>
        <v>0.15049999999999999</v>
      </c>
      <c r="ET107" s="16">
        <f>IF(ISNA(VLOOKUP(A107,'Données projet'!$A$191:$I$211,6,0)),0%,VLOOKUP(A107,'Données projet'!$A$191:$I$211,6,0)*VLOOKUP('Données projet'!$B$15,Paramètres!$A$1:$I$89,7,0))</f>
        <v>8.6000000000000007E-2</v>
      </c>
      <c r="EU107" s="16">
        <f>IF(ISNA(VLOOKUP(A107,'Données projet'!$A$191:$I$211,7,0)),0%,VLOOKUP(A107,'Données projet'!$A$191:$I$211,7,0))</f>
        <v>0.1</v>
      </c>
      <c r="EV107" s="21">
        <f>EXP(-LN(2)/35)*EV106+(1-EXP(-LN(2)/35))/(LN(2)/35)*ER107*ES107*VLOOKUP('Données projet'!$B$15,Paramètres!$A$1:$I$89,3,0)*0.475*44/12</f>
        <v>16.775787915506999</v>
      </c>
      <c r="EW107" s="21">
        <f>EXP(-LN(2)/25)*EW106+(1-EXP(-LN(2)/25))/(LN(2)/25)*Calculateur!ER107*Calculateur!ET107*VLOOKUP('Données projet'!$B$15,Paramètres!$A$1:$I$89,3,0)*0.475*44/12</f>
        <v>29.248413858640852</v>
      </c>
      <c r="EX107" s="21">
        <f>EXP(-LN(2)/2)*EX106+(1-EXP(-LN(2)/2))/(LN(2)/2)*ER107*EU107*VLOOKUP('Données projet'!$B$15,Paramètres!$A$1:$I$89,3,0)*0.475*44/12</f>
        <v>3.8947389117752662</v>
      </c>
      <c r="EY107" s="22">
        <f t="shared" si="75"/>
        <v>49.918940685923118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6.8811111111111085</v>
      </c>
      <c r="N108" s="13">
        <f>IF('Données projet'!$A$36&gt;35,N107+M108-V107,IF(A108&lt;'Données projet'!$A$36,$K$205^A108,IF(A108='Données projet'!$A$36,'Données projet'!$B$36,N107+M108-V107)))</f>
        <v>238.85111111111095</v>
      </c>
      <c r="O108" s="13">
        <f>N108*VLOOKUP('Données projet'!$B$9,Paramètres!$A$1:$I$89,3,0)*VLOOKUP('Données projet'!$B$9,Paramètres!$A$1:$I$89,5,0)</f>
        <v>242.19502666666651</v>
      </c>
      <c r="P108" s="13">
        <f t="shared" si="87"/>
        <v>58.911550627030486</v>
      </c>
      <c r="Q108" s="20">
        <f t="shared" si="107"/>
        <v>524.42728878652235</v>
      </c>
      <c r="R108" s="59">
        <f t="shared" si="55"/>
        <v>817.76062211985573</v>
      </c>
      <c r="S108" s="59">
        <f ca="1">AVERAGE(OFFSET($R$3,0,0,'Données projet'!$E$9+1,1))-AVERAGE(OFFSET($H$3,0,0,'Données projet'!$E$9+1,1))</f>
        <v>533.26035274112917</v>
      </c>
      <c r="T108" s="59">
        <f t="shared" si="88"/>
        <v>262.58149402282521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16.703806586496444</v>
      </c>
      <c r="AA108" s="21">
        <f>EXP(-LN(2)/25)*AA107+(1-EXP(-LN(2)/25))/(LN(2)/25)*Calculateur!V108*Calculateur!X108*VLOOKUP('Données projet'!$B$9,Paramètres!$A$1:$I$89,3,0)*0.475*44/12</f>
        <v>28.893124044249845</v>
      </c>
      <c r="AB108" s="21">
        <f>EXP(-LN(2)/2)*AB107+(1-EXP(-LN(2)/2))/(LN(2)/2)*V108*Y108*VLOOKUP('Données projet'!$B$9,Paramètres!$A$1:$I$89,3,0)*0.475*44/12</f>
        <v>2.7970274875840837</v>
      </c>
      <c r="AC108" s="22">
        <f t="shared" si="57"/>
        <v>48.393958118330367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7.5129999999999999</v>
      </c>
      <c r="AI108" s="13">
        <f>IF('Données projet'!$A$62&gt;35,AI107+AH108-AQ107,IF(A108&lt;'Données projet'!$A$62,$AF$205^A108,IF(A108='Données projet'!$A$62,'Données projet'!$B$62,AI107+AH108-AQ107)))</f>
        <v>295.94600000000048</v>
      </c>
      <c r="AJ108" s="13">
        <f>AI108*VLOOKUP('Données projet'!$B$10,Paramètres!$A$1:$I$89,3,0)*VLOOKUP('Données projet'!$B$10,Paramètres!$A$1:$I$89,5,0)</f>
        <v>267.77194080000044</v>
      </c>
      <c r="AK108" s="13">
        <f t="shared" si="89"/>
        <v>64.376191096600778</v>
      </c>
      <c r="AL108" s="20">
        <f t="shared" si="58"/>
        <v>578.49132971991378</v>
      </c>
      <c r="AM108" s="59">
        <f t="shared" si="59"/>
        <v>871.82466305324715</v>
      </c>
      <c r="AN108" s="59">
        <f ca="1">AVERAGE(OFFSET($AM$3,0,0,'Données projet'!$E$10+1,1))-AVERAGE(OFFSET($H$3,0,0,'Données projet'!$E$10+1,1))</f>
        <v>482.62991869403385</v>
      </c>
      <c r="AO108" s="59">
        <f t="shared" si="90"/>
        <v>310.43914804089906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28.16642427899799</v>
      </c>
      <c r="AV108" s="21">
        <f>EXP(-LN(2)/25)*AV107+(1-EXP(-LN(2)/25))/(LN(2)/25)*Calculateur!AQ108*Calculateur!AS108*VLOOKUP('Données projet'!$B$10,Paramètres!$A$1:$I$89,3,0)*0.475*44/12</f>
        <v>22.396389126885527</v>
      </c>
      <c r="AW108" s="21">
        <f>EXP(-LN(2)/2)*AW107+(1-EXP(-LN(2)/2))/(LN(2)/2)*AQ108*AT108*VLOOKUP('Données projet'!$B$10,Paramètres!$A$1:$I$89,3,0)*0.475*44/12</f>
        <v>2.4843769138224983</v>
      </c>
      <c r="AX108" s="21">
        <f t="shared" si="60"/>
        <v>53.047190319706019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384.34044781465661</v>
      </c>
      <c r="BJ108" s="59">
        <f t="shared" si="92"/>
        <v>374.99493809709708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34.78965695368403</v>
      </c>
      <c r="BQ108" s="21">
        <f>EXP(-LN(2)/25)*BQ107+(1-EXP(-LN(2)/25))/(LN(2)/25)*Calculateur!BL108*Calculateur!BN108*VLOOKUP('Données projet'!$B$11,Paramètres!$A$1:$I$89,3,0)*0.475*44/12</f>
        <v>28.177743365233489</v>
      </c>
      <c r="BR108" s="21">
        <f>EXP(-LN(2)/2)*BR107+(1-EXP(-LN(2)/2))/(LN(2)/2)*BL108*BO108*VLOOKUP('Données projet'!$B$11,Paramètres!$A$1:$I$89,3,0)*0.475*44/12</f>
        <v>1.1832482253362041E-2</v>
      </c>
      <c r="BS108" s="22">
        <f t="shared" si="63"/>
        <v>62.97923280117088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7.5129999999999999</v>
      </c>
      <c r="BY108" s="12">
        <f>IF('Données projet'!$A$114&gt;35,BY107+BX108-CG107,IF(A108&lt;'Données projet'!$A$114,$BV$205^A108,IF(A108='Données projet'!$A$114,'Données projet'!$B$114,BY107+BX108-CG107)))</f>
        <v>295.94600000000048</v>
      </c>
      <c r="BZ108" s="13">
        <f>BY108*VLOOKUP('Données projet'!$B$12,Paramètres!$A$1:$I$89,3,0)*VLOOKUP('Données projet'!$B$12,Paramètres!$A$1:$I$89,5,0)</f>
        <v>281.62221360000046</v>
      </c>
      <c r="CA108" s="13">
        <f t="shared" si="93"/>
        <v>67.309713901223276</v>
      </c>
      <c r="CB108" s="20">
        <f t="shared" si="64"/>
        <v>607.72310706463134</v>
      </c>
      <c r="CC108" s="59">
        <f t="shared" si="65"/>
        <v>901.05644039796471</v>
      </c>
      <c r="CD108" s="59">
        <f ca="1">AVERAGE(OFFSET($CC$3,0,0,'Données projet'!$E$12+1,1))-AVERAGE(OFFSET($H$3,0,0,'Données projet'!$E$12+1,1))</f>
        <v>513.14430745499283</v>
      </c>
      <c r="CE108" s="59">
        <f t="shared" si="94"/>
        <v>324.2490378019823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29.623308293428934</v>
      </c>
      <c r="CL108" s="21">
        <f>EXP(-LN(2)/25)*CL107+(1-EXP(-LN(2)/25))/(LN(2)/25)*Calculateur!CG108*Calculateur!CI108*VLOOKUP('Données projet'!$B$12,Paramètres!$A$1:$I$89,3,0)*0.475*44/12</f>
        <v>23.554823047241669</v>
      </c>
      <c r="CM108" s="21">
        <f>EXP(-LN(2)/2)*CM107+(1-EXP(-LN(2)/2))/(LN(2)/2)*CG108*CJ108*VLOOKUP('Données projet'!$B$12,Paramètres!$A$1:$I$89,3,0)*0.475*44/12</f>
        <v>2.6128791679857302</v>
      </c>
      <c r="CN108" s="22">
        <f t="shared" si="66"/>
        <v>55.791010508656335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-1.1368683772161603E-13</v>
      </c>
      <c r="CU108" s="17">
        <f>CT108*VLOOKUP('Données projet'!$B$13,Paramètres!$A$1:$I$89,3,0)*VLOOKUP('Données projet'!$B$13,Paramètres!$A$1:$I$89,5,0)</f>
        <v>-8.8675733422860506E-14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197.51452239559433</v>
      </c>
      <c r="CZ108" s="59">
        <f t="shared" si="96"/>
        <v>196.65166921588821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13.511347493538906</v>
      </c>
      <c r="DG108" s="21">
        <f>EXP(-LN(2)/25)*DG107+(1-EXP(-LN(2)/25))/(LN(2)/25)*Calculateur!DB108*Calculateur!DD108*VLOOKUP('Données projet'!$B$13,Paramètres!$A$1:$I$89,3,0)*0.475*44/12</f>
        <v>10.002156332237599</v>
      </c>
      <c r="DH108" s="21">
        <f>EXP(-LN(2)/2)*DH107+(1-EXP(-LN(2)/2))/(LN(2)/2)*DB108*DE108*VLOOKUP('Données projet'!$B$13,Paramètres!$A$1:$I$89,3,0)*0.475*44/12</f>
        <v>1.485678395327138E-4</v>
      </c>
      <c r="DI108" s="22">
        <f t="shared" si="69"/>
        <v>23.513652393616034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>
        <f>DO108*VLOOKUP('Données projet'!$B$14,Paramètres!$A$1:$I$89,3,0)*VLOOKUP('Données projet'!$B$14,Paramètres!$A$1:$I$89,5,0)</f>
        <v>0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239.26156489359892</v>
      </c>
      <c r="DU108" s="59">
        <f t="shared" si="98"/>
        <v>213.97034450798111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8.0348154811616173</v>
      </c>
      <c r="EB108" s="21">
        <f>EXP(-LN(2)/25)*EB107+(1-EXP(-LN(2)/25))/(LN(2)/25)*Calculateur!DW108*Calculateur!DY108*VLOOKUP('Données projet'!$B$14,Paramètres!$A$1:$I$89,3,0)*0.475*44/12</f>
        <v>42.13382386724053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50.168639348402145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6.8811111111111085</v>
      </c>
      <c r="EJ108" s="12">
        <f>IF('Données projet'!$A$192&gt;35,EJ107+EI108-ER107,IF(A108&lt;'Données projet'!$A$192,$EG$205^A108,IF(A108='Données projet'!$A$192,'Données projet'!$B$192,EJ107+EI108-ER107)))</f>
        <v>238.85111111111095</v>
      </c>
      <c r="EK108" s="17">
        <f>EJ108*VLOOKUP('Données projet'!$B$15,Paramètres!$A$1:$I$89,3,0)*VLOOKUP('Données projet'!$B$15,Paramètres!$A$1:$I$89,5,0)</f>
        <v>238.46894933333317</v>
      </c>
      <c r="EL108" s="13">
        <f t="shared" si="99"/>
        <v>58.109994877209367</v>
      </c>
      <c r="EM108" s="20">
        <f t="shared" si="73"/>
        <v>516.54166116669489</v>
      </c>
      <c r="EN108" s="59">
        <f t="shared" si="74"/>
        <v>809.87499450002815</v>
      </c>
      <c r="EO108" s="59">
        <f ca="1">AVERAGE(OFFSET($EN$3,0,0,'Données projet'!$E$15+1,1))-AVERAGE(OFFSET($H$3,0,0,'Données projet'!$E$15+1,1))</f>
        <v>525.74725170626471</v>
      </c>
      <c r="EP108" s="59">
        <f t="shared" si="100"/>
        <v>259.19103598192197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16.446824946704186</v>
      </c>
      <c r="EW108" s="21">
        <f>EXP(-LN(2)/25)*EW107+(1-EXP(-LN(2)/25))/(LN(2)/25)*Calculateur!ER108*Calculateur!ET108*VLOOKUP('Données projet'!$B$15,Paramètres!$A$1:$I$89,3,0)*0.475*44/12</f>
        <v>28.448614443569081</v>
      </c>
      <c r="EX108" s="21">
        <f>EXP(-LN(2)/2)*EX107+(1-EXP(-LN(2)/2))/(LN(2)/2)*ER108*EU108*VLOOKUP('Données projet'!$B$15,Paramètres!$A$1:$I$89,3,0)*0.475*44/12</f>
        <v>2.7539962954674055</v>
      </c>
      <c r="EY108" s="22">
        <f t="shared" si="75"/>
        <v>47.64943568574067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6.8811111111111085</v>
      </c>
      <c r="N109" s="13">
        <f>IF('Données projet'!$A$36&gt;35,N108+M109-V108,IF(A109&lt;'Données projet'!$A$36,$K$205^A109,IF(A109='Données projet'!$A$36,'Données projet'!$B$36,N108+M109-V108)))</f>
        <v>245.73222222222205</v>
      </c>
      <c r="O109" s="13">
        <f>N109*VLOOKUP('Données projet'!$B$9,Paramètres!$A$1:$I$89,3,0)*VLOOKUP('Données projet'!$B$9,Paramètres!$A$1:$I$89,5,0)</f>
        <v>249.17247333333319</v>
      </c>
      <c r="P109" s="13">
        <f t="shared" si="87"/>
        <v>60.408704291647716</v>
      </c>
      <c r="Q109" s="20">
        <f t="shared" si="107"/>
        <v>539.18721769684169</v>
      </c>
      <c r="R109" s="59">
        <f t="shared" si="55"/>
        <v>832.52055103017506</v>
      </c>
      <c r="S109" s="59">
        <f ca="1">AVERAGE(OFFSET($R$3,0,0,'Données projet'!$E$9+1,1))-AVERAGE(OFFSET($H$3,0,0,'Données projet'!$E$9+1,1))</f>
        <v>533.26035274112917</v>
      </c>
      <c r="T109" s="59">
        <f t="shared" si="88"/>
        <v>262.58149402282521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16.376255127651255</v>
      </c>
      <c r="AA109" s="21">
        <f>EXP(-LN(2)/25)*AA108+(1-EXP(-LN(2)/25))/(LN(2)/25)*Calculateur!V109*Calculateur!X109*VLOOKUP('Données projet'!$B$9,Paramètres!$A$1:$I$89,3,0)*0.475*44/12</f>
        <v>28.103040047836476</v>
      </c>
      <c r="AB109" s="21">
        <f>EXP(-LN(2)/2)*AB108+(1-EXP(-LN(2)/2))/(LN(2)/2)*V109*Y109*VLOOKUP('Données projet'!$B$9,Paramètres!$A$1:$I$89,3,0)*0.475*44/12</f>
        <v>1.9777971036358777</v>
      </c>
      <c r="AC109" s="22">
        <f t="shared" si="57"/>
        <v>46.457092279123614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7.5129999999999999</v>
      </c>
      <c r="AI109" s="13">
        <f>IF('Données projet'!$A$62&gt;35,AI108+AH109-AQ108,IF(A109&lt;'Données projet'!$A$62,$AF$205^A109,IF(A109='Données projet'!$A$62,'Données projet'!$B$62,AI108+AH109-AQ108)))</f>
        <v>303.45900000000046</v>
      </c>
      <c r="AJ109" s="13">
        <f>AI109*VLOOKUP('Données projet'!$B$10,Paramètres!$A$1:$I$89,3,0)*VLOOKUP('Données projet'!$B$10,Paramètres!$A$1:$I$89,5,0)</f>
        <v>274.56970320000039</v>
      </c>
      <c r="AK109" s="13">
        <f t="shared" si="89"/>
        <v>65.818126318370446</v>
      </c>
      <c r="AL109" s="20">
        <f t="shared" si="58"/>
        <v>592.84213641116253</v>
      </c>
      <c r="AM109" s="59">
        <f t="shared" si="59"/>
        <v>886.17546974449579</v>
      </c>
      <c r="AN109" s="59">
        <f ca="1">AVERAGE(OFFSET($AM$3,0,0,'Données projet'!$E$10+1,1))-AVERAGE(OFFSET($H$3,0,0,'Données projet'!$E$10+1,1))</f>
        <v>482.62991869403385</v>
      </c>
      <c r="AO109" s="59">
        <f t="shared" si="90"/>
        <v>310.43914804089906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27.614097878709284</v>
      </c>
      <c r="AV109" s="21">
        <f>EXP(-LN(2)/25)*AV108+(1-EXP(-LN(2)/25))/(LN(2)/25)*Calculateur!AQ109*Calculateur!AS109*VLOOKUP('Données projet'!$B$10,Paramètres!$A$1:$I$89,3,0)*0.475*44/12</f>
        <v>21.783958688435927</v>
      </c>
      <c r="AW109" s="21">
        <f>EXP(-LN(2)/2)*AW108+(1-EXP(-LN(2)/2))/(LN(2)/2)*AQ109*AT109*VLOOKUP('Données projet'!$B$10,Paramètres!$A$1:$I$89,3,0)*0.475*44/12</f>
        <v>1.7567197627871955</v>
      </c>
      <c r="AX109" s="21">
        <f t="shared" si="60"/>
        <v>51.154776329932403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384.34044781465661</v>
      </c>
      <c r="BJ109" s="59">
        <f t="shared" si="92"/>
        <v>374.99493809709708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34.10745300041777</v>
      </c>
      <c r="BQ109" s="21">
        <f>EXP(-LN(2)/25)*BQ108+(1-EXP(-LN(2)/25))/(LN(2)/25)*Calculateur!BL109*Calculateur!BN109*VLOOKUP('Données projet'!$B$11,Paramètres!$A$1:$I$89,3,0)*0.475*44/12</f>
        <v>27.407221491108057</v>
      </c>
      <c r="BR109" s="21">
        <f>EXP(-LN(2)/2)*BR108+(1-EXP(-LN(2)/2))/(LN(2)/2)*BL109*BO109*VLOOKUP('Données projet'!$B$11,Paramètres!$A$1:$I$89,3,0)*0.475*44/12</f>
        <v>8.3668284396217797E-3</v>
      </c>
      <c r="BS109" s="22">
        <f t="shared" si="63"/>
        <v>61.523041319965444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7.5129999999999999</v>
      </c>
      <c r="BY109" s="12">
        <f>IF('Données projet'!$A$114&gt;35,BY108+BX109-CG108,IF(A109&lt;'Données projet'!$A$114,$BV$205^A109,IF(A109='Données projet'!$A$114,'Données projet'!$B$114,BY108+BX109-CG108)))</f>
        <v>303.45900000000046</v>
      </c>
      <c r="BZ109" s="13">
        <f>BY109*VLOOKUP('Données projet'!$B$12,Paramètres!$A$1:$I$89,3,0)*VLOOKUP('Données projet'!$B$12,Paramètres!$A$1:$I$89,5,0)</f>
        <v>288.77158440000045</v>
      </c>
      <c r="CA109" s="13">
        <f t="shared" si="93"/>
        <v>68.817355866181629</v>
      </c>
      <c r="CB109" s="20">
        <f t="shared" si="64"/>
        <v>622.80073763026712</v>
      </c>
      <c r="CC109" s="59">
        <f t="shared" si="65"/>
        <v>916.13407096360038</v>
      </c>
      <c r="CD109" s="59">
        <f ca="1">AVERAGE(OFFSET($CC$3,0,0,'Données projet'!$E$12+1,1))-AVERAGE(OFFSET($H$3,0,0,'Données projet'!$E$12+1,1))</f>
        <v>513.14430745499283</v>
      </c>
      <c r="CE109" s="59">
        <f t="shared" si="94"/>
        <v>324.2490378019823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29.042413286228744</v>
      </c>
      <c r="CL109" s="21">
        <f>EXP(-LN(2)/25)*CL108+(1-EXP(-LN(2)/25))/(LN(2)/25)*Calculateur!CG109*Calculateur!CI109*VLOOKUP('Données projet'!$B$12,Paramètres!$A$1:$I$89,3,0)*0.475*44/12</f>
        <v>22.910715172320536</v>
      </c>
      <c r="CM109" s="21">
        <f>EXP(-LN(2)/2)*CM108+(1-EXP(-LN(2)/2))/(LN(2)/2)*CG109*CJ109*VLOOKUP('Données projet'!$B$12,Paramètres!$A$1:$I$89,3,0)*0.475*44/12</f>
        <v>1.8475845781037741</v>
      </c>
      <c r="CN109" s="22">
        <f t="shared" si="66"/>
        <v>53.80071303665305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-1.1368683772161603E-13</v>
      </c>
      <c r="CU109" s="17">
        <f>CT109*VLOOKUP('Données projet'!$B$13,Paramètres!$A$1:$I$89,3,0)*VLOOKUP('Données projet'!$B$13,Paramètres!$A$1:$I$89,5,0)</f>
        <v>-8.8675733422860506E-14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197.51452239559433</v>
      </c>
      <c r="CZ109" s="59">
        <f t="shared" si="96"/>
        <v>196.65166921588821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13.246398210298837</v>
      </c>
      <c r="DG109" s="21">
        <f>EXP(-LN(2)/25)*DG108+(1-EXP(-LN(2)/25))/(LN(2)/25)*Calculateur!DB109*Calculateur!DD109*VLOOKUP('Données projet'!$B$13,Paramètres!$A$1:$I$89,3,0)*0.475*44/12</f>
        <v>9.7286468413420195</v>
      </c>
      <c r="DH109" s="21">
        <f>EXP(-LN(2)/2)*DH108+(1-EXP(-LN(2)/2))/(LN(2)/2)*DB109*DE109*VLOOKUP('Données projet'!$B$13,Paramètres!$A$1:$I$89,3,0)*0.475*44/12</f>
        <v>1.0505332679981677E-4</v>
      </c>
      <c r="DI109" s="22">
        <f t="shared" si="69"/>
        <v>22.975150104967653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>
        <f>DO109*VLOOKUP('Données projet'!$B$14,Paramètres!$A$1:$I$89,3,0)*VLOOKUP('Données projet'!$B$14,Paramètres!$A$1:$I$89,5,0)</f>
        <v>0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239.26156489359892</v>
      </c>
      <c r="DU109" s="59">
        <f t="shared" si="98"/>
        <v>213.97034450798111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7.8772576503295726</v>
      </c>
      <c r="EB109" s="21">
        <f>EXP(-LN(2)/25)*EB108+(1-EXP(-LN(2)/25))/(LN(2)/25)*Calculateur!DW109*Calculateur!DY109*VLOOKUP('Données projet'!$B$14,Paramètres!$A$1:$I$89,3,0)*0.475*44/12</f>
        <v>40.98167223786934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48.858929888198915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6.8811111111111085</v>
      </c>
      <c r="EJ109" s="12">
        <f>IF('Données projet'!$A$192&gt;35,EJ108+EI109-ER108,IF(A109&lt;'Données projet'!$A$192,$EG$205^A109,IF(A109='Données projet'!$A$192,'Données projet'!$B$192,EJ108+EI109-ER108)))</f>
        <v>245.73222222222205</v>
      </c>
      <c r="EK109" s="17">
        <f>EJ109*VLOOKUP('Données projet'!$B$15,Paramètres!$A$1:$I$89,3,0)*VLOOKUP('Données projet'!$B$15,Paramètres!$A$1:$I$89,5,0)</f>
        <v>245.33905066666651</v>
      </c>
      <c r="EL109" s="13">
        <f t="shared" si="99"/>
        <v>59.586778137118749</v>
      </c>
      <c r="EM109" s="20">
        <f t="shared" si="73"/>
        <v>531.07915183325929</v>
      </c>
      <c r="EN109" s="59">
        <f t="shared" si="74"/>
        <v>824.41248516659266</v>
      </c>
      <c r="EO109" s="59">
        <f ca="1">AVERAGE(OFFSET($EN$3,0,0,'Données projet'!$E$15+1,1))-AVERAGE(OFFSET($H$3,0,0,'Données projet'!$E$15+1,1))</f>
        <v>525.74725170626471</v>
      </c>
      <c r="EP109" s="59">
        <f t="shared" si="100"/>
        <v>259.19103598192197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16.124312741072</v>
      </c>
      <c r="EW109" s="21">
        <f>EXP(-LN(2)/25)*EW108+(1-EXP(-LN(2)/25))/(LN(2)/25)*Calculateur!ER109*Calculateur!ET109*VLOOKUP('Données projet'!$B$15,Paramètres!$A$1:$I$89,3,0)*0.475*44/12</f>
        <v>27.670685585562072</v>
      </c>
      <c r="EX109" s="21">
        <f>EXP(-LN(2)/2)*EX108+(1-EXP(-LN(2)/2))/(LN(2)/2)*ER109*EU109*VLOOKUP('Données projet'!$B$15,Paramètres!$A$1:$I$89,3,0)*0.475*44/12</f>
        <v>1.9473694558876333</v>
      </c>
      <c r="EY109" s="22">
        <f t="shared" si="75"/>
        <v>45.742367782521704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6.8811111111111085</v>
      </c>
      <c r="N110" s="13">
        <f>IF('Données projet'!$A$36&gt;35,N109+M110-V109,IF(A110&lt;'Données projet'!$A$36,$K$205^A110,IF(A110='Données projet'!$A$36,'Données projet'!$B$36,N109+M110-V109)))</f>
        <v>252.61333333333314</v>
      </c>
      <c r="O110" s="13">
        <f>N110*VLOOKUP('Données projet'!$B$9,Paramètres!$A$1:$I$89,3,0)*VLOOKUP('Données projet'!$B$9,Paramètres!$A$1:$I$89,5,0)</f>
        <v>256.14991999999984</v>
      </c>
      <c r="P110" s="13">
        <f t="shared" si="87"/>
        <v>61.900985272770555</v>
      </c>
      <c r="Q110" s="20">
        <f t="shared" si="107"/>
        <v>553.93866001674166</v>
      </c>
      <c r="R110" s="59">
        <f t="shared" si="55"/>
        <v>847.27199335007504</v>
      </c>
      <c r="S110" s="59">
        <f ca="1">AVERAGE(OFFSET($R$3,0,0,'Données projet'!$E$9+1,1))-AVERAGE(OFFSET($H$3,0,0,'Données projet'!$E$9+1,1))</f>
        <v>533.26035274112917</v>
      </c>
      <c r="T110" s="59">
        <f t="shared" si="88"/>
        <v>262.58149402282521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16.055126753127357</v>
      </c>
      <c r="AA110" s="21">
        <f>EXP(-LN(2)/25)*AA109+(1-EXP(-LN(2)/25))/(LN(2)/25)*Calculateur!V110*Calculateur!X110*VLOOKUP('Données projet'!$B$9,Paramètres!$A$1:$I$89,3,0)*0.475*44/12</f>
        <v>27.334560939853741</v>
      </c>
      <c r="AB110" s="21">
        <f>EXP(-LN(2)/2)*AB109+(1-EXP(-LN(2)/2))/(LN(2)/2)*V110*Y110*VLOOKUP('Données projet'!$B$9,Paramètres!$A$1:$I$89,3,0)*0.475*44/12</f>
        <v>1.3985137437920421</v>
      </c>
      <c r="AC110" s="22">
        <f t="shared" si="57"/>
        <v>44.788201436773143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7.5129999999999999</v>
      </c>
      <c r="AI110" s="13">
        <f>IF('Données projet'!$A$62&gt;35,AI109+AH110-AQ109,IF(A110&lt;'Données projet'!$A$62,$AF$205^A110,IF(A110='Données projet'!$A$62,'Données projet'!$B$62,AI109+AH110-AQ109)))</f>
        <v>310.97200000000043</v>
      </c>
      <c r="AJ110" s="13">
        <f>AI110*VLOOKUP('Données projet'!$B$10,Paramètres!$A$1:$I$89,3,0)*VLOOKUP('Données projet'!$B$10,Paramètres!$A$1:$I$89,5,0)</f>
        <v>281.3674656000004</v>
      </c>
      <c r="AK110" s="13">
        <f t="shared" si="89"/>
        <v>67.255911680958462</v>
      </c>
      <c r="AL110" s="20">
        <f t="shared" si="58"/>
        <v>607.18571543100336</v>
      </c>
      <c r="AM110" s="59">
        <f t="shared" si="59"/>
        <v>900.51904876433673</v>
      </c>
      <c r="AN110" s="59">
        <f ca="1">AVERAGE(OFFSET($AM$3,0,0,'Données projet'!$E$10+1,1))-AVERAGE(OFFSET($H$3,0,0,'Données projet'!$E$10+1,1))</f>
        <v>482.62991869403385</v>
      </c>
      <c r="AO110" s="59">
        <f t="shared" si="90"/>
        <v>310.43914804089906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27.072602262244398</v>
      </c>
      <c r="AV110" s="21">
        <f>EXP(-LN(2)/25)*AV109+(1-EXP(-LN(2)/25))/(LN(2)/25)*Calculateur!AQ110*Calculateur!AS110*VLOOKUP('Données projet'!$B$10,Paramètres!$A$1:$I$89,3,0)*0.475*44/12</f>
        <v>21.188275192532046</v>
      </c>
      <c r="AW110" s="21">
        <f>EXP(-LN(2)/2)*AW109+(1-EXP(-LN(2)/2))/(LN(2)/2)*AQ110*AT110*VLOOKUP('Données projet'!$B$10,Paramètres!$A$1:$I$89,3,0)*0.475*44/12</f>
        <v>1.2421884569112494</v>
      </c>
      <c r="AX110" s="21">
        <f t="shared" si="60"/>
        <v>49.503065911687699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384.34044781465661</v>
      </c>
      <c r="BJ110" s="59">
        <f t="shared" si="92"/>
        <v>374.99493809709708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33.438626650571734</v>
      </c>
      <c r="BQ110" s="21">
        <f>EXP(-LN(2)/25)*BQ109+(1-EXP(-LN(2)/25))/(LN(2)/25)*Calculateur!BL110*Calculateur!BN110*VLOOKUP('Données projet'!$B$11,Paramètres!$A$1:$I$89,3,0)*0.475*44/12</f>
        <v>26.657769578150567</v>
      </c>
      <c r="BR110" s="21">
        <f>EXP(-LN(2)/2)*BR109+(1-EXP(-LN(2)/2))/(LN(2)/2)*BL110*BO110*VLOOKUP('Données projet'!$B$11,Paramètres!$A$1:$I$89,3,0)*0.475*44/12</f>
        <v>5.9162411266810207E-3</v>
      </c>
      <c r="BS110" s="22">
        <f t="shared" si="63"/>
        <v>60.102312469848982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7.5129999999999999</v>
      </c>
      <c r="BY110" s="12">
        <f>IF('Données projet'!$A$114&gt;35,BY109+BX110-CG109,IF(A110&lt;'Données projet'!$A$114,$BV$205^A110,IF(A110='Données projet'!$A$114,'Données projet'!$B$114,BY109+BX110-CG109)))</f>
        <v>310.97200000000043</v>
      </c>
      <c r="BZ110" s="13">
        <f>BY110*VLOOKUP('Données projet'!$B$12,Paramètres!$A$1:$I$89,3,0)*VLOOKUP('Données projet'!$B$12,Paramètres!$A$1:$I$89,5,0)</f>
        <v>295.92095520000044</v>
      </c>
      <c r="CA110" s="13">
        <f t="shared" si="93"/>
        <v>70.320658869336086</v>
      </c>
      <c r="CB110" s="20">
        <f t="shared" si="64"/>
        <v>637.87081117076104</v>
      </c>
      <c r="CC110" s="59">
        <f t="shared" si="65"/>
        <v>931.2041445040943</v>
      </c>
      <c r="CD110" s="59">
        <f ca="1">AVERAGE(OFFSET($CC$3,0,0,'Données projet'!$E$12+1,1))-AVERAGE(OFFSET($H$3,0,0,'Données projet'!$E$12+1,1))</f>
        <v>513.14430745499283</v>
      </c>
      <c r="CE110" s="59">
        <f t="shared" si="94"/>
        <v>324.2490378019823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28.472909275808778</v>
      </c>
      <c r="CL110" s="21">
        <f>EXP(-LN(2)/25)*CL109+(1-EXP(-LN(2)/25))/(LN(2)/25)*Calculateur!CG110*Calculateur!CI110*VLOOKUP('Données projet'!$B$12,Paramètres!$A$1:$I$89,3,0)*0.475*44/12</f>
        <v>22.284220461111282</v>
      </c>
      <c r="CM110" s="21">
        <f>EXP(-LN(2)/2)*CM109+(1-EXP(-LN(2)/2))/(LN(2)/2)*CG110*CJ110*VLOOKUP('Données projet'!$B$12,Paramètres!$A$1:$I$89,3,0)*0.475*44/12</f>
        <v>1.3064395839928651</v>
      </c>
      <c r="CN110" s="22">
        <f t="shared" si="66"/>
        <v>52.063569320912926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-1.1368683772161603E-13</v>
      </c>
      <c r="CU110" s="17">
        <f>CT110*VLOOKUP('Données projet'!$B$13,Paramètres!$A$1:$I$89,3,0)*VLOOKUP('Données projet'!$B$13,Paramètres!$A$1:$I$89,5,0)</f>
        <v>-8.8675733422860506E-14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197.51452239559433</v>
      </c>
      <c r="CZ110" s="59">
        <f t="shared" si="96"/>
        <v>196.65166921588821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12.986644420900001</v>
      </c>
      <c r="DG110" s="21">
        <f>EXP(-LN(2)/25)*DG109+(1-EXP(-LN(2)/25))/(LN(2)/25)*Calculateur!DB110*Calculateur!DD110*VLOOKUP('Données projet'!$B$13,Paramètres!$A$1:$I$89,3,0)*0.475*44/12</f>
        <v>9.4626164818582197</v>
      </c>
      <c r="DH110" s="21">
        <f>EXP(-LN(2)/2)*DH109+(1-EXP(-LN(2)/2))/(LN(2)/2)*DB110*DE110*VLOOKUP('Données projet'!$B$13,Paramètres!$A$1:$I$89,3,0)*0.475*44/12</f>
        <v>7.4283919766356902E-5</v>
      </c>
      <c r="DI110" s="22">
        <f t="shared" si="69"/>
        <v>22.449335186677985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>
        <f>DO110*VLOOKUP('Données projet'!$B$14,Paramètres!$A$1:$I$89,3,0)*VLOOKUP('Données projet'!$B$14,Paramètres!$A$1:$I$89,5,0)</f>
        <v>0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239.26156489359892</v>
      </c>
      <c r="DU110" s="59">
        <f t="shared" si="98"/>
        <v>213.97034450798111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7.722789432459356</v>
      </c>
      <c r="EB110" s="21">
        <f>EXP(-LN(2)/25)*EB109+(1-EXP(-LN(2)/25))/(LN(2)/25)*Calculateur!DW110*Calculateur!DY110*VLOOKUP('Données projet'!$B$14,Paramètres!$A$1:$I$89,3,0)*0.475*44/12</f>
        <v>39.861026255392325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47.583815687851683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6.8811111111111085</v>
      </c>
      <c r="EJ110" s="12">
        <f>IF('Données projet'!$A$192&gt;35,EJ109+EI110-ER109,IF(A110&lt;'Données projet'!$A$192,$EG$205^A110,IF(A110='Données projet'!$A$192,'Données projet'!$B$192,EJ109+EI110-ER109)))</f>
        <v>252.61333333333314</v>
      </c>
      <c r="EK110" s="17">
        <f>EJ110*VLOOKUP('Données projet'!$B$15,Paramètres!$A$1:$I$89,3,0)*VLOOKUP('Données projet'!$B$15,Paramètres!$A$1:$I$89,5,0)</f>
        <v>252.20915199999982</v>
      </c>
      <c r="EL110" s="13">
        <f t="shared" si="99"/>
        <v>61.058755011694799</v>
      </c>
      <c r="EM110" s="20">
        <f t="shared" si="73"/>
        <v>545.60827137870149</v>
      </c>
      <c r="EN110" s="59">
        <f t="shared" si="74"/>
        <v>838.94160471203486</v>
      </c>
      <c r="EO110" s="59">
        <f ca="1">AVERAGE(OFFSET($EN$3,0,0,'Données projet'!$E$15+1,1))-AVERAGE(OFFSET($H$3,0,0,'Données projet'!$E$15+1,1))</f>
        <v>525.74725170626471</v>
      </c>
      <c r="EP110" s="59">
        <f t="shared" si="100"/>
        <v>259.19103598192197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15.808124803079238</v>
      </c>
      <c r="EW110" s="21">
        <f>EXP(-LN(2)/25)*EW109+(1-EXP(-LN(2)/25))/(LN(2)/25)*Calculateur!ER110*Calculateur!ET110*VLOOKUP('Données projet'!$B$15,Paramètres!$A$1:$I$89,3,0)*0.475*44/12</f>
        <v>26.914029233086765</v>
      </c>
      <c r="EX110" s="21">
        <f>EXP(-LN(2)/2)*EX109+(1-EXP(-LN(2)/2))/(LN(2)/2)*ER110*EU110*VLOOKUP('Données projet'!$B$15,Paramètres!$A$1:$I$89,3,0)*0.475*44/12</f>
        <v>1.376998147733703</v>
      </c>
      <c r="EY110" s="22">
        <f t="shared" si="75"/>
        <v>44.099152183899704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6.8811111111111085</v>
      </c>
      <c r="N111" s="13">
        <f>IF('Données projet'!$A$36&gt;35,N110+M111-V110,IF(A111&lt;'Données projet'!$A$36,$K$205^A111,IF(A111='Données projet'!$A$36,'Données projet'!$B$36,N110+M111-V110)))</f>
        <v>259.49444444444424</v>
      </c>
      <c r="O111" s="13">
        <f>N111*VLOOKUP('Données projet'!$B$9,Paramètres!$A$1:$I$89,3,0)*VLOOKUP('Données projet'!$B$9,Paramètres!$A$1:$I$89,5,0)</f>
        <v>263.12736666666649</v>
      </c>
      <c r="P111" s="13">
        <f t="shared" si="87"/>
        <v>63.388541553044227</v>
      </c>
      <c r="Q111" s="20">
        <f t="shared" si="107"/>
        <v>568.68187348266281</v>
      </c>
      <c r="R111" s="59">
        <f t="shared" si="55"/>
        <v>862.01520681599618</v>
      </c>
      <c r="S111" s="59">
        <f ca="1">AVERAGE(OFFSET($R$3,0,0,'Données projet'!$E$9+1,1))-AVERAGE(OFFSET($H$3,0,0,'Données projet'!$E$9+1,1))</f>
        <v>533.26035274112917</v>
      </c>
      <c r="T111" s="59">
        <f t="shared" si="88"/>
        <v>262.58149402282521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15.740295510158905</v>
      </c>
      <c r="AA111" s="21">
        <f>EXP(-LN(2)/25)*AA110+(1-EXP(-LN(2)/25))/(LN(2)/25)*Calculateur!V111*Calculateur!X111*VLOOKUP('Données projet'!$B$9,Paramètres!$A$1:$I$89,3,0)*0.475*44/12</f>
        <v>26.587095933491355</v>
      </c>
      <c r="AB111" s="21">
        <f>EXP(-LN(2)/2)*AB110+(1-EXP(-LN(2)/2))/(LN(2)/2)*V111*Y111*VLOOKUP('Données projet'!$B$9,Paramètres!$A$1:$I$89,3,0)*0.475*44/12</f>
        <v>0.98889855181793895</v>
      </c>
      <c r="AC111" s="22">
        <f t="shared" si="57"/>
        <v>43.316289995468196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7.5129999999999999</v>
      </c>
      <c r="AI111" s="13">
        <f>IF('Données projet'!$A$62&gt;35,AI110+AH111-AQ110,IF(A111&lt;'Données projet'!$A$62,$AF$205^A111,IF(A111='Données projet'!$A$62,'Données projet'!$B$62,AI110+AH111-AQ110)))</f>
        <v>318.48500000000041</v>
      </c>
      <c r="AJ111" s="13">
        <f>AI111*VLOOKUP('Données projet'!$B$10,Paramètres!$A$1:$I$89,3,0)*VLOOKUP('Données projet'!$B$10,Paramètres!$A$1:$I$89,5,0)</f>
        <v>288.16522800000035</v>
      </c>
      <c r="AK111" s="13">
        <f t="shared" si="89"/>
        <v>68.689658978808254</v>
      </c>
      <c r="AL111" s="20">
        <f t="shared" si="58"/>
        <v>621.52226148809166</v>
      </c>
      <c r="AM111" s="59">
        <f t="shared" si="59"/>
        <v>914.85559482142503</v>
      </c>
      <c r="AN111" s="59">
        <f ca="1">AVERAGE(OFFSET($AM$3,0,0,'Données projet'!$E$10+1,1))-AVERAGE(OFFSET($H$3,0,0,'Données projet'!$E$10+1,1))</f>
        <v>482.62991869403385</v>
      </c>
      <c r="AO111" s="59">
        <f t="shared" si="90"/>
        <v>310.43914804089906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26.541725044538676</v>
      </c>
      <c r="AV111" s="21">
        <f>EXP(-LN(2)/25)*AV110+(1-EXP(-LN(2)/25))/(LN(2)/25)*Calculateur!AQ111*Calculateur!AS111*VLOOKUP('Données projet'!$B$10,Paramètres!$A$1:$I$89,3,0)*0.475*44/12</f>
        <v>20.608880693149292</v>
      </c>
      <c r="AW111" s="21">
        <f>EXP(-LN(2)/2)*AW110+(1-EXP(-LN(2)/2))/(LN(2)/2)*AQ111*AT111*VLOOKUP('Données projet'!$B$10,Paramètres!$A$1:$I$89,3,0)*0.475*44/12</f>
        <v>0.878359881393598</v>
      </c>
      <c r="AX111" s="21">
        <f t="shared" si="60"/>
        <v>48.028965619081568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384.34044781465661</v>
      </c>
      <c r="BJ111" s="59">
        <f t="shared" si="92"/>
        <v>374.99493809709708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32.782915577502386</v>
      </c>
      <c r="BQ111" s="21">
        <f>EXP(-LN(2)/25)*BQ110+(1-EXP(-LN(2)/25))/(LN(2)/25)*Calculateur!BL111*Calculateur!BN111*VLOOKUP('Données projet'!$B$11,Paramètres!$A$1:$I$89,3,0)*0.475*44/12</f>
        <v>25.928811467164866</v>
      </c>
      <c r="BR111" s="21">
        <f>EXP(-LN(2)/2)*BR110+(1-EXP(-LN(2)/2))/(LN(2)/2)*BL111*BO111*VLOOKUP('Données projet'!$B$11,Paramètres!$A$1:$I$89,3,0)*0.475*44/12</f>
        <v>4.1834142198108899E-3</v>
      </c>
      <c r="BS111" s="22">
        <f t="shared" si="63"/>
        <v>58.715910458887066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7.5129999999999999</v>
      </c>
      <c r="BY111" s="12">
        <f>IF('Données projet'!$A$114&gt;35,BY110+BX111-CG110,IF(A111&lt;'Données projet'!$A$114,$BV$205^A111,IF(A111='Données projet'!$A$114,'Données projet'!$B$114,BY110+BX111-CG110)))</f>
        <v>318.48500000000041</v>
      </c>
      <c r="BZ111" s="13">
        <f>BY111*VLOOKUP('Données projet'!$B$12,Paramètres!$A$1:$I$89,3,0)*VLOOKUP('Données projet'!$B$12,Paramètres!$A$1:$I$89,5,0)</f>
        <v>303.07032600000042</v>
      </c>
      <c r="CA111" s="13">
        <f t="shared" si="93"/>
        <v>71.819739799428788</v>
      </c>
      <c r="CB111" s="20">
        <f t="shared" si="64"/>
        <v>652.93353126733916</v>
      </c>
      <c r="CC111" s="59">
        <f t="shared" si="65"/>
        <v>946.26686460067253</v>
      </c>
      <c r="CD111" s="59">
        <f ca="1">AVERAGE(OFFSET($CC$3,0,0,'Données projet'!$E$12+1,1))-AVERAGE(OFFSET($H$3,0,0,'Données projet'!$E$12+1,1))</f>
        <v>513.14430745499283</v>
      </c>
      <c r="CE111" s="59">
        <f t="shared" si="94"/>
        <v>324.2490378019823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27.914572891670002</v>
      </c>
      <c r="CL111" s="21">
        <f>EXP(-LN(2)/25)*CL110+(1-EXP(-LN(2)/25))/(LN(2)/25)*Calculateur!CG111*Calculateur!CI111*VLOOKUP('Données projet'!$B$12,Paramètres!$A$1:$I$89,3,0)*0.475*44/12</f>
        <v>21.67485728072597</v>
      </c>
      <c r="CM111" s="21">
        <f>EXP(-LN(2)/2)*CM110+(1-EXP(-LN(2)/2))/(LN(2)/2)*CG111*CJ111*VLOOKUP('Données projet'!$B$12,Paramètres!$A$1:$I$89,3,0)*0.475*44/12</f>
        <v>0.92379228905188704</v>
      </c>
      <c r="CN111" s="22">
        <f t="shared" si="66"/>
        <v>50.51322246144786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-1.1368683772161603E-13</v>
      </c>
      <c r="CU111" s="17">
        <f>CT111*VLOOKUP('Données projet'!$B$13,Paramètres!$A$1:$I$89,3,0)*VLOOKUP('Données projet'!$B$13,Paramètres!$A$1:$I$89,5,0)</f>
        <v>-8.8675733422860506E-14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197.51452239559433</v>
      </c>
      <c r="CZ111" s="59">
        <f t="shared" si="96"/>
        <v>196.65166921588821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12.731984244877108</v>
      </c>
      <c r="DG111" s="21">
        <f>EXP(-LN(2)/25)*DG110+(1-EXP(-LN(2)/25))/(LN(2)/25)*Calculateur!DB111*Calculateur!DD111*VLOOKUP('Données projet'!$B$13,Paramètres!$A$1:$I$89,3,0)*0.475*44/12</f>
        <v>9.2038607365444332</v>
      </c>
      <c r="DH111" s="21">
        <f>EXP(-LN(2)/2)*DH110+(1-EXP(-LN(2)/2))/(LN(2)/2)*DB111*DE111*VLOOKUP('Données projet'!$B$13,Paramètres!$A$1:$I$89,3,0)*0.475*44/12</f>
        <v>5.2526663399908383E-5</v>
      </c>
      <c r="DI111" s="22">
        <f t="shared" si="69"/>
        <v>21.935897508084938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>
        <f>DO111*VLOOKUP('Données projet'!$B$14,Paramètres!$A$1:$I$89,3,0)*VLOOKUP('Données projet'!$B$14,Paramètres!$A$1:$I$89,5,0)</f>
        <v>0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239.26156489359892</v>
      </c>
      <c r="DU111" s="59">
        <f t="shared" si="98"/>
        <v>213.97034450798111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7.5713502421252645</v>
      </c>
      <c r="EB111" s="21">
        <f>EXP(-LN(2)/25)*EB110+(1-EXP(-LN(2)/25))/(LN(2)/25)*Calculateur!DW111*Calculateur!DY111*VLOOKUP('Données projet'!$B$14,Paramètres!$A$1:$I$89,3,0)*0.475*44/12</f>
        <v>38.771024396238353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46.342374638363616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6.8811111111111085</v>
      </c>
      <c r="EJ111" s="12">
        <f>IF('Données projet'!$A$192&gt;35,EJ110+EI111-ER110,IF(A111&lt;'Données projet'!$A$192,$EG$205^A111,IF(A111='Données projet'!$A$192,'Données projet'!$B$192,EJ110+EI111-ER110)))</f>
        <v>259.49444444444424</v>
      </c>
      <c r="EK111" s="17">
        <f>EJ111*VLOOKUP('Données projet'!$B$15,Paramètres!$A$1:$I$89,3,0)*VLOOKUP('Données projet'!$B$15,Paramètres!$A$1:$I$89,5,0)</f>
        <v>259.07925333333316</v>
      </c>
      <c r="EL111" s="13">
        <f t="shared" si="99"/>
        <v>62.526071470117891</v>
      </c>
      <c r="EM111" s="20">
        <f t="shared" si="73"/>
        <v>560.12927403267713</v>
      </c>
      <c r="EN111" s="59">
        <f t="shared" si="74"/>
        <v>853.46260736601039</v>
      </c>
      <c r="EO111" s="59">
        <f ca="1">AVERAGE(OFFSET($EN$3,0,0,'Données projet'!$E$15+1,1))-AVERAGE(OFFSET($H$3,0,0,'Données projet'!$E$15+1,1))</f>
        <v>525.74725170626471</v>
      </c>
      <c r="EP111" s="59">
        <f t="shared" si="100"/>
        <v>259.19103598192197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15.498137117694915</v>
      </c>
      <c r="EW111" s="21">
        <f>EXP(-LN(2)/25)*EW110+(1-EXP(-LN(2)/25))/(LN(2)/25)*Calculateur!ER111*Calculateur!ET111*VLOOKUP('Données projet'!$B$15,Paramètres!$A$1:$I$89,3,0)*0.475*44/12</f>
        <v>26.178063688360723</v>
      </c>
      <c r="EX111" s="21">
        <f>EXP(-LN(2)/2)*EX110+(1-EXP(-LN(2)/2))/(LN(2)/2)*ER111*EU111*VLOOKUP('Données projet'!$B$15,Paramètres!$A$1:$I$89,3,0)*0.475*44/12</f>
        <v>0.97368472794381689</v>
      </c>
      <c r="EY111" s="22">
        <f t="shared" si="75"/>
        <v>42.649885533999459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6.8811111111111085</v>
      </c>
      <c r="N112" s="13">
        <f>IF('Données projet'!$A$36&gt;35,N111+M112-V111,IF(A112&lt;'Données projet'!$A$36,$K$205^A112,IF(A112='Données projet'!$A$36,'Données projet'!$B$36,N111+M112-V111)))</f>
        <v>266.37555555555537</v>
      </c>
      <c r="O112" s="13">
        <f>N112*VLOOKUP('Données projet'!$B$9,Paramètres!$A$1:$I$89,3,0)*VLOOKUP('Données projet'!$B$9,Paramètres!$A$1:$I$89,5,0)</f>
        <v>270.10481333333314</v>
      </c>
      <c r="P112" s="13">
        <f t="shared" si="87"/>
        <v>64.87151281999401</v>
      </c>
      <c r="Q112" s="20">
        <f t="shared" si="107"/>
        <v>583.41710138371138</v>
      </c>
      <c r="R112" s="59">
        <f t="shared" si="55"/>
        <v>876.75043471704475</v>
      </c>
      <c r="S112" s="59">
        <f ca="1">AVERAGE(OFFSET($R$3,0,0,'Données projet'!$E$9+1,1))-AVERAGE(OFFSET($H$3,0,0,'Données projet'!$E$9+1,1))</f>
        <v>533.26035274112917</v>
      </c>
      <c r="T112" s="59">
        <f t="shared" si="88"/>
        <v>262.58149402282521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15.431637915836966</v>
      </c>
      <c r="AA112" s="21">
        <f>EXP(-LN(2)/25)*AA111+(1-EXP(-LN(2)/25))/(LN(2)/25)*Calculateur!V112*Calculateur!X112*VLOOKUP('Données projet'!$B$9,Paramètres!$A$1:$I$89,3,0)*0.475*44/12</f>
        <v>25.860070397035425</v>
      </c>
      <c r="AB112" s="21">
        <f>EXP(-LN(2)/2)*AB111+(1-EXP(-LN(2)/2))/(LN(2)/2)*V112*Y112*VLOOKUP('Données projet'!$B$9,Paramètres!$A$1:$I$89,3,0)*0.475*44/12</f>
        <v>0.69925687189602115</v>
      </c>
      <c r="AC112" s="22">
        <f t="shared" si="57"/>
        <v>41.990965184768406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7.5129999999999999</v>
      </c>
      <c r="AI112" s="13">
        <f>IF('Données projet'!$A$62&gt;35,AI111+AH112-AQ111,IF(A112&lt;'Données projet'!$A$62,$AF$205^A112,IF(A112='Données projet'!$A$62,'Données projet'!$B$62,AI111+AH112-AQ111)))</f>
        <v>325.99800000000039</v>
      </c>
      <c r="AJ112" s="13">
        <f>AI112*VLOOKUP('Données projet'!$B$10,Paramètres!$A$1:$I$89,3,0)*VLOOKUP('Données projet'!$B$10,Paramètres!$A$1:$I$89,5,0)</f>
        <v>294.96299040000036</v>
      </c>
      <c r="AK112" s="13">
        <f t="shared" si="89"/>
        <v>70.119474431072192</v>
      </c>
      <c r="AL112" s="20">
        <f t="shared" si="58"/>
        <v>635.85195958078464</v>
      </c>
      <c r="AM112" s="59">
        <f t="shared" si="59"/>
        <v>929.18529291411801</v>
      </c>
      <c r="AN112" s="59">
        <f ca="1">AVERAGE(OFFSET($AM$3,0,0,'Données projet'!$E$10+1,1))-AVERAGE(OFFSET($H$3,0,0,'Données projet'!$E$10+1,1))</f>
        <v>482.62991869403385</v>
      </c>
      <c r="AO112" s="59">
        <f t="shared" si="90"/>
        <v>310.43914804089906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26.021258005269033</v>
      </c>
      <c r="AV112" s="21">
        <f>EXP(-LN(2)/25)*AV111+(1-EXP(-LN(2)/25))/(LN(2)/25)*Calculateur!AQ112*Calculateur!AS112*VLOOKUP('Données projet'!$B$10,Paramètres!$A$1:$I$89,3,0)*0.475*44/12</f>
        <v>20.04532976682119</v>
      </c>
      <c r="AW112" s="21">
        <f>EXP(-LN(2)/2)*AW111+(1-EXP(-LN(2)/2))/(LN(2)/2)*AQ112*AT112*VLOOKUP('Données projet'!$B$10,Paramètres!$A$1:$I$89,3,0)*0.475*44/12</f>
        <v>0.62109422845562479</v>
      </c>
      <c r="AX112" s="21">
        <f t="shared" si="60"/>
        <v>46.687682000545848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384.34044781465661</v>
      </c>
      <c r="BJ112" s="59">
        <f t="shared" si="92"/>
        <v>374.99493809709708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32.140062598631665</v>
      </c>
      <c r="BQ112" s="21">
        <f>EXP(-LN(2)/25)*BQ111+(1-EXP(-LN(2)/25))/(LN(2)/25)*Calculateur!BL112*Calculateur!BN112*VLOOKUP('Données projet'!$B$11,Paramètres!$A$1:$I$89,3,0)*0.475*44/12</f>
        <v>25.219786754058308</v>
      </c>
      <c r="BR112" s="21">
        <f>EXP(-LN(2)/2)*BR111+(1-EXP(-LN(2)/2))/(LN(2)/2)*BL112*BO112*VLOOKUP('Données projet'!$B$11,Paramètres!$A$1:$I$89,3,0)*0.475*44/12</f>
        <v>2.9581205633405104E-3</v>
      </c>
      <c r="BS112" s="22">
        <f t="shared" si="63"/>
        <v>57.362807473253319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7.5129999999999999</v>
      </c>
      <c r="BY112" s="12">
        <f>IF('Données projet'!$A$114&gt;35,BY111+BX112-CG111,IF(A112&lt;'Données projet'!$A$114,$BV$205^A112,IF(A112='Données projet'!$A$114,'Données projet'!$B$114,BY111+BX112-CG111)))</f>
        <v>325.99800000000039</v>
      </c>
      <c r="BZ112" s="13">
        <f>BY112*VLOOKUP('Données projet'!$B$12,Paramètres!$A$1:$I$89,3,0)*VLOOKUP('Données projet'!$B$12,Paramètres!$A$1:$I$89,5,0)</f>
        <v>310.21969680000035</v>
      </c>
      <c r="CA112" s="13">
        <f t="shared" si="93"/>
        <v>73.31470971585361</v>
      </c>
      <c r="CB112" s="20">
        <f t="shared" si="64"/>
        <v>667.98909134844564</v>
      </c>
      <c r="CC112" s="59">
        <f t="shared" si="65"/>
        <v>961.32242468177901</v>
      </c>
      <c r="CD112" s="59">
        <f ca="1">AVERAGE(OFFSET($CC$3,0,0,'Données projet'!$E$12+1,1))-AVERAGE(OFFSET($H$3,0,0,'Données projet'!$E$12+1,1))</f>
        <v>513.14430745499283</v>
      </c>
      <c r="CE112" s="59">
        <f t="shared" si="94"/>
        <v>324.2490378019823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27.367185143472618</v>
      </c>
      <c r="CL112" s="21">
        <f>EXP(-LN(2)/25)*CL111+(1-EXP(-LN(2)/25))/(LN(2)/25)*Calculateur!CG112*Calculateur!CI112*VLOOKUP('Données projet'!$B$12,Paramètres!$A$1:$I$89,3,0)*0.475*44/12</f>
        <v>21.082157168553312</v>
      </c>
      <c r="CM112" s="21">
        <f>EXP(-LN(2)/2)*CM111+(1-EXP(-LN(2)/2))/(LN(2)/2)*CG112*CJ112*VLOOKUP('Données projet'!$B$12,Paramètres!$A$1:$I$89,3,0)*0.475*44/12</f>
        <v>0.65321979199643254</v>
      </c>
      <c r="CN112" s="22">
        <f t="shared" si="66"/>
        <v>49.102562104022368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-1.1368683772161603E-13</v>
      </c>
      <c r="CU112" s="17">
        <f>CT112*VLOOKUP('Données projet'!$B$13,Paramètres!$A$1:$I$89,3,0)*VLOOKUP('Données projet'!$B$13,Paramètres!$A$1:$I$89,5,0)</f>
        <v>-8.8675733422860506E-14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197.51452239559433</v>
      </c>
      <c r="CZ112" s="59">
        <f t="shared" si="96"/>
        <v>196.65166921588821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12.482317799578654</v>
      </c>
      <c r="DG112" s="21">
        <f>EXP(-LN(2)/25)*DG111+(1-EXP(-LN(2)/25))/(LN(2)/25)*Calculateur!DB112*Calculateur!DD112*VLOOKUP('Données projet'!$B$13,Paramètres!$A$1:$I$89,3,0)*0.475*44/12</f>
        <v>8.9521806806936244</v>
      </c>
      <c r="DH112" s="21">
        <f>EXP(-LN(2)/2)*DH111+(1-EXP(-LN(2)/2))/(LN(2)/2)*DB112*DE112*VLOOKUP('Données projet'!$B$13,Paramètres!$A$1:$I$89,3,0)*0.475*44/12</f>
        <v>3.7141959883178451E-5</v>
      </c>
      <c r="DI112" s="22">
        <f t="shared" si="69"/>
        <v>21.434535622232161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>
        <f>DO112*VLOOKUP('Données projet'!$B$14,Paramètres!$A$1:$I$89,3,0)*VLOOKUP('Données projet'!$B$14,Paramètres!$A$1:$I$89,5,0)</f>
        <v>0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239.26156489359892</v>
      </c>
      <c r="DU112" s="59">
        <f t="shared" si="98"/>
        <v>213.97034450798111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7.4228806819448394</v>
      </c>
      <c r="EB112" s="21">
        <f>EXP(-LN(2)/25)*EB111+(1-EXP(-LN(2)/25))/(LN(2)/25)*Calculateur!DW112*Calculateur!DY112*VLOOKUP('Données projet'!$B$14,Paramètres!$A$1:$I$89,3,0)*0.475*44/12</f>
        <v>37.710828695243656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45.133709377188495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6.8811111111111085</v>
      </c>
      <c r="EJ112" s="12">
        <f>IF('Données projet'!$A$192&gt;35,EJ111+EI112-ER111,IF(A112&lt;'Données projet'!$A$192,$EG$205^A112,IF(A112='Données projet'!$A$192,'Données projet'!$B$192,EJ111+EI112-ER111)))</f>
        <v>266.37555555555537</v>
      </c>
      <c r="EK112" s="17">
        <f>EJ112*VLOOKUP('Données projet'!$B$15,Paramètres!$A$1:$I$89,3,0)*VLOOKUP('Données projet'!$B$15,Paramètres!$A$1:$I$89,5,0)</f>
        <v>265.94935466666647</v>
      </c>
      <c r="EL112" s="13">
        <f t="shared" si="99"/>
        <v>63.988865299312351</v>
      </c>
      <c r="EM112" s="20">
        <f t="shared" si="73"/>
        <v>574.64239977407976</v>
      </c>
      <c r="EN112" s="59">
        <f t="shared" si="74"/>
        <v>867.97573310741313</v>
      </c>
      <c r="EO112" s="59">
        <f ca="1">AVERAGE(OFFSET($EN$3,0,0,'Données projet'!$E$15+1,1))-AVERAGE(OFFSET($H$3,0,0,'Données projet'!$E$15+1,1))</f>
        <v>525.74725170626471</v>
      </c>
      <c r="EP112" s="59">
        <f t="shared" si="100"/>
        <v>259.19103598192197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15.194228101747161</v>
      </c>
      <c r="EW112" s="21">
        <f>EXP(-LN(2)/25)*EW111+(1-EXP(-LN(2)/25))/(LN(2)/25)*Calculateur!ER112*Calculateur!ET112*VLOOKUP('Données projet'!$B$15,Paramètres!$A$1:$I$89,3,0)*0.475*44/12</f>
        <v>25.462223160157961</v>
      </c>
      <c r="EX112" s="21">
        <f>EXP(-LN(2)/2)*EX111+(1-EXP(-LN(2)/2))/(LN(2)/2)*ER112*EU112*VLOOKUP('Données projet'!$B$15,Paramètres!$A$1:$I$89,3,0)*0.475*44/12</f>
        <v>0.68849907386685161</v>
      </c>
      <c r="EY112" s="22">
        <f t="shared" si="75"/>
        <v>41.344950335771969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6.8811111111111085</v>
      </c>
      <c r="N113" s="13">
        <f>IF('Données projet'!$A$36&gt;35,N112+M113-V112,IF(A113&lt;'Données projet'!$A$36,$K$205^A113,IF(A113='Données projet'!$A$36,'Données projet'!$B$36,N112+M113-V112)))</f>
        <v>273.25666666666649</v>
      </c>
      <c r="O113" s="13">
        <f>N113*VLOOKUP('Données projet'!$B$9,Paramètres!$A$1:$I$89,3,0)*VLOOKUP('Données projet'!$B$9,Paramètres!$A$1:$I$89,5,0)</f>
        <v>277.08225999999985</v>
      </c>
      <c r="P113" s="13">
        <f t="shared" si="87"/>
        <v>66.350031133112068</v>
      </c>
      <c r="Q113" s="20">
        <f t="shared" si="107"/>
        <v>598.14457372350319</v>
      </c>
      <c r="R113" s="59">
        <f t="shared" si="55"/>
        <v>891.47790705683656</v>
      </c>
      <c r="S113" s="59">
        <f ca="1">AVERAGE(OFFSET($R$3,0,0,'Données projet'!$E$9+1,1))-AVERAGE(OFFSET($H$3,0,0,'Données projet'!$E$9+1,1))</f>
        <v>533.26035274112917</v>
      </c>
      <c r="T113" s="59">
        <f t="shared" si="88"/>
        <v>262.58149402282521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15.129032908677138</v>
      </c>
      <c r="AA113" s="21">
        <f>EXP(-LN(2)/25)*AA112+(1-EXP(-LN(2)/25))/(LN(2)/25)*Calculateur!V113*Calculateur!X113*VLOOKUP('Données projet'!$B$9,Paramètres!$A$1:$I$89,3,0)*0.475*44/12</f>
        <v>25.152925412106494</v>
      </c>
      <c r="AB113" s="21">
        <f>EXP(-LN(2)/2)*AB112+(1-EXP(-LN(2)/2))/(LN(2)/2)*V113*Y113*VLOOKUP('Données projet'!$B$9,Paramètres!$A$1:$I$89,3,0)*0.475*44/12</f>
        <v>0.49444927590896953</v>
      </c>
      <c r="AC113" s="22">
        <f t="shared" si="57"/>
        <v>40.7764075966926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7.5129999999999999</v>
      </c>
      <c r="AI113" s="13">
        <f>IF('Données projet'!$A$62&gt;35,AI112+AH113-AQ112,IF(A113&lt;'Données projet'!$A$62,$AF$205^A113,IF(A113='Données projet'!$A$62,'Données projet'!$B$62,AI112+AH113-AQ112)))</f>
        <v>333.51100000000037</v>
      </c>
      <c r="AJ113" s="13">
        <f>AI113*VLOOKUP('Données projet'!$B$10,Paramètres!$A$1:$I$89,3,0)*VLOOKUP('Données projet'!$B$10,Paramètres!$A$1:$I$89,5,0)</f>
        <v>301.76075280000032</v>
      </c>
      <c r="AK113" s="13">
        <f t="shared" si="89"/>
        <v>71.545459081640786</v>
      </c>
      <c r="AL113" s="20">
        <f t="shared" si="58"/>
        <v>650.17498569385816</v>
      </c>
      <c r="AM113" s="59">
        <f t="shared" si="59"/>
        <v>943.50831902719142</v>
      </c>
      <c r="AN113" s="59">
        <f ca="1">AVERAGE(OFFSET($AM$3,0,0,'Données projet'!$E$10+1,1))-AVERAGE(OFFSET($H$3,0,0,'Données projet'!$E$10+1,1))</f>
        <v>482.62991869403385</v>
      </c>
      <c r="AO113" s="59">
        <f t="shared" si="90"/>
        <v>310.43914804089906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25.510997007185921</v>
      </c>
      <c r="AV113" s="21">
        <f>EXP(-LN(2)/25)*AV112+(1-EXP(-LN(2)/25))/(LN(2)/25)*Calculateur!AQ113*Calculateur!AS113*VLOOKUP('Données projet'!$B$10,Paramètres!$A$1:$I$89,3,0)*0.475*44/12</f>
        <v>19.497189170209385</v>
      </c>
      <c r="AW113" s="21">
        <f>EXP(-LN(2)/2)*AW112+(1-EXP(-LN(2)/2))/(LN(2)/2)*AQ113*AT113*VLOOKUP('Données projet'!$B$10,Paramètres!$A$1:$I$89,3,0)*0.475*44/12</f>
        <v>0.43917994069679905</v>
      </c>
      <c r="AX113" s="21">
        <f t="shared" si="60"/>
        <v>45.447366118092098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384.34044781465661</v>
      </c>
      <c r="BJ113" s="59">
        <f t="shared" si="92"/>
        <v>374.99493809709708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31.509815574574997</v>
      </c>
      <c r="BQ113" s="21">
        <f>EXP(-LN(2)/25)*BQ112+(1-EXP(-LN(2)/25))/(LN(2)/25)*Calculateur!BL113*Calculateur!BN113*VLOOKUP('Données projet'!$B$11,Paramètres!$A$1:$I$89,3,0)*0.475*44/12</f>
        <v>24.53015035901764</v>
      </c>
      <c r="BR113" s="21">
        <f>EXP(-LN(2)/2)*BR112+(1-EXP(-LN(2)/2))/(LN(2)/2)*BL113*BO113*VLOOKUP('Données projet'!$B$11,Paramètres!$A$1:$I$89,3,0)*0.475*44/12</f>
        <v>2.0917071099054449E-3</v>
      </c>
      <c r="BS113" s="22">
        <f t="shared" si="63"/>
        <v>56.042057640702545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7.5129999999999999</v>
      </c>
      <c r="BY113" s="12">
        <f>IF('Données projet'!$A$114&gt;35,BY112+BX113-CG112,IF(A113&lt;'Données projet'!$A$114,$BV$205^A113,IF(A113='Données projet'!$A$114,'Données projet'!$B$114,BY112+BX113-CG112)))</f>
        <v>333.51100000000037</v>
      </c>
      <c r="BZ113" s="13">
        <f>BY113*VLOOKUP('Données projet'!$B$12,Paramètres!$A$1:$I$89,3,0)*VLOOKUP('Données projet'!$B$12,Paramètres!$A$1:$I$89,5,0)</f>
        <v>317.36906760000039</v>
      </c>
      <c r="CA113" s="13">
        <f t="shared" si="93"/>
        <v>74.805674266913854</v>
      </c>
      <c r="CB113" s="20">
        <f t="shared" si="64"/>
        <v>683.03767541820889</v>
      </c>
      <c r="CC113" s="59">
        <f t="shared" si="65"/>
        <v>976.37100875154215</v>
      </c>
      <c r="CD113" s="59">
        <f ca="1">AVERAGE(OFFSET($CC$3,0,0,'Données projet'!$E$12+1,1))-AVERAGE(OFFSET($H$3,0,0,'Données projet'!$E$12+1,1))</f>
        <v>513.14430745499283</v>
      </c>
      <c r="CE113" s="59">
        <f t="shared" si="94"/>
        <v>324.2490378019823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26.830531335143828</v>
      </c>
      <c r="CL113" s="21">
        <f>EXP(-LN(2)/25)*CL112+(1-EXP(-LN(2)/25))/(LN(2)/25)*Calculateur!CG113*Calculateur!CI113*VLOOKUP('Données projet'!$B$12,Paramètres!$A$1:$I$89,3,0)*0.475*44/12</f>
        <v>20.505664472116759</v>
      </c>
      <c r="CM113" s="21">
        <f>EXP(-LN(2)/2)*CM112+(1-EXP(-LN(2)/2))/(LN(2)/2)*CG113*CJ113*VLOOKUP('Données projet'!$B$12,Paramètres!$A$1:$I$89,3,0)*0.475*44/12</f>
        <v>0.46189614452594352</v>
      </c>
      <c r="CN113" s="22">
        <f t="shared" si="66"/>
        <v>47.798091951786532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-1.1368683772161603E-13</v>
      </c>
      <c r="CU113" s="17">
        <f>CT113*VLOOKUP('Données projet'!$B$13,Paramètres!$A$1:$I$89,3,0)*VLOOKUP('Données projet'!$B$13,Paramètres!$A$1:$I$89,5,0)</f>
        <v>-8.8675733422860506E-14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197.51452239559433</v>
      </c>
      <c r="CZ113" s="59">
        <f t="shared" si="96"/>
        <v>196.65166921588821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12.237547160991008</v>
      </c>
      <c r="DG113" s="21">
        <f>EXP(-LN(2)/25)*DG112+(1-EXP(-LN(2)/25))/(LN(2)/25)*Calculateur!DB113*Calculateur!DD113*VLOOKUP('Données projet'!$B$13,Paramètres!$A$1:$I$89,3,0)*0.475*44/12</f>
        <v>8.7073828292053363</v>
      </c>
      <c r="DH113" s="21">
        <f>EXP(-LN(2)/2)*DH112+(1-EXP(-LN(2)/2))/(LN(2)/2)*DB113*DE113*VLOOKUP('Données projet'!$B$13,Paramètres!$A$1:$I$89,3,0)*0.475*44/12</f>
        <v>2.6263331699954192E-5</v>
      </c>
      <c r="DI113" s="22">
        <f t="shared" si="69"/>
        <v>20.944956253528044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>
        <f>DO113*VLOOKUP('Données projet'!$B$14,Paramètres!$A$1:$I$89,3,0)*VLOOKUP('Données projet'!$B$14,Paramètres!$A$1:$I$89,5,0)</f>
        <v>0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239.26156489359892</v>
      </c>
      <c r="DU113" s="59">
        <f t="shared" si="98"/>
        <v>213.97034450798111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7.2773225192820625</v>
      </c>
      <c r="EB113" s="21">
        <f>EXP(-LN(2)/25)*EB112+(1-EXP(-LN(2)/25))/(LN(2)/25)*Calculateur!DW113*Calculateur!DY113*VLOOKUP('Données projet'!$B$14,Paramètres!$A$1:$I$89,3,0)*0.475*44/12</f>
        <v>36.679624101445924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43.95694662072799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6.8811111111111085</v>
      </c>
      <c r="EJ113" s="12">
        <f>IF('Données projet'!$A$192&gt;35,EJ112+EI113-ER112,IF(A113&lt;'Données projet'!$A$192,$EG$205^A113,IF(A113='Données projet'!$A$192,'Données projet'!$B$192,EJ112+EI113-ER112)))</f>
        <v>273.25666666666649</v>
      </c>
      <c r="EK113" s="17">
        <f>EJ113*VLOOKUP('Données projet'!$B$15,Paramètres!$A$1:$I$89,3,0)*VLOOKUP('Données projet'!$B$15,Paramètres!$A$1:$I$89,5,0)</f>
        <v>272.81945599999983</v>
      </c>
      <c r="EL113" s="13">
        <f t="shared" si="99"/>
        <v>65.447266761957493</v>
      </c>
      <c r="EM113" s="20">
        <f t="shared" si="73"/>
        <v>589.14787547707567</v>
      </c>
      <c r="EN113" s="59">
        <f t="shared" si="74"/>
        <v>882.48120881040904</v>
      </c>
      <c r="EO113" s="59">
        <f ca="1">AVERAGE(OFFSET($EN$3,0,0,'Données projet'!$E$15+1,1))-AVERAGE(OFFSET($H$3,0,0,'Données projet'!$E$15+1,1))</f>
        <v>525.74725170626471</v>
      </c>
      <c r="EP113" s="59">
        <f t="shared" si="100"/>
        <v>259.19103598192197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14.896278556235945</v>
      </c>
      <c r="EW113" s="21">
        <f>EXP(-LN(2)/25)*EW112+(1-EXP(-LN(2)/25))/(LN(2)/25)*Calculateur!ER113*Calculateur!ET113*VLOOKUP('Données projet'!$B$15,Paramètres!$A$1:$I$89,3,0)*0.475*44/12</f>
        <v>24.765957328843321</v>
      </c>
      <c r="EX113" s="21">
        <f>EXP(-LN(2)/2)*EX112+(1-EXP(-LN(2)/2))/(LN(2)/2)*ER113*EU113*VLOOKUP('Données projet'!$B$15,Paramètres!$A$1:$I$89,3,0)*0.475*44/12</f>
        <v>0.4868423639719085</v>
      </c>
      <c r="EY113" s="22">
        <f t="shared" si="75"/>
        <v>40.149078249051179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6.8811111111111085</v>
      </c>
      <c r="N114" s="13">
        <f>IF('Données projet'!$A$36&gt;35,N113+M114-V113,IF(A114&lt;'Données projet'!$A$36,$K$205^A114,IF(A114='Données projet'!$A$36,'Données projet'!$B$36,N113+M114-V113)))</f>
        <v>280.13777777777761</v>
      </c>
      <c r="O114" s="13">
        <f>N114*VLOOKUP('Données projet'!$B$9,Paramètres!$A$1:$I$89,3,0)*VLOOKUP('Données projet'!$B$9,Paramètres!$A$1:$I$89,5,0)</f>
        <v>284.0597066666665</v>
      </c>
      <c r="P114" s="13">
        <f t="shared" si="87"/>
        <v>67.824221521859315</v>
      </c>
      <c r="Q114" s="20">
        <f t="shared" si="107"/>
        <v>612.86450826168243</v>
      </c>
      <c r="R114" s="59">
        <f t="shared" si="55"/>
        <v>906.19784159501569</v>
      </c>
      <c r="S114" s="59">
        <f ca="1">AVERAGE(OFFSET($R$3,0,0,'Données projet'!$E$9+1,1))-AVERAGE(OFFSET($H$3,0,0,'Données projet'!$E$9+1,1))</f>
        <v>533.26035274112917</v>
      </c>
      <c r="T114" s="59">
        <f t="shared" si="88"/>
        <v>262.58149402282521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14.832361801136884</v>
      </c>
      <c r="AA114" s="21">
        <f>EXP(-LN(2)/25)*AA113+(1-EXP(-LN(2)/25))/(LN(2)/25)*Calculateur!V114*Calculateur!X114*VLOOKUP('Données projet'!$B$9,Paramètres!$A$1:$I$89,3,0)*0.475*44/12</f>
        <v>24.465117343977582</v>
      </c>
      <c r="AB114" s="21">
        <f>EXP(-LN(2)/2)*AB113+(1-EXP(-LN(2)/2))/(LN(2)/2)*V114*Y114*VLOOKUP('Données projet'!$B$9,Paramètres!$A$1:$I$89,3,0)*0.475*44/12</f>
        <v>0.34962843594801063</v>
      </c>
      <c r="AC114" s="22">
        <f t="shared" si="57"/>
        <v>39.647107581062478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7.5129999999999999</v>
      </c>
      <c r="AI114" s="13">
        <f>IF('Données projet'!$A$62&gt;35,AI113+AH114-AQ113,IF(A114&lt;'Données projet'!$A$62,$AF$205^A114,IF(A114='Données projet'!$A$62,'Données projet'!$B$62,AI113+AH114-AQ113)))</f>
        <v>341.02400000000034</v>
      </c>
      <c r="AJ114" s="13">
        <f>AI114*VLOOKUP('Données projet'!$B$10,Paramètres!$A$1:$I$89,3,0)*VLOOKUP('Données projet'!$B$10,Paramètres!$A$1:$I$89,5,0)</f>
        <v>308.55851520000027</v>
      </c>
      <c r="AK114" s="13">
        <f t="shared" si="89"/>
        <v>72.967709162109642</v>
      </c>
      <c r="AL114" s="20">
        <f t="shared" si="58"/>
        <v>664.4915074306748</v>
      </c>
      <c r="AM114" s="59">
        <f t="shared" si="59"/>
        <v>957.82484076400806</v>
      </c>
      <c r="AN114" s="59">
        <f ca="1">AVERAGE(OFFSET($AM$3,0,0,'Données projet'!$E$10+1,1))-AVERAGE(OFFSET($H$3,0,0,'Données projet'!$E$10+1,1))</f>
        <v>482.62991869403385</v>
      </c>
      <c r="AO114" s="59">
        <f t="shared" si="90"/>
        <v>310.43914804089906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25.01074191604674</v>
      </c>
      <c r="AV114" s="21">
        <f>EXP(-LN(2)/25)*AV113+(1-EXP(-LN(2)/25))/(LN(2)/25)*Calculateur!AQ114*Calculateur!AS114*VLOOKUP('Données projet'!$B$10,Paramètres!$A$1:$I$89,3,0)*0.475*44/12</f>
        <v>18.964037507037393</v>
      </c>
      <c r="AW114" s="21">
        <f>EXP(-LN(2)/2)*AW113+(1-EXP(-LN(2)/2))/(LN(2)/2)*AQ114*AT114*VLOOKUP('Données projet'!$B$10,Paramètres!$A$1:$I$89,3,0)*0.475*44/12</f>
        <v>0.31054711422781245</v>
      </c>
      <c r="AX114" s="21">
        <f t="shared" si="60"/>
        <v>44.285326537311938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384.34044781465661</v>
      </c>
      <c r="BJ114" s="59">
        <f t="shared" si="92"/>
        <v>374.99493809709708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30.891927310247354</v>
      </c>
      <c r="BQ114" s="21">
        <f>EXP(-LN(2)/25)*BQ113+(1-EXP(-LN(2)/25))/(LN(2)/25)*Calculateur!BL114*Calculateur!BN114*VLOOKUP('Données projet'!$B$11,Paramètres!$A$1:$I$89,3,0)*0.475*44/12</f>
        <v>23.859372107465759</v>
      </c>
      <c r="BR114" s="21">
        <f>EXP(-LN(2)/2)*BR113+(1-EXP(-LN(2)/2))/(LN(2)/2)*BL114*BO114*VLOOKUP('Données projet'!$B$11,Paramètres!$A$1:$I$89,3,0)*0.475*44/12</f>
        <v>1.4790602816702552E-3</v>
      </c>
      <c r="BS114" s="22">
        <f t="shared" si="63"/>
        <v>54.752778477994781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7.5129999999999999</v>
      </c>
      <c r="BY114" s="12">
        <f>IF('Données projet'!$A$114&gt;35,BY113+BX114-CG113,IF(A114&lt;'Données projet'!$A$114,$BV$205^A114,IF(A114='Données projet'!$A$114,'Données projet'!$B$114,BY113+BX114-CG113)))</f>
        <v>341.02400000000034</v>
      </c>
      <c r="BZ114" s="13">
        <f>BY114*VLOOKUP('Données projet'!$B$12,Paramètres!$A$1:$I$89,3,0)*VLOOKUP('Données projet'!$B$12,Paramètres!$A$1:$I$89,5,0)</f>
        <v>324.51843840000032</v>
      </c>
      <c r="CA114" s="13">
        <f t="shared" si="93"/>
        <v>76.292734069328986</v>
      </c>
      <c r="CB114" s="20">
        <f t="shared" si="64"/>
        <v>698.07945871741515</v>
      </c>
      <c r="CC114" s="59">
        <f t="shared" si="65"/>
        <v>991.41279205074852</v>
      </c>
      <c r="CD114" s="59">
        <f ca="1">AVERAGE(OFFSET($CC$3,0,0,'Données projet'!$E$12+1,1))-AVERAGE(OFFSET($H$3,0,0,'Données projet'!$E$12+1,1))</f>
        <v>513.14430745499283</v>
      </c>
      <c r="CE114" s="59">
        <f t="shared" si="94"/>
        <v>324.2490378019823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26.304400980669861</v>
      </c>
      <c r="CL114" s="21">
        <f>EXP(-LN(2)/25)*CL113+(1-EXP(-LN(2)/25))/(LN(2)/25)*Calculateur!CG114*Calculateur!CI114*VLOOKUP('Données projet'!$B$12,Paramètres!$A$1:$I$89,3,0)*0.475*44/12</f>
        <v>19.9449359987807</v>
      </c>
      <c r="CM114" s="21">
        <f>EXP(-LN(2)/2)*CM113+(1-EXP(-LN(2)/2))/(LN(2)/2)*CG114*CJ114*VLOOKUP('Données projet'!$B$12,Paramètres!$A$1:$I$89,3,0)*0.475*44/12</f>
        <v>0.32660989599821627</v>
      </c>
      <c r="CN114" s="22">
        <f t="shared" si="66"/>
        <v>46.575946875448778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-1.1368683772161603E-13</v>
      </c>
      <c r="CU114" s="17">
        <f>CT114*VLOOKUP('Données projet'!$B$13,Paramètres!$A$1:$I$89,3,0)*VLOOKUP('Données projet'!$B$13,Paramètres!$A$1:$I$89,5,0)</f>
        <v>-8.8675733422860506E-14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197.51452239559433</v>
      </c>
      <c r="CZ114" s="59">
        <f t="shared" si="96"/>
        <v>196.65166921588821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11.997576325330717</v>
      </c>
      <c r="DG114" s="21">
        <f>EXP(-LN(2)/25)*DG113+(1-EXP(-LN(2)/25))/(LN(2)/25)*Calculateur!DB114*Calculateur!DD114*VLOOKUP('Données projet'!$B$13,Paramètres!$A$1:$I$89,3,0)*0.475*44/12</f>
        <v>8.4692789878393544</v>
      </c>
      <c r="DH114" s="21">
        <f>EXP(-LN(2)/2)*DH113+(1-EXP(-LN(2)/2))/(LN(2)/2)*DB114*DE114*VLOOKUP('Données projet'!$B$13,Paramètres!$A$1:$I$89,3,0)*0.475*44/12</f>
        <v>1.8570979941589225E-5</v>
      </c>
      <c r="DI114" s="22">
        <f t="shared" si="69"/>
        <v>20.466873884150015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>
        <f>DO114*VLOOKUP('Données projet'!$B$14,Paramètres!$A$1:$I$89,3,0)*VLOOKUP('Données projet'!$B$14,Paramètres!$A$1:$I$89,5,0)</f>
        <v>0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239.26156489359892</v>
      </c>
      <c r="DU114" s="59">
        <f t="shared" si="98"/>
        <v>213.97034450798111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7.13461866340739</v>
      </c>
      <c r="EB114" s="21">
        <f>EXP(-LN(2)/25)*EB113+(1-EXP(-LN(2)/25))/(LN(2)/25)*Calculateur!DW114*Calculateur!DY114*VLOOKUP('Données projet'!$B$14,Paramètres!$A$1:$I$89,3,0)*0.475*44/12</f>
        <v>35.676617851494285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42.811236514901672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6.8811111111111085</v>
      </c>
      <c r="EJ114" s="12">
        <f>IF('Données projet'!$A$192&gt;35,EJ113+EI114-ER113,IF(A114&lt;'Données projet'!$A$192,$EG$205^A114,IF(A114='Données projet'!$A$192,'Données projet'!$B$192,EJ113+EI114-ER113)))</f>
        <v>280.13777777777761</v>
      </c>
      <c r="EK114" s="17">
        <f>EJ114*VLOOKUP('Données projet'!$B$15,Paramètres!$A$1:$I$89,3,0)*VLOOKUP('Données projet'!$B$15,Paramètres!$A$1:$I$89,5,0)</f>
        <v>279.6895573333332</v>
      </c>
      <c r="EL114" s="13">
        <f t="shared" si="99"/>
        <v>66.901399186352108</v>
      </c>
      <c r="EM114" s="20">
        <f t="shared" si="73"/>
        <v>603.64591593845182</v>
      </c>
      <c r="EN114" s="59">
        <f t="shared" si="74"/>
        <v>896.97924927178519</v>
      </c>
      <c r="EO114" s="59">
        <f ca="1">AVERAGE(OFFSET($EN$3,0,0,'Données projet'!$E$15+1,1))-AVERAGE(OFFSET($H$3,0,0,'Données projet'!$E$15+1,1))</f>
        <v>525.74725170626471</v>
      </c>
      <c r="EP114" s="59">
        <f t="shared" si="100"/>
        <v>259.19103598192197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14.604171619580926</v>
      </c>
      <c r="EW114" s="21">
        <f>EXP(-LN(2)/25)*EW113+(1-EXP(-LN(2)/25))/(LN(2)/25)*Calculateur!ER114*Calculateur!ET114*VLOOKUP('Données projet'!$B$15,Paramètres!$A$1:$I$89,3,0)*0.475*44/12</f>
        <v>24.088730923301007</v>
      </c>
      <c r="EX114" s="21">
        <f>EXP(-LN(2)/2)*EX113+(1-EXP(-LN(2)/2))/(LN(2)/2)*ER114*EU114*VLOOKUP('Données projet'!$B$15,Paramètres!$A$1:$I$89,3,0)*0.475*44/12</f>
        <v>0.34424953693342586</v>
      </c>
      <c r="EY114" s="22">
        <f t="shared" si="75"/>
        <v>39.037152079815357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6.8811111111111085</v>
      </c>
      <c r="N115" s="13">
        <f>IF('Données projet'!$A$36&gt;35,N114+M115-V114,IF(A115&lt;'Données projet'!$A$36,$K$205^A115,IF(A115='Données projet'!$A$36,'Données projet'!$B$36,N114+M115-V114)))</f>
        <v>287.01888888888874</v>
      </c>
      <c r="O115" s="13">
        <f>N115*VLOOKUP('Données projet'!$B$9,Paramètres!$A$1:$I$89,3,0)*VLOOKUP('Données projet'!$B$9,Paramètres!$A$1:$I$89,5,0)</f>
        <v>291.03715333333321</v>
      </c>
      <c r="P115" s="13">
        <f t="shared" si="87"/>
        <v>69.294202523257042</v>
      </c>
      <c r="Q115" s="20">
        <f t="shared" si="107"/>
        <v>627.57711145022802</v>
      </c>
      <c r="R115" s="59">
        <f t="shared" si="55"/>
        <v>920.91044478356139</v>
      </c>
      <c r="S115" s="59">
        <f ca="1">AVERAGE(OFFSET($R$3,0,0,'Données projet'!$E$9+1,1))-AVERAGE(OFFSET($H$3,0,0,'Données projet'!$E$9+1,1))</f>
        <v>533.26035274112917</v>
      </c>
      <c r="T115" s="59">
        <f t="shared" si="88"/>
        <v>262.58149402282521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14.541508233063986</v>
      </c>
      <c r="AA115" s="21">
        <f>EXP(-LN(2)/25)*AA114+(1-EXP(-LN(2)/25))/(LN(2)/25)*Calculateur!V115*Calculateur!X115*VLOOKUP('Données projet'!$B$9,Paramètres!$A$1:$I$89,3,0)*0.475*44/12</f>
        <v>23.79611742364191</v>
      </c>
      <c r="AB115" s="21">
        <f>EXP(-LN(2)/2)*AB114+(1-EXP(-LN(2)/2))/(LN(2)/2)*V115*Y115*VLOOKUP('Données projet'!$B$9,Paramètres!$A$1:$I$89,3,0)*0.475*44/12</f>
        <v>0.24722463795448482</v>
      </c>
      <c r="AC115" s="22">
        <f t="shared" si="57"/>
        <v>38.584850294660377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7.5129999999999999</v>
      </c>
      <c r="AI115" s="13">
        <f>IF('Données projet'!$A$62&gt;35,AI114+AH115-AQ114,IF(A115&lt;'Données projet'!$A$62,$AF$205^A115,IF(A115='Données projet'!$A$62,'Données projet'!$B$62,AI114+AH115-AQ114)))</f>
        <v>348.53700000000032</v>
      </c>
      <c r="AJ115" s="13">
        <f>AI115*VLOOKUP('Données projet'!$B$10,Paramètres!$A$1:$I$89,3,0)*VLOOKUP('Données projet'!$B$10,Paramètres!$A$1:$I$89,5,0)</f>
        <v>315.35627760000028</v>
      </c>
      <c r="AK115" s="13">
        <f t="shared" si="89"/>
        <v>74.386316421858538</v>
      </c>
      <c r="AL115" s="20">
        <f t="shared" si="58"/>
        <v>678.80168458807077</v>
      </c>
      <c r="AM115" s="59">
        <f t="shared" si="59"/>
        <v>972.13501792140414</v>
      </c>
      <c r="AN115" s="59">
        <f ca="1">AVERAGE(OFFSET($AM$3,0,0,'Données projet'!$E$10+1,1))-AVERAGE(OFFSET($H$3,0,0,'Données projet'!$E$10+1,1))</f>
        <v>482.62991869403385</v>
      </c>
      <c r="AO115" s="59">
        <f t="shared" si="90"/>
        <v>310.43914804089906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24.52029652211932</v>
      </c>
      <c r="AV115" s="21">
        <f>EXP(-LN(2)/25)*AV114+(1-EXP(-LN(2)/25))/(LN(2)/25)*Calculateur!AQ115*Calculateur!AS115*VLOOKUP('Données projet'!$B$10,Paramètres!$A$1:$I$89,3,0)*0.475*44/12</f>
        <v>18.445464904132066</v>
      </c>
      <c r="AW115" s="21">
        <f>EXP(-LN(2)/2)*AW114+(1-EXP(-LN(2)/2))/(LN(2)/2)*AQ115*AT115*VLOOKUP('Données projet'!$B$10,Paramètres!$A$1:$I$89,3,0)*0.475*44/12</f>
        <v>0.21958997034839958</v>
      </c>
      <c r="AX115" s="21">
        <f t="shared" si="60"/>
        <v>43.185351396599792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384.34044781465661</v>
      </c>
      <c r="BJ115" s="59">
        <f t="shared" si="92"/>
        <v>374.99493809709708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30.286155457908549</v>
      </c>
      <c r="BQ115" s="21">
        <f>EXP(-LN(2)/25)*BQ114+(1-EXP(-LN(2)/25))/(LN(2)/25)*Calculateur!BL115*Calculateur!BN115*VLOOKUP('Données projet'!$B$11,Paramètres!$A$1:$I$89,3,0)*0.475*44/12</f>
        <v>23.206936322477262</v>
      </c>
      <c r="BR115" s="21">
        <f>EXP(-LN(2)/2)*BR114+(1-EXP(-LN(2)/2))/(LN(2)/2)*BL115*BO115*VLOOKUP('Données projet'!$B$11,Paramètres!$A$1:$I$89,3,0)*0.475*44/12</f>
        <v>1.0458535549527225E-3</v>
      </c>
      <c r="BS115" s="22">
        <f t="shared" si="63"/>
        <v>53.494137633940767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7.5129999999999999</v>
      </c>
      <c r="BY115" s="12">
        <f>IF('Données projet'!$A$114&gt;35,BY114+BX115-CG114,IF(A115&lt;'Données projet'!$A$114,$BV$205^A115,IF(A115='Données projet'!$A$114,'Données projet'!$B$114,BY114+BX115-CG114)))</f>
        <v>348.53700000000032</v>
      </c>
      <c r="BZ115" s="13">
        <f>BY115*VLOOKUP('Données projet'!$B$12,Paramètres!$A$1:$I$89,3,0)*VLOOKUP('Données projet'!$B$12,Paramètres!$A$1:$I$89,5,0)</f>
        <v>331.66780920000031</v>
      </c>
      <c r="CA115" s="13">
        <f t="shared" si="93"/>
        <v>77.775985053355271</v>
      </c>
      <c r="CB115" s="20">
        <f t="shared" si="64"/>
        <v>713.11460832459431</v>
      </c>
      <c r="CC115" s="59">
        <f t="shared" si="65"/>
        <v>1006.4479416579277</v>
      </c>
      <c r="CD115" s="59">
        <f ca="1">AVERAGE(OFFSET($CC$3,0,0,'Données projet'!$E$12+1,1))-AVERAGE(OFFSET($H$3,0,0,'Données projet'!$E$12+1,1))</f>
        <v>513.14430745499283</v>
      </c>
      <c r="CE115" s="59">
        <f t="shared" si="94"/>
        <v>324.2490378019823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25.788587721539301</v>
      </c>
      <c r="CL115" s="21">
        <f>EXP(-LN(2)/25)*CL114+(1-EXP(-LN(2)/25))/(LN(2)/25)*Calculateur!CG115*Calculateur!CI115*VLOOKUP('Données projet'!$B$12,Paramètres!$A$1:$I$89,3,0)*0.475*44/12</f>
        <v>19.399540675035443</v>
      </c>
      <c r="CM115" s="21">
        <f>EXP(-LN(2)/2)*CM114+(1-EXP(-LN(2)/2))/(LN(2)/2)*CG115*CJ115*VLOOKUP('Données projet'!$B$12,Paramètres!$A$1:$I$89,3,0)*0.475*44/12</f>
        <v>0.23094807226297176</v>
      </c>
      <c r="CN115" s="22">
        <f t="shared" si="66"/>
        <v>45.419076468837709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-1.1368683772161603E-13</v>
      </c>
      <c r="CU115" s="17">
        <f>CT115*VLOOKUP('Données projet'!$B$13,Paramètres!$A$1:$I$89,3,0)*VLOOKUP('Données projet'!$B$13,Paramètres!$A$1:$I$89,5,0)</f>
        <v>-8.8675733422860506E-14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197.51452239559433</v>
      </c>
      <c r="CZ115" s="59">
        <f t="shared" si="96"/>
        <v>196.65166921588821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11.762311171389968</v>
      </c>
      <c r="DG115" s="21">
        <f>EXP(-LN(2)/25)*DG114+(1-EXP(-LN(2)/25))/(LN(2)/25)*Calculateur!DB115*Calculateur!DD115*VLOOKUP('Données projet'!$B$13,Paramètres!$A$1:$I$89,3,0)*0.475*44/12</f>
        <v>8.2376861085368613</v>
      </c>
      <c r="DH115" s="21">
        <f>EXP(-LN(2)/2)*DH114+(1-EXP(-LN(2)/2))/(LN(2)/2)*DB115*DE115*VLOOKUP('Données projet'!$B$13,Paramètres!$A$1:$I$89,3,0)*0.475*44/12</f>
        <v>1.3131665849977096E-5</v>
      </c>
      <c r="DI115" s="22">
        <f t="shared" si="69"/>
        <v>20.00001041159268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>
        <f>DO115*VLOOKUP('Données projet'!$B$14,Paramètres!$A$1:$I$89,3,0)*VLOOKUP('Données projet'!$B$14,Paramètres!$A$1:$I$89,5,0)</f>
        <v>0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239.26156489359892</v>
      </c>
      <c r="DU115" s="59">
        <f t="shared" si="98"/>
        <v>213.97034450798111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6.9947131431056624</v>
      </c>
      <c r="EB115" s="21">
        <f>EXP(-LN(2)/25)*EB114+(1-EXP(-LN(2)/25))/(LN(2)/25)*Calculateur!DW115*Calculateur!DY115*VLOOKUP('Données projet'!$B$14,Paramètres!$A$1:$I$89,3,0)*0.475*44/12</f>
        <v>34.701038860193378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41.695752003299042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6.8811111111111085</v>
      </c>
      <c r="EJ115" s="12">
        <f>IF('Données projet'!$A$192&gt;35,EJ114+EI115-ER114,IF(A115&lt;'Données projet'!$A$192,$EG$205^A115,IF(A115='Données projet'!$A$192,'Données projet'!$B$192,EJ114+EI115-ER114)))</f>
        <v>287.01888888888874</v>
      </c>
      <c r="EK115" s="17">
        <f>EJ115*VLOOKUP('Données projet'!$B$15,Paramètres!$A$1:$I$89,3,0)*VLOOKUP('Données projet'!$B$15,Paramètres!$A$1:$I$89,5,0)</f>
        <v>286.55965866666656</v>
      </c>
      <c r="EL115" s="13">
        <f t="shared" si="99"/>
        <v>68.351379496692516</v>
      </c>
      <c r="EM115" s="20">
        <f t="shared" si="73"/>
        <v>618.13672480118373</v>
      </c>
      <c r="EN115" s="59">
        <f t="shared" si="74"/>
        <v>911.4700581345171</v>
      </c>
      <c r="EO115" s="59">
        <f ca="1">AVERAGE(OFFSET($EN$3,0,0,'Données projet'!$E$15+1,1))-AVERAGE(OFFSET($H$3,0,0,'Données projet'!$E$15+1,1))</f>
        <v>525.74725170626471</v>
      </c>
      <c r="EP115" s="59">
        <f t="shared" si="100"/>
        <v>259.19103598192197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14.317792721786073</v>
      </c>
      <c r="EW115" s="21">
        <f>EXP(-LN(2)/25)*EW114+(1-EXP(-LN(2)/25))/(LN(2)/25)*Calculateur!ER115*Calculateur!ET115*VLOOKUP('Données projet'!$B$15,Paramètres!$A$1:$I$89,3,0)*0.475*44/12</f>
        <v>23.430023309432038</v>
      </c>
      <c r="EX115" s="21">
        <f>EXP(-LN(2)/2)*EX114+(1-EXP(-LN(2)/2))/(LN(2)/2)*ER115*EU115*VLOOKUP('Données projet'!$B$15,Paramètres!$A$1:$I$89,3,0)*0.475*44/12</f>
        <v>0.24342118198595428</v>
      </c>
      <c r="EY115" s="22">
        <f t="shared" si="75"/>
        <v>37.991237213204059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>
        <f>VLOOKUP(A116,'Données projet'!$A$35:$I$55,2,0)</f>
        <v>293.89999999999998</v>
      </c>
      <c r="L116" s="12">
        <f>VLOOKUP(A116,'Données projet'!$A$35:$I$55,9,0)</f>
        <v>6.8811111111111085</v>
      </c>
      <c r="M116" s="12">
        <f t="array" ref="M116">INDEX(L:L,MIN(IF(ISNUMBER(L116:L312),ROW(L116:L312),"")))</f>
        <v>6.8811111111111085</v>
      </c>
      <c r="N116" s="13">
        <f>IF('Données projet'!$A$36&gt;35,N115+M116-V115,IF(A116&lt;'Données projet'!$A$36,$K$205^A116,IF(A116='Données projet'!$A$36,'Données projet'!$B$36,N115+M116-V115)))</f>
        <v>293.89999999999986</v>
      </c>
      <c r="O116" s="13">
        <f>N116*VLOOKUP('Données projet'!$B$9,Paramètres!$A$1:$I$89,3,0)*VLOOKUP('Données projet'!$B$9,Paramètres!$A$1:$I$89,5,0)</f>
        <v>298.01459999999986</v>
      </c>
      <c r="P116" s="13">
        <f t="shared" si="87"/>
        <v>70.760086666473185</v>
      </c>
      <c r="Q116" s="20">
        <f t="shared" si="107"/>
        <v>642.2825792774405</v>
      </c>
      <c r="R116" s="59">
        <f t="shared" si="55"/>
        <v>935.61591261077388</v>
      </c>
      <c r="S116" s="59">
        <f ca="1">AVERAGE(OFFSET($R$3,0,0,'Données projet'!$E$9+1,1))-AVERAGE(OFFSET($H$3,0,0,'Données projet'!$E$9+1,1))</f>
        <v>533.26035274112917</v>
      </c>
      <c r="T116" s="59">
        <f t="shared" si="88"/>
        <v>262.58149402282521</v>
      </c>
      <c r="U116" s="15">
        <f>IF(ISNA(VLOOKUP(A116,'Données projet'!$A$35:$I$55,3,0)),0,VLOOKUP(A116,'Données projet'!$A$35:$I$55,3,0))</f>
        <v>7</v>
      </c>
      <c r="V116" s="15">
        <f>IF(ISNA(VLOOKUP(A116,'Données projet'!$A$35:$I$55,4,0)),0,VLOOKUP(A116,'Données projet'!$A$35:$I$55,4,0))</f>
        <v>41.639999999999986</v>
      </c>
      <c r="W116" s="16">
        <f>IF(ISNA(VLOOKUP(A116,'Données projet'!$A$35:$I$55,5,0)),0%,VLOOKUP(A116,'Données projet'!$A$35:$I$55,5,0)*VLOOKUP('Données projet'!$B$9,Paramètres!$A$1:$I$89,7,0))</f>
        <v>0.15049999999999999</v>
      </c>
      <c r="X116" s="16">
        <f>IF(ISNA(VLOOKUP(A116,'Données projet'!$A$35:$I$55,6,0)),0%,VLOOKUP(A116,'Données projet'!$A$35:$I$55,6,0)*VLOOKUP('Données projet'!$B$9,Paramètres!$A$1:$I$89,7,0))</f>
        <v>8.6000000000000007E-2</v>
      </c>
      <c r="Y116" s="16">
        <f>IF(ISNA(VLOOKUP(A116,'Données projet'!$A$35:$I$55,7,0)),0%,VLOOKUP(A116,'Données projet'!$A$35:$I$55,7,0))</f>
        <v>0.1</v>
      </c>
      <c r="Z116" s="21">
        <f>EXP(-LN(2)/35)*Z115+(1-EXP(-LN(2)/35))/(LN(2)/35)*V116*W116*VLOOKUP('Données projet'!$B$9,Paramètres!$A$1:$I$89,3,0)*0.475*44/12</f>
        <v>21.281130984296624</v>
      </c>
      <c r="AA116" s="21">
        <f>EXP(-LN(2)/25)*AA115+(1-EXP(-LN(2)/25))/(LN(2)/25)*Calculateur!V116*Calculateur!X116*VLOOKUP('Données projet'!$B$9,Paramètres!$A$1:$I$89,3,0)*0.475*44/12</f>
        <v>27.143761998936192</v>
      </c>
      <c r="AB116" s="21">
        <f>EXP(-LN(2)/2)*AB115+(1-EXP(-LN(2)/2))/(LN(2)/2)*V116*Y116*VLOOKUP('Données projet'!$B$9,Paramètres!$A$1:$I$89,3,0)*0.475*44/12</f>
        <v>4.1586641354046767</v>
      </c>
      <c r="AC116" s="22">
        <f t="shared" si="57"/>
        <v>52.583557118637493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356.05</v>
      </c>
      <c r="AG116" s="12">
        <f>VLOOKUP(A116,'Données projet'!$A$61:$I$81,9,0)</f>
        <v>7.5129999999999999</v>
      </c>
      <c r="AH116" s="12">
        <f t="array" ref="AH116">INDEX(AG:AG,MIN(IF(ISNUMBER(AG116:AG312),ROW(AG116:AG312),"")))</f>
        <v>7.5129999999999999</v>
      </c>
      <c r="AI116" s="13">
        <f>IF('Données projet'!$A$62&gt;35,AI115+AH116-AQ115,IF(A116&lt;'Données projet'!$A$62,$AF$205^A116,IF(A116='Données projet'!$A$62,'Données projet'!$B$62,AI115+AH116-AQ115)))</f>
        <v>356.0500000000003</v>
      </c>
      <c r="AJ116" s="13">
        <f>AI116*VLOOKUP('Données projet'!$B$10,Paramètres!$A$1:$I$89,3,0)*VLOOKUP('Données projet'!$B$10,Paramètres!$A$1:$I$89,5,0)</f>
        <v>322.15404000000024</v>
      </c>
      <c r="AK116" s="13">
        <f t="shared" si="89"/>
        <v>75.801368428867207</v>
      </c>
      <c r="AL116" s="20">
        <f t="shared" si="58"/>
        <v>693.1056696802774</v>
      </c>
      <c r="AM116" s="59">
        <f t="shared" si="59"/>
        <v>986.43900301361077</v>
      </c>
      <c r="AN116" s="59">
        <f ca="1">AVERAGE(OFFSET($AM$3,0,0,'Données projet'!$E$10+1,1))-AVERAGE(OFFSET($H$3,0,0,'Données projet'!$E$10+1,1))</f>
        <v>482.62991869403385</v>
      </c>
      <c r="AO116" s="59">
        <f t="shared" si="90"/>
        <v>310.43914804089906</v>
      </c>
      <c r="AP116" s="15">
        <f>IF(ISNA(VLOOKUP(A116,'Données projet'!$A$61:$I$81,3,0)),0,VLOOKUP(A116,'Données projet'!$A$61:$I$81,3,0))</f>
        <v>9</v>
      </c>
      <c r="AQ116" s="15">
        <f>IF(ISNA(VLOOKUP(A116,'Données projet'!$A$61:$I$81,4,0)),0,VLOOKUP(A116,'Données projet'!$A$61:$I$81,4,0))</f>
        <v>45.660000000000025</v>
      </c>
      <c r="AR116" s="16">
        <f>IF(ISNA(VLOOKUP(A116,'Données projet'!$A$61:$I$81,5,0)),0%,VLOOKUP(A116,'Données projet'!$A$61:$I$81,5,0)*VLOOKUP('Données projet'!$B$10,Paramètres!$A$1:$I$89,7,0))</f>
        <v>0.215</v>
      </c>
      <c r="AS116" s="16">
        <f>IF(ISNA(VLOOKUP(A116,'Données projet'!$A$61:$I$81,6,0)),0%,VLOOKUP(A116,'Données projet'!$A$61:$I$81,6,0)*VLOOKUP('Données projet'!$B$10,Paramètres!$A$1:$I$89,7,0))</f>
        <v>8.6000000000000007E-2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33.858622417588407</v>
      </c>
      <c r="AV116" s="21">
        <f>EXP(-LN(2)/25)*AV115+(1-EXP(-LN(2)/25))/(LN(2)/25)*Calculateur!AQ116*Calculateur!AS116*VLOOKUP('Données projet'!$B$10,Paramètres!$A$1:$I$89,3,0)*0.475*44/12</f>
        <v>21.853269577865508</v>
      </c>
      <c r="AW116" s="21">
        <f>EXP(-LN(2)/2)*AW115+(1-EXP(-LN(2)/2))/(LN(2)/2)*AQ116*AT116*VLOOKUP('Données projet'!$B$10,Paramètres!$A$1:$I$89,3,0)*0.475*44/12</f>
        <v>0.15527355711390625</v>
      </c>
      <c r="AX116" s="21">
        <f t="shared" si="60"/>
        <v>55.867165552567819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384.34044781465661</v>
      </c>
      <c r="BJ116" s="59">
        <f t="shared" si="92"/>
        <v>374.99493809709708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29.69226242210976</v>
      </c>
      <c r="BQ116" s="21">
        <f>EXP(-LN(2)/25)*BQ115+(1-EXP(-LN(2)/25))/(LN(2)/25)*Calculateur!BL116*Calculateur!BN116*VLOOKUP('Données projet'!$B$11,Paramètres!$A$1:$I$89,3,0)*0.475*44/12</f>
        <v>22.572341428339382</v>
      </c>
      <c r="BR116" s="21">
        <f>EXP(-LN(2)/2)*BR115+(1-EXP(-LN(2)/2))/(LN(2)/2)*BL116*BO116*VLOOKUP('Données projet'!$B$11,Paramètres!$A$1:$I$89,3,0)*0.475*44/12</f>
        <v>7.3953014083512759E-4</v>
      </c>
      <c r="BS116" s="22">
        <f t="shared" si="63"/>
        <v>52.265343380589975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>
        <f>VLOOKUP(A116,'Données projet'!$A$113:$I$133,2,0)</f>
        <v>356.05</v>
      </c>
      <c r="BW116" s="12">
        <f>VLOOKUP(A116,'Données projet'!$A$113:$I$133,9,0)</f>
        <v>7.5129999999999999</v>
      </c>
      <c r="BX116" s="12">
        <f t="array" ref="BX116">INDEX(BW:BW,MIN(IF(ISNUMBER(BW116:BW312),ROW(BW116:BW312),"")))</f>
        <v>7.5129999999999999</v>
      </c>
      <c r="BY116" s="12">
        <f>IF('Données projet'!$A$114&gt;35,BY115+BX116-CG115,IF(A116&lt;'Données projet'!$A$114,$BV$205^A116,IF(A116='Données projet'!$A$114,'Données projet'!$B$114,BY115+BX116-CG115)))</f>
        <v>356.0500000000003</v>
      </c>
      <c r="BZ116" s="13">
        <f>BY116*VLOOKUP('Données projet'!$B$12,Paramètres!$A$1:$I$89,3,0)*VLOOKUP('Données projet'!$B$12,Paramètres!$A$1:$I$89,5,0)</f>
        <v>338.81718000000029</v>
      </c>
      <c r="CA116" s="13">
        <f t="shared" si="93"/>
        <v>79.255518777308922</v>
      </c>
      <c r="CB116" s="20">
        <f t="shared" si="64"/>
        <v>728.14328370381338</v>
      </c>
      <c r="CC116" s="59">
        <f t="shared" si="65"/>
        <v>1021.4766170371468</v>
      </c>
      <c r="CD116" s="59">
        <f ca="1">AVERAGE(OFFSET($CC$3,0,0,'Données projet'!$E$12+1,1))-AVERAGE(OFFSET($H$3,0,0,'Données projet'!$E$12+1,1))</f>
        <v>513.14430745499283</v>
      </c>
      <c r="CE116" s="59">
        <f t="shared" si="94"/>
        <v>324.2490378019823</v>
      </c>
      <c r="CF116" s="15">
        <f>IF(ISNA(VLOOKUP(A116,'Données projet'!$A$113:$I$133,3,0)),0,VLOOKUP(A116,'Données projet'!$A$113:$I$133,3,0))</f>
        <v>9</v>
      </c>
      <c r="CG116" s="15">
        <f>IF(ISNA(VLOOKUP(A116,'Données projet'!$A$113:$I$133,4,0)),0,VLOOKUP(A116,'Données projet'!$A$113:$I$133,4,0))</f>
        <v>45.660000000000025</v>
      </c>
      <c r="CH116" s="16">
        <f>IF(ISNA(VLOOKUP(A116,'Données projet'!$A$113:$I$133,5,0)),0%,VLOOKUP(A116,'Données projet'!$A$113:$I$133,5,0)*VLOOKUP('Données projet'!$B$12,Paramètres!$A$1:$I$89,7,0))</f>
        <v>0.215</v>
      </c>
      <c r="CI116" s="16">
        <f>IF(ISNA(VLOOKUP(A116,'Données projet'!$A$113:$I$133,6,0)),0%,VLOOKUP(A116,'Données projet'!$A$113:$I$133,6,0)*VLOOKUP('Données projet'!$B$12,Paramètres!$A$1:$I$89,7,0))</f>
        <v>8.6000000000000007E-2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35.60993047367058</v>
      </c>
      <c r="CL116" s="21">
        <f>EXP(-LN(2)/25)*CL115+(1-EXP(-LN(2)/25))/(LN(2)/25)*Calculateur!CG116*Calculateur!CI116*VLOOKUP('Données projet'!$B$12,Paramètres!$A$1:$I$89,3,0)*0.475*44/12</f>
        <v>22.983611107755095</v>
      </c>
      <c r="CM116" s="21">
        <f>EXP(-LN(2)/2)*CM115+(1-EXP(-LN(2)/2))/(LN(2)/2)*CG116*CJ116*VLOOKUP('Données projet'!$B$12,Paramètres!$A$1:$I$89,3,0)*0.475*44/12</f>
        <v>0.16330494799910814</v>
      </c>
      <c r="CN116" s="22">
        <f t="shared" si="66"/>
        <v>58.756846529424784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-1.1368683772161603E-13</v>
      </c>
      <c r="CU116" s="17">
        <f>CT116*VLOOKUP('Données projet'!$B$13,Paramètres!$A$1:$I$89,3,0)*VLOOKUP('Données projet'!$B$13,Paramètres!$A$1:$I$89,5,0)</f>
        <v>-8.8675733422860506E-14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197.51452239559433</v>
      </c>
      <c r="CZ116" s="59">
        <f t="shared" si="96"/>
        <v>196.65166921588821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11.531659423620422</v>
      </c>
      <c r="DG116" s="21">
        <f>EXP(-LN(2)/25)*DG115+(1-EXP(-LN(2)/25))/(LN(2)/25)*Calculateur!DB116*Calculateur!DD116*VLOOKUP('Données projet'!$B$13,Paramètres!$A$1:$I$89,3,0)*0.475*44/12</f>
        <v>8.0124261486978359</v>
      </c>
      <c r="DH116" s="21">
        <f>EXP(-LN(2)/2)*DH115+(1-EXP(-LN(2)/2))/(LN(2)/2)*DB116*DE116*VLOOKUP('Données projet'!$B$13,Paramètres!$A$1:$I$89,3,0)*0.475*44/12</f>
        <v>9.2854899707946127E-6</v>
      </c>
      <c r="DI116" s="22">
        <f t="shared" si="69"/>
        <v>19.544094857808229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>
        <f>DO116*VLOOKUP('Données projet'!$B$14,Paramètres!$A$1:$I$89,3,0)*VLOOKUP('Données projet'!$B$14,Paramètres!$A$1:$I$89,5,0)</f>
        <v>0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239.26156489359892</v>
      </c>
      <c r="DU116" s="59">
        <f t="shared" si="98"/>
        <v>213.97034450798111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6.8575510847231103</v>
      </c>
      <c r="EB116" s="21">
        <f>EXP(-LN(2)/25)*EB115+(1-EXP(-LN(2)/25))/(LN(2)/25)*Calculateur!DW116*Calculateur!DY116*VLOOKUP('Données projet'!$B$14,Paramètres!$A$1:$I$89,3,0)*0.475*44/12</f>
        <v>33.75213712771307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40.609688212436183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>
        <f>VLOOKUP(A116,'Données projet'!$A$191:$I$211,2,0)</f>
        <v>293.89999999999998</v>
      </c>
      <c r="EH116" s="12">
        <f>VLOOKUP(A116,'Données projet'!$A$191:$I$211,9,0)</f>
        <v>6.8811111111111085</v>
      </c>
      <c r="EI116" s="12">
        <f t="array" ref="EI116">INDEX(EH:EH,MIN(IF(ISNUMBER(EH116:EH312),ROW(EH116:EH312),"")))</f>
        <v>6.8811111111111085</v>
      </c>
      <c r="EJ116" s="12">
        <f>IF('Données projet'!$A$192&gt;35,EJ115+EI116-ER115,IF(A116&lt;'Données projet'!$A$192,$EG$205^A116,IF(A116='Données projet'!$A$192,'Données projet'!$B$192,EJ115+EI116-ER115)))</f>
        <v>293.89999999999986</v>
      </c>
      <c r="EK116" s="17">
        <f>EJ116*VLOOKUP('Données projet'!$B$15,Paramètres!$A$1:$I$89,3,0)*VLOOKUP('Données projet'!$B$15,Paramètres!$A$1:$I$89,5,0)</f>
        <v>293.42975999999987</v>
      </c>
      <c r="EL116" s="13">
        <f t="shared" si="99"/>
        <v>69.797318691064845</v>
      </c>
      <c r="EM116" s="20">
        <f t="shared" si="73"/>
        <v>632.62049538693771</v>
      </c>
      <c r="EN116" s="59">
        <f t="shared" si="74"/>
        <v>925.95382872027108</v>
      </c>
      <c r="EO116" s="59">
        <f ca="1">AVERAGE(OFFSET($EN$3,0,0,'Données projet'!$E$15+1,1))-AVERAGE(OFFSET($H$3,0,0,'Données projet'!$E$15+1,1))</f>
        <v>525.74725170626471</v>
      </c>
      <c r="EP116" s="59">
        <f t="shared" si="100"/>
        <v>259.19103598192197</v>
      </c>
      <c r="EQ116" s="15">
        <f>IF(ISNA(VLOOKUP(A116,'Données projet'!$A$191:$I$211,3,0)),0,VLOOKUP(A116,'Données projet'!$A$191:$I$211,3,0))</f>
        <v>7</v>
      </c>
      <c r="ER116" s="15">
        <f>IF(ISNA(VLOOKUP(A116,'Données projet'!$A$191:$I$211,4,0)),0,VLOOKUP(A116,'Données projet'!$A$191:$I$211,4,0))</f>
        <v>41.639999999999986</v>
      </c>
      <c r="ES116" s="16">
        <f>IF(ISNA(VLOOKUP(A116,'Données projet'!$A$191:$I$211,5,0)),0%,VLOOKUP(A116,'Données projet'!$A$191:$I$211,5,0)*VLOOKUP('Données projet'!$B$15,Paramètres!$A$1:$I$89,7,0))</f>
        <v>0.15049999999999999</v>
      </c>
      <c r="ET116" s="16">
        <f>IF(ISNA(VLOOKUP(A116,'Données projet'!$A$191:$I$211,6,0)),0%,VLOOKUP(A116,'Données projet'!$A$191:$I$211,6,0)*VLOOKUP('Données projet'!$B$15,Paramètres!$A$1:$I$89,7,0))</f>
        <v>8.6000000000000007E-2</v>
      </c>
      <c r="EU116" s="16">
        <f>IF(ISNA(VLOOKUP(A116,'Données projet'!$A$191:$I$211,7,0)),0%,VLOOKUP(A116,'Données projet'!$A$191:$I$211,7,0))</f>
        <v>0.1</v>
      </c>
      <c r="EV116" s="21">
        <f>EXP(-LN(2)/35)*EV115+(1-EXP(-LN(2)/35))/(LN(2)/35)*ER116*ES116*VLOOKUP('Données projet'!$B$15,Paramètres!$A$1:$I$89,3,0)*0.475*44/12</f>
        <v>20.953728969153595</v>
      </c>
      <c r="EW116" s="21">
        <f>EXP(-LN(2)/25)*EW115+(1-EXP(-LN(2)/25))/(LN(2)/25)*Calculateur!ER116*Calculateur!ET116*VLOOKUP('Données projet'!$B$15,Paramètres!$A$1:$I$89,3,0)*0.475*44/12</f>
        <v>26.72616566049102</v>
      </c>
      <c r="EX116" s="21">
        <f>EXP(-LN(2)/2)*EX115+(1-EXP(-LN(2)/2))/(LN(2)/2)*ER116*EU116*VLOOKUP('Données projet'!$B$15,Paramètres!$A$1:$I$89,3,0)*0.475*44/12</f>
        <v>4.0946846871676819</v>
      </c>
      <c r="EY116" s="22">
        <f t="shared" si="75"/>
        <v>51.774579316812293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7.0011111111111104</v>
      </c>
      <c r="N117" s="13">
        <f>IF('Données projet'!$A$36&gt;35,N116+M117-V116,IF(A117&lt;'Données projet'!$A$36,$K$205^A117,IF(A117='Données projet'!$A$36,'Données projet'!$B$36,N116+M117-V116)))</f>
        <v>259.26111111111101</v>
      </c>
      <c r="O117" s="13">
        <f>N117*VLOOKUP('Données projet'!$B$9,Paramètres!$A$1:$I$89,3,0)*VLOOKUP('Données projet'!$B$9,Paramètres!$A$1:$I$89,5,0)</f>
        <v>262.89076666666659</v>
      </c>
      <c r="P117" s="13">
        <f t="shared" si="87"/>
        <v>63.338175499546331</v>
      </c>
      <c r="Q117" s="20">
        <f t="shared" si="107"/>
        <v>568.18207427282073</v>
      </c>
      <c r="R117" s="59">
        <f t="shared" si="55"/>
        <v>861.51540760615399</v>
      </c>
      <c r="S117" s="59">
        <f ca="1">AVERAGE(OFFSET($R$3,0,0,'Données projet'!$E$9+1,1))-AVERAGE(OFFSET($H$3,0,0,'Données projet'!$E$9+1,1))</f>
        <v>533.26035274112917</v>
      </c>
      <c r="T117" s="59">
        <f t="shared" si="88"/>
        <v>262.58149402282521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20.863820985902777</v>
      </c>
      <c r="AA117" s="21">
        <f>EXP(-LN(2)/25)*AA116+(1-EXP(-LN(2)/25))/(LN(2)/25)*Calculateur!V117*Calculateur!X117*VLOOKUP('Données projet'!$B$9,Paramètres!$A$1:$I$89,3,0)*0.475*44/12</f>
        <v>26.401514399646878</v>
      </c>
      <c r="AB117" s="21">
        <f>EXP(-LN(2)/2)*AB116+(1-EXP(-LN(2)/2))/(LN(2)/2)*V117*Y117*VLOOKUP('Données projet'!$B$9,Paramètres!$A$1:$I$89,3,0)*0.475*44/12</f>
        <v>2.9406196108219378</v>
      </c>
      <c r="AC117" s="22">
        <f t="shared" si="57"/>
        <v>50.205954996371595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7.8516666666666692</v>
      </c>
      <c r="AI117" s="13">
        <f>IF('Données projet'!$A$62&gt;35,AI116+AH117-AQ116,IF(A117&lt;'Données projet'!$A$62,$AF$205^A117,IF(A117='Données projet'!$A$62,'Données projet'!$B$62,AI116+AH117-AQ116)))</f>
        <v>318.24166666666696</v>
      </c>
      <c r="AJ117" s="13">
        <f>AI117*VLOOKUP('Données projet'!$B$10,Paramètres!$A$1:$I$89,3,0)*VLOOKUP('Données projet'!$B$10,Paramètres!$A$1:$I$89,5,0)</f>
        <v>287.94506000000024</v>
      </c>
      <c r="AK117" s="13">
        <f t="shared" si="89"/>
        <v>68.643284503725127</v>
      </c>
      <c r="AL117" s="20">
        <f t="shared" si="58"/>
        <v>621.05803334398831</v>
      </c>
      <c r="AM117" s="59">
        <f t="shared" si="59"/>
        <v>914.39136667732168</v>
      </c>
      <c r="AN117" s="59">
        <f ca="1">AVERAGE(OFFSET($AM$3,0,0,'Données projet'!$E$10+1,1))-AVERAGE(OFFSET($H$3,0,0,'Données projet'!$E$10+1,1))</f>
        <v>482.62991869403385</v>
      </c>
      <c r="AO117" s="59">
        <f t="shared" si="90"/>
        <v>310.43914804089906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33.194675483699982</v>
      </c>
      <c r="AV117" s="21">
        <f>EXP(-LN(2)/25)*AV116+(1-EXP(-LN(2)/25))/(LN(2)/25)*Calculateur!AQ117*Calculateur!AS117*VLOOKUP('Données projet'!$B$10,Paramètres!$A$1:$I$89,3,0)*0.475*44/12</f>
        <v>21.255690772045273</v>
      </c>
      <c r="AW117" s="21">
        <f>EXP(-LN(2)/2)*AW116+(1-EXP(-LN(2)/2))/(LN(2)/2)*AQ117*AT117*VLOOKUP('Données projet'!$B$10,Paramètres!$A$1:$I$89,3,0)*0.475*44/12</f>
        <v>0.10979498517419981</v>
      </c>
      <c r="AX117" s="21">
        <f t="shared" si="60"/>
        <v>54.560161240919449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384.34044781465661</v>
      </c>
      <c r="BJ117" s="59">
        <f t="shared" si="92"/>
        <v>374.99493809709708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29.110015266504004</v>
      </c>
      <c r="BQ117" s="21">
        <f>EXP(-LN(2)/25)*BQ116+(1-EXP(-LN(2)/25))/(LN(2)/25)*Calculateur!BL117*Calculateur!BN117*VLOOKUP('Données projet'!$B$11,Paramètres!$A$1:$I$89,3,0)*0.475*44/12</f>
        <v>21.955099564953596</v>
      </c>
      <c r="BR117" s="21">
        <f>EXP(-LN(2)/2)*BR116+(1-EXP(-LN(2)/2))/(LN(2)/2)*BL117*BO117*VLOOKUP('Données projet'!$B$11,Paramètres!$A$1:$I$89,3,0)*0.475*44/12</f>
        <v>5.2292677747636123E-4</v>
      </c>
      <c r="BS117" s="22">
        <f t="shared" si="63"/>
        <v>51.065637758235077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7.8516666666666692</v>
      </c>
      <c r="BY117" s="12">
        <f>IF('Données projet'!$A$114&gt;35,BY116+BX117-CG116,IF(A117&lt;'Données projet'!$A$114,$BV$205^A117,IF(A117='Données projet'!$A$114,'Données projet'!$B$114,BY116+BX117-CG116)))</f>
        <v>318.24166666666696</v>
      </c>
      <c r="BZ117" s="13">
        <f>BY117*VLOOKUP('Données projet'!$B$12,Paramètres!$A$1:$I$89,3,0)*VLOOKUP('Données projet'!$B$12,Paramètres!$A$1:$I$89,5,0)</f>
        <v>302.8387700000003</v>
      </c>
      <c r="CA117" s="13">
        <f t="shared" si="93"/>
        <v>71.771252111713977</v>
      </c>
      <c r="CB117" s="20">
        <f t="shared" si="64"/>
        <v>652.44578851123561</v>
      </c>
      <c r="CC117" s="59">
        <f t="shared" si="65"/>
        <v>945.77912184456886</v>
      </c>
      <c r="CD117" s="59">
        <f ca="1">AVERAGE(OFFSET($CC$3,0,0,'Données projet'!$E$12+1,1))-AVERAGE(OFFSET($H$3,0,0,'Données projet'!$E$12+1,1))</f>
        <v>513.14430745499283</v>
      </c>
      <c r="CE117" s="59">
        <f t="shared" si="94"/>
        <v>324.2490378019823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34.911641456994829</v>
      </c>
      <c r="CL117" s="21">
        <f>EXP(-LN(2)/25)*CL116+(1-EXP(-LN(2)/25))/(LN(2)/25)*Calculateur!CG117*Calculateur!CI117*VLOOKUP('Données projet'!$B$12,Paramètres!$A$1:$I$89,3,0)*0.475*44/12</f>
        <v>22.355123053357953</v>
      </c>
      <c r="CM117" s="21">
        <f>EXP(-LN(2)/2)*CM116+(1-EXP(-LN(2)/2))/(LN(2)/2)*CG117*CJ117*VLOOKUP('Données projet'!$B$12,Paramètres!$A$1:$I$89,3,0)*0.475*44/12</f>
        <v>0.11547403613148588</v>
      </c>
      <c r="CN117" s="22">
        <f t="shared" si="66"/>
        <v>57.382238546484274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-1.1368683772161603E-13</v>
      </c>
      <c r="CU117" s="17">
        <f>CT117*VLOOKUP('Données projet'!$B$13,Paramètres!$A$1:$I$89,3,0)*VLOOKUP('Données projet'!$B$13,Paramètres!$A$1:$I$89,5,0)</f>
        <v>-8.8675733422860506E-14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197.51452239559433</v>
      </c>
      <c r="CZ117" s="59">
        <f t="shared" si="96"/>
        <v>196.65166921588821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11.305530615940961</v>
      </c>
      <c r="DG117" s="21">
        <f>EXP(-LN(2)/25)*DG116+(1-EXP(-LN(2)/25))/(LN(2)/25)*Calculateur!DB117*Calculateur!DD117*VLOOKUP('Données projet'!$B$13,Paramètres!$A$1:$I$89,3,0)*0.475*44/12</f>
        <v>7.7933259343065151</v>
      </c>
      <c r="DH117" s="21">
        <f>EXP(-LN(2)/2)*DH116+(1-EXP(-LN(2)/2))/(LN(2)/2)*DB117*DE117*VLOOKUP('Données projet'!$B$13,Paramètres!$A$1:$I$89,3,0)*0.475*44/12</f>
        <v>6.5658329249885479E-6</v>
      </c>
      <c r="DI117" s="22">
        <f t="shared" si="69"/>
        <v>19.098863116080402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>
        <f>DO117*VLOOKUP('Données projet'!$B$14,Paramètres!$A$1:$I$89,3,0)*VLOOKUP('Données projet'!$B$14,Paramètres!$A$1:$I$89,5,0)</f>
        <v>0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239.26156489359892</v>
      </c>
      <c r="DU117" s="59">
        <f t="shared" si="98"/>
        <v>213.97034450798111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6.7230786906448454</v>
      </c>
      <c r="EB117" s="21">
        <f>EXP(-LN(2)/25)*EB116+(1-EXP(-LN(2)/25))/(LN(2)/25)*Calculateur!DW117*Calculateur!DY117*VLOOKUP('Données projet'!$B$14,Paramètres!$A$1:$I$89,3,0)*0.475*44/12</f>
        <v>32.829183163008004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39.552261853652851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7.0011111111111104</v>
      </c>
      <c r="EJ117" s="12">
        <f>IF('Données projet'!$A$192&gt;35,EJ116+EI117-ER116,IF(A117&lt;'Données projet'!$A$192,$EG$205^A117,IF(A117='Données projet'!$A$192,'Données projet'!$B$192,EJ116+EI117-ER116)))</f>
        <v>259.26111111111101</v>
      </c>
      <c r="EK117" s="17">
        <f>EJ117*VLOOKUP('Données projet'!$B$15,Paramètres!$A$1:$I$89,3,0)*VLOOKUP('Données projet'!$B$15,Paramètres!$A$1:$I$89,5,0)</f>
        <v>258.84629333333328</v>
      </c>
      <c r="EL117" s="13">
        <f t="shared" si="99"/>
        <v>62.476390701582751</v>
      </c>
      <c r="EM117" s="20">
        <f t="shared" si="73"/>
        <v>559.63700802747883</v>
      </c>
      <c r="EN117" s="59">
        <f t="shared" si="74"/>
        <v>852.9703413608122</v>
      </c>
      <c r="EO117" s="59">
        <f ca="1">AVERAGE(OFFSET($EN$3,0,0,'Données projet'!$E$15+1,1))-AVERAGE(OFFSET($H$3,0,0,'Données projet'!$E$15+1,1))</f>
        <v>525.74725170626471</v>
      </c>
      <c r="EP117" s="59">
        <f t="shared" si="100"/>
        <v>259.19103598192197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20.542839124581192</v>
      </c>
      <c r="EW117" s="21">
        <f>EXP(-LN(2)/25)*EW116+(1-EXP(-LN(2)/25))/(LN(2)/25)*Calculateur!ER117*Calculateur!ET117*VLOOKUP('Données projet'!$B$15,Paramètres!$A$1:$I$89,3,0)*0.475*44/12</f>
        <v>25.995337255036926</v>
      </c>
      <c r="EX117" s="21">
        <f>EXP(-LN(2)/2)*EX116+(1-EXP(-LN(2)/2))/(LN(2)/2)*ER117*EU117*VLOOKUP('Données projet'!$B$15,Paramètres!$A$1:$I$89,3,0)*0.475*44/12</f>
        <v>2.895379309116985</v>
      </c>
      <c r="EY117" s="22">
        <f t="shared" si="75"/>
        <v>49.433555688735105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7.0011111111111104</v>
      </c>
      <c r="N118" s="13">
        <f>IF('Données projet'!$A$36&gt;35,N117+M118-V117,IF(A118&lt;'Données projet'!$A$36,$K$205^A118,IF(A118='Données projet'!$A$36,'Données projet'!$B$36,N117+M118-V117)))</f>
        <v>266.26222222222214</v>
      </c>
      <c r="O118" s="13">
        <f>N118*VLOOKUP('Données projet'!$B$9,Paramètres!$A$1:$I$89,3,0)*VLOOKUP('Données projet'!$B$9,Paramètres!$A$1:$I$89,5,0)</f>
        <v>269.98989333333327</v>
      </c>
      <c r="P118" s="13">
        <f t="shared" si="87"/>
        <v>64.847124393424096</v>
      </c>
      <c r="Q118" s="20">
        <f t="shared" si="107"/>
        <v>583.1744725407691</v>
      </c>
      <c r="R118" s="59">
        <f t="shared" si="55"/>
        <v>876.50780587410236</v>
      </c>
      <c r="S118" s="59">
        <f ca="1">AVERAGE(OFFSET($R$3,0,0,'Données projet'!$E$9+1,1))-AVERAGE(OFFSET($H$3,0,0,'Données projet'!$E$9+1,1))</f>
        <v>533.26035274112917</v>
      </c>
      <c r="T118" s="59">
        <f t="shared" si="88"/>
        <v>262.58149402282521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20.454694182043468</v>
      </c>
      <c r="AA118" s="21">
        <f>EXP(-LN(2)/25)*AA117+(1-EXP(-LN(2)/25))/(LN(2)/25)*Calculateur!V118*Calculateur!X118*VLOOKUP('Données projet'!$B$9,Paramètres!$A$1:$I$89,3,0)*0.475*44/12</f>
        <v>25.679563599993234</v>
      </c>
      <c r="AB118" s="21">
        <f>EXP(-LN(2)/2)*AB117+(1-EXP(-LN(2)/2))/(LN(2)/2)*V118*Y118*VLOOKUP('Données projet'!$B$9,Paramètres!$A$1:$I$89,3,0)*0.475*44/12</f>
        <v>2.0793320677023388</v>
      </c>
      <c r="AC118" s="22">
        <f t="shared" si="57"/>
        <v>48.213589849739037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7.8516666666666692</v>
      </c>
      <c r="AI118" s="13">
        <f>IF('Données projet'!$A$62&gt;35,AI117+AH118-AQ117,IF(A118&lt;'Données projet'!$A$62,$AF$205^A118,IF(A118='Données projet'!$A$62,'Données projet'!$B$62,AI117+AH118-AQ117)))</f>
        <v>326.09333333333365</v>
      </c>
      <c r="AJ118" s="13">
        <f>AI118*VLOOKUP('Données projet'!$B$10,Paramètres!$A$1:$I$89,3,0)*VLOOKUP('Données projet'!$B$10,Paramètres!$A$1:$I$89,5,0)</f>
        <v>295.04924800000026</v>
      </c>
      <c r="AK118" s="13">
        <f t="shared" si="89"/>
        <v>70.13759270458003</v>
      </c>
      <c r="AL118" s="20">
        <f t="shared" si="58"/>
        <v>636.03374756047731</v>
      </c>
      <c r="AM118" s="59">
        <f t="shared" si="59"/>
        <v>929.36708089381068</v>
      </c>
      <c r="AN118" s="59">
        <f ca="1">AVERAGE(OFFSET($AM$3,0,0,'Données projet'!$E$10+1,1))-AVERAGE(OFFSET($H$3,0,0,'Données projet'!$E$10+1,1))</f>
        <v>482.62991869403385</v>
      </c>
      <c r="AO118" s="59">
        <f t="shared" si="90"/>
        <v>310.43914804089906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32.543748144217467</v>
      </c>
      <c r="AV118" s="21">
        <f>EXP(-LN(2)/25)*AV117+(1-EXP(-LN(2)/25))/(LN(2)/25)*Calculateur!AQ118*Calculateur!AS118*VLOOKUP('Données projet'!$B$10,Paramètres!$A$1:$I$89,3,0)*0.475*44/12</f>
        <v>20.674452790095497</v>
      </c>
      <c r="AW118" s="21">
        <f>EXP(-LN(2)/2)*AW117+(1-EXP(-LN(2)/2))/(LN(2)/2)*AQ118*AT118*VLOOKUP('Données projet'!$B$10,Paramètres!$A$1:$I$89,3,0)*0.475*44/12</f>
        <v>7.763677855695314E-2</v>
      </c>
      <c r="AX118" s="21">
        <f t="shared" si="60"/>
        <v>53.295837712869911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384.34044781465661</v>
      </c>
      <c r="BJ118" s="59">
        <f t="shared" si="92"/>
        <v>374.99493809709708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28.539185622483977</v>
      </c>
      <c r="BQ118" s="21">
        <f>EXP(-LN(2)/25)*BQ117+(1-EXP(-LN(2)/25))/(LN(2)/25)*Calculateur!BL118*Calculateur!BN118*VLOOKUP('Données projet'!$B$11,Paramètres!$A$1:$I$89,3,0)*0.475*44/12</f>
        <v>21.354736212781432</v>
      </c>
      <c r="BR118" s="21">
        <f>EXP(-LN(2)/2)*BR117+(1-EXP(-LN(2)/2))/(LN(2)/2)*BL118*BO118*VLOOKUP('Données projet'!$B$11,Paramètres!$A$1:$I$89,3,0)*0.475*44/12</f>
        <v>3.697650704175638E-4</v>
      </c>
      <c r="BS118" s="22">
        <f t="shared" si="63"/>
        <v>49.894291600335826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7.8516666666666692</v>
      </c>
      <c r="BY118" s="12">
        <f>IF('Données projet'!$A$114&gt;35,BY117+BX118-CG117,IF(A118&lt;'Données projet'!$A$114,$BV$205^A118,IF(A118='Données projet'!$A$114,'Données projet'!$B$114,BY117+BX118-CG117)))</f>
        <v>326.09333333333365</v>
      </c>
      <c r="BZ118" s="13">
        <f>BY118*VLOOKUP('Données projet'!$B$12,Paramètres!$A$1:$I$89,3,0)*VLOOKUP('Données projet'!$B$12,Paramètres!$A$1:$I$89,5,0)</f>
        <v>310.31041600000032</v>
      </c>
      <c r="CA118" s="13">
        <f t="shared" si="93"/>
        <v>73.33365361087796</v>
      </c>
      <c r="CB118" s="20">
        <f t="shared" si="64"/>
        <v>668.18008790561294</v>
      </c>
      <c r="CC118" s="59">
        <f t="shared" si="65"/>
        <v>961.51342123894619</v>
      </c>
      <c r="CD118" s="59">
        <f ca="1">AVERAGE(OFFSET($CC$3,0,0,'Données projet'!$E$12+1,1))-AVERAGE(OFFSET($H$3,0,0,'Données projet'!$E$12+1,1))</f>
        <v>513.14430745499283</v>
      </c>
      <c r="CE118" s="59">
        <f t="shared" si="94"/>
        <v>324.2490378019823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34.227045462021842</v>
      </c>
      <c r="CL118" s="21">
        <f>EXP(-LN(2)/25)*CL117+(1-EXP(-LN(2)/25))/(LN(2)/25)*Calculateur!CG118*Calculateur!CI118*VLOOKUP('Données projet'!$B$12,Paramètres!$A$1:$I$89,3,0)*0.475*44/12</f>
        <v>21.743821037859053</v>
      </c>
      <c r="CM118" s="21">
        <f>EXP(-LN(2)/2)*CM117+(1-EXP(-LN(2)/2))/(LN(2)/2)*CG118*CJ118*VLOOKUP('Données projet'!$B$12,Paramètres!$A$1:$I$89,3,0)*0.475*44/12</f>
        <v>8.1652473999554068E-2</v>
      </c>
      <c r="CN118" s="22">
        <f t="shared" si="66"/>
        <v>56.052518973880453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-1.1368683772161603E-13</v>
      </c>
      <c r="CU118" s="17">
        <f>CT118*VLOOKUP('Données projet'!$B$13,Paramètres!$A$1:$I$89,3,0)*VLOOKUP('Données projet'!$B$13,Paramètres!$A$1:$I$89,5,0)</f>
        <v>-8.8675733422860506E-14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197.51452239559433</v>
      </c>
      <c r="CZ118" s="59">
        <f t="shared" si="96"/>
        <v>196.65166921588821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11.083836056255143</v>
      </c>
      <c r="DG118" s="21">
        <f>EXP(-LN(2)/25)*DG117+(1-EXP(-LN(2)/25))/(LN(2)/25)*Calculateur!DB118*Calculateur!DD118*VLOOKUP('Données projet'!$B$13,Paramètres!$A$1:$I$89,3,0)*0.475*44/12</f>
        <v>7.5802170267997049</v>
      </c>
      <c r="DH118" s="21">
        <f>EXP(-LN(2)/2)*DH117+(1-EXP(-LN(2)/2))/(LN(2)/2)*DB118*DE118*VLOOKUP('Données projet'!$B$13,Paramètres!$A$1:$I$89,3,0)*0.475*44/12</f>
        <v>4.6427449853973064E-6</v>
      </c>
      <c r="DI118" s="22">
        <f t="shared" si="69"/>
        <v>18.664057725799832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>
        <f>DO118*VLOOKUP('Données projet'!$B$14,Paramètres!$A$1:$I$89,3,0)*VLOOKUP('Données projet'!$B$14,Paramètres!$A$1:$I$89,5,0)</f>
        <v>0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239.26156489359892</v>
      </c>
      <c r="DU118" s="59">
        <f t="shared" si="98"/>
        <v>213.97034450798111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6.5912432181943936</v>
      </c>
      <c r="EB118" s="21">
        <f>EXP(-LN(2)/25)*EB117+(1-EXP(-LN(2)/25))/(LN(2)/25)*Calculateur!DW118*Calculateur!DY118*VLOOKUP('Données projet'!$B$14,Paramètres!$A$1:$I$89,3,0)*0.475*44/12</f>
        <v>31.931467423003841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38.522710641198238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7.0011111111111104</v>
      </c>
      <c r="EJ118" s="12">
        <f>IF('Données projet'!$A$192&gt;35,EJ117+EI118-ER117,IF(A118&lt;'Données projet'!$A$192,$EG$205^A118,IF(A118='Données projet'!$A$192,'Données projet'!$B$192,EJ117+EI118-ER117)))</f>
        <v>266.26222222222214</v>
      </c>
      <c r="EK118" s="17">
        <f>EJ118*VLOOKUP('Données projet'!$B$15,Paramètres!$A$1:$I$89,3,0)*VLOOKUP('Données projet'!$B$15,Paramètres!$A$1:$I$89,5,0)</f>
        <v>265.83620266666657</v>
      </c>
      <c r="EL118" s="13">
        <f t="shared" si="99"/>
        <v>63.964808703823749</v>
      </c>
      <c r="EM118" s="20">
        <f t="shared" si="73"/>
        <v>574.40342813693735</v>
      </c>
      <c r="EN118" s="59">
        <f t="shared" si="74"/>
        <v>867.73676147027072</v>
      </c>
      <c r="EO118" s="59">
        <f ca="1">AVERAGE(OFFSET($EN$3,0,0,'Données projet'!$E$15+1,1))-AVERAGE(OFFSET($H$3,0,0,'Données projet'!$E$15+1,1))</f>
        <v>525.74725170626471</v>
      </c>
      <c r="EP118" s="59">
        <f t="shared" si="100"/>
        <v>259.19103598192197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20.140006579242797</v>
      </c>
      <c r="EW118" s="21">
        <f>EXP(-LN(2)/25)*EW117+(1-EXP(-LN(2)/25))/(LN(2)/25)*Calculateur!ER118*Calculateur!ET118*VLOOKUP('Données projet'!$B$15,Paramètres!$A$1:$I$89,3,0)*0.475*44/12</f>
        <v>25.284493390762567</v>
      </c>
      <c r="EX118" s="21">
        <f>EXP(-LN(2)/2)*EX117+(1-EXP(-LN(2)/2))/(LN(2)/2)*ER118*EU118*VLOOKUP('Données projet'!$B$15,Paramètres!$A$1:$I$89,3,0)*0.475*44/12</f>
        <v>2.0473423435838414</v>
      </c>
      <c r="EY118" s="22">
        <f t="shared" si="75"/>
        <v>47.471842313589207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7.0011111111111104</v>
      </c>
      <c r="N119" s="13">
        <f>IF('Données projet'!$A$36&gt;35,N118+M119-V118,IF(A119&lt;'Données projet'!$A$36,$K$205^A119,IF(A119='Données projet'!$A$36,'Données projet'!$B$36,N118+M119-V118)))</f>
        <v>273.26333333333326</v>
      </c>
      <c r="O119" s="13">
        <f>N119*VLOOKUP('Données projet'!$B$9,Paramètres!$A$1:$I$89,3,0)*VLOOKUP('Données projet'!$B$9,Paramètres!$A$1:$I$89,5,0)</f>
        <v>277.08901999999995</v>
      </c>
      <c r="P119" s="13">
        <f t="shared" si="87"/>
        <v>66.351461456355509</v>
      </c>
      <c r="Q119" s="20">
        <f t="shared" si="107"/>
        <v>598.15883853648563</v>
      </c>
      <c r="R119" s="59">
        <f t="shared" si="55"/>
        <v>891.492171869819</v>
      </c>
      <c r="S119" s="59">
        <f ca="1">AVERAGE(OFFSET($R$3,0,0,'Données projet'!$E$9+1,1))-AVERAGE(OFFSET($H$3,0,0,'Données projet'!$E$9+1,1))</f>
        <v>533.26035274112917</v>
      </c>
      <c r="T119" s="59">
        <f t="shared" si="88"/>
        <v>262.58149402282521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20.05359010526513</v>
      </c>
      <c r="AA119" s="21">
        <f>EXP(-LN(2)/25)*AA118+(1-EXP(-LN(2)/25))/(LN(2)/25)*Calculateur!V119*Calculateur!X119*VLOOKUP('Données projet'!$B$9,Paramètres!$A$1:$I$89,3,0)*0.475*44/12</f>
        <v>24.977354582921862</v>
      </c>
      <c r="AB119" s="21">
        <f>EXP(-LN(2)/2)*AB118+(1-EXP(-LN(2)/2))/(LN(2)/2)*V119*Y119*VLOOKUP('Données projet'!$B$9,Paramètres!$A$1:$I$89,3,0)*0.475*44/12</f>
        <v>1.4703098054109691</v>
      </c>
      <c r="AC119" s="22">
        <f t="shared" si="57"/>
        <v>46.501254493597962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7.8516666666666692</v>
      </c>
      <c r="AI119" s="13">
        <f>IF('Données projet'!$A$62&gt;35,AI118+AH119-AQ118,IF(A119&lt;'Données projet'!$A$62,$AF$205^A119,IF(A119='Données projet'!$A$62,'Données projet'!$B$62,AI118+AH119-AQ118)))</f>
        <v>333.94500000000033</v>
      </c>
      <c r="AJ119" s="13">
        <f>AI119*VLOOKUP('Données projet'!$B$10,Paramètres!$A$1:$I$89,3,0)*VLOOKUP('Données projet'!$B$10,Paramètres!$A$1:$I$89,5,0)</f>
        <v>302.15343600000028</v>
      </c>
      <c r="AK119" s="13">
        <f t="shared" si="89"/>
        <v>71.627718279800249</v>
      </c>
      <c r="AL119" s="20">
        <f t="shared" si="58"/>
        <v>651.00217703731926</v>
      </c>
      <c r="AM119" s="59">
        <f t="shared" si="59"/>
        <v>944.33551037065263</v>
      </c>
      <c r="AN119" s="59">
        <f ca="1">AVERAGE(OFFSET($AM$3,0,0,'Données projet'!$E$10+1,1))-AVERAGE(OFFSET($H$3,0,0,'Données projet'!$E$10+1,1))</f>
        <v>482.62991869403385</v>
      </c>
      <c r="AO119" s="59">
        <f t="shared" si="90"/>
        <v>310.43914804089906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31.905585092835732</v>
      </c>
      <c r="AV119" s="21">
        <f>EXP(-LN(2)/25)*AV118+(1-EXP(-LN(2)/25))/(LN(2)/25)*Calculateur!AQ119*Calculateur!AS119*VLOOKUP('Données projet'!$B$10,Paramètres!$A$1:$I$89,3,0)*0.475*44/12</f>
        <v>20.109108791328115</v>
      </c>
      <c r="AW119" s="21">
        <f>EXP(-LN(2)/2)*AW118+(1-EXP(-LN(2)/2))/(LN(2)/2)*AQ119*AT119*VLOOKUP('Données projet'!$B$10,Paramètres!$A$1:$I$89,3,0)*0.475*44/12</f>
        <v>5.4897492587099909E-2</v>
      </c>
      <c r="AX119" s="21">
        <f t="shared" si="60"/>
        <v>52.06959137675095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384.34044781465661</v>
      </c>
      <c r="BJ119" s="59">
        <f t="shared" si="92"/>
        <v>374.99493809709708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27.979549599611481</v>
      </c>
      <c r="BQ119" s="21">
        <f>EXP(-LN(2)/25)*BQ118+(1-EXP(-LN(2)/25))/(LN(2)/25)*Calculateur!BL119*Calculateur!BN119*VLOOKUP('Données projet'!$B$11,Paramètres!$A$1:$I$89,3,0)*0.475*44/12</f>
        <v>20.770789828046155</v>
      </c>
      <c r="BR119" s="21">
        <f>EXP(-LN(2)/2)*BR118+(1-EXP(-LN(2)/2))/(LN(2)/2)*BL119*BO119*VLOOKUP('Données projet'!$B$11,Paramètres!$A$1:$I$89,3,0)*0.475*44/12</f>
        <v>2.6146338873818062E-4</v>
      </c>
      <c r="BS119" s="22">
        <f t="shared" si="63"/>
        <v>48.750600891046375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7.8516666666666692</v>
      </c>
      <c r="BY119" s="12">
        <f>IF('Données projet'!$A$114&gt;35,BY118+BX119-CG118,IF(A119&lt;'Données projet'!$A$114,$BV$205^A119,IF(A119='Données projet'!$A$114,'Données projet'!$B$114,BY118+BX119-CG118)))</f>
        <v>333.94500000000033</v>
      </c>
      <c r="BZ119" s="13">
        <f>BY119*VLOOKUP('Données projet'!$B$12,Paramètres!$A$1:$I$89,3,0)*VLOOKUP('Données projet'!$B$12,Paramètres!$A$1:$I$89,5,0)</f>
        <v>317.78206200000028</v>
      </c>
      <c r="CA119" s="13">
        <f t="shared" si="93"/>
        <v>74.8916818886687</v>
      </c>
      <c r="CB119" s="20">
        <f t="shared" si="64"/>
        <v>683.90677060609835</v>
      </c>
      <c r="CC119" s="59">
        <f t="shared" si="65"/>
        <v>977.24010393943172</v>
      </c>
      <c r="CD119" s="59">
        <f ca="1">AVERAGE(OFFSET($CC$3,0,0,'Données projet'!$E$12+1,1))-AVERAGE(OFFSET($H$3,0,0,'Données projet'!$E$12+1,1))</f>
        <v>513.14430745499283</v>
      </c>
      <c r="CE119" s="59">
        <f t="shared" si="94"/>
        <v>324.2490378019823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33.55587397694795</v>
      </c>
      <c r="CL119" s="21">
        <f>EXP(-LN(2)/25)*CL118+(1-EXP(-LN(2)/25))/(LN(2)/25)*Calculateur!CG119*Calculateur!CI119*VLOOKUP('Données projet'!$B$12,Paramètres!$A$1:$I$89,3,0)*0.475*44/12</f>
        <v>21.149235108120944</v>
      </c>
      <c r="CM119" s="21">
        <f>EXP(-LN(2)/2)*CM118+(1-EXP(-LN(2)/2))/(LN(2)/2)*CG119*CJ119*VLOOKUP('Données projet'!$B$12,Paramètres!$A$1:$I$89,3,0)*0.475*44/12</f>
        <v>5.773701806574294E-2</v>
      </c>
      <c r="CN119" s="22">
        <f t="shared" si="66"/>
        <v>54.762846103134642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-1.1368683772161603E-13</v>
      </c>
      <c r="CU119" s="17">
        <f>CT119*VLOOKUP('Données projet'!$B$13,Paramètres!$A$1:$I$89,3,0)*VLOOKUP('Données projet'!$B$13,Paramètres!$A$1:$I$89,5,0)</f>
        <v>-8.8675733422860506E-14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197.51452239559433</v>
      </c>
      <c r="CZ119" s="59">
        <f t="shared" si="96"/>
        <v>196.65166921588821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10.866488791664432</v>
      </c>
      <c r="DG119" s="21">
        <f>EXP(-LN(2)/25)*DG118+(1-EXP(-LN(2)/25))/(LN(2)/25)*Calculateur!DB119*Calculateur!DD119*VLOOKUP('Données projet'!$B$13,Paramètres!$A$1:$I$89,3,0)*0.475*44/12</f>
        <v>7.372935593575578</v>
      </c>
      <c r="DH119" s="21">
        <f>EXP(-LN(2)/2)*DH118+(1-EXP(-LN(2)/2))/(LN(2)/2)*DB119*DE119*VLOOKUP('Données projet'!$B$13,Paramètres!$A$1:$I$89,3,0)*0.475*44/12</f>
        <v>3.2829164624942739E-6</v>
      </c>
      <c r="DI119" s="22">
        <f t="shared" si="69"/>
        <v>18.239427668156473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>
        <f>DO119*VLOOKUP('Données projet'!$B$14,Paramètres!$A$1:$I$89,3,0)*VLOOKUP('Données projet'!$B$14,Paramètres!$A$1:$I$89,5,0)</f>
        <v>0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239.26156489359892</v>
      </c>
      <c r="DU119" s="59">
        <f t="shared" si="98"/>
        <v>213.97034450798111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6.4619929589469969</v>
      </c>
      <c r="EB119" s="21">
        <f>EXP(-LN(2)/25)*EB118+(1-EXP(-LN(2)/25))/(LN(2)/25)*Calculateur!DW119*Calculateur!DY119*VLOOKUP('Données projet'!$B$14,Paramètres!$A$1:$I$89,3,0)*0.475*44/12</f>
        <v>31.05829976711891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37.520292726065904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7.0011111111111104</v>
      </c>
      <c r="EJ119" s="12">
        <f>IF('Données projet'!$A$192&gt;35,EJ118+EI119-ER118,IF(A119&lt;'Données projet'!$A$192,$EG$205^A119,IF(A119='Données projet'!$A$192,'Données projet'!$B$192,EJ118+EI119-ER118)))</f>
        <v>273.26333333333326</v>
      </c>
      <c r="EK119" s="17">
        <f>EJ119*VLOOKUP('Données projet'!$B$15,Paramètres!$A$1:$I$89,3,0)*VLOOKUP('Données projet'!$B$15,Paramètres!$A$1:$I$89,5,0)</f>
        <v>272.82611199999997</v>
      </c>
      <c r="EL119" s="13">
        <f t="shared" si="99"/>
        <v>65.448677624096888</v>
      </c>
      <c r="EM119" s="20">
        <f t="shared" si="73"/>
        <v>589.16192526196869</v>
      </c>
      <c r="EN119" s="59">
        <f t="shared" si="74"/>
        <v>882.49525859530195</v>
      </c>
      <c r="EO119" s="59">
        <f ca="1">AVERAGE(OFFSET($EN$3,0,0,'Données projet'!$E$15+1,1))-AVERAGE(OFFSET($H$3,0,0,'Données projet'!$E$15+1,1))</f>
        <v>525.74725170626471</v>
      </c>
      <c r="EP119" s="59">
        <f t="shared" si="100"/>
        <v>259.19103598192197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19.745073334414897</v>
      </c>
      <c r="EW119" s="21">
        <f>EXP(-LN(2)/25)*EW118+(1-EXP(-LN(2)/25))/(LN(2)/25)*Calculateur!ER119*Calculateur!ET119*VLOOKUP('Données projet'!$B$15,Paramètres!$A$1:$I$89,3,0)*0.475*44/12</f>
        <v>24.593087589338445</v>
      </c>
      <c r="EX119" s="21">
        <f>EXP(-LN(2)/2)*EX118+(1-EXP(-LN(2)/2))/(LN(2)/2)*ER119*EU119*VLOOKUP('Données projet'!$B$15,Paramètres!$A$1:$I$89,3,0)*0.475*44/12</f>
        <v>1.4476896545584927</v>
      </c>
      <c r="EY119" s="22">
        <f t="shared" si="75"/>
        <v>45.785850578311837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7.0011111111111104</v>
      </c>
      <c r="N120" s="13">
        <f>IF('Données projet'!$A$36&gt;35,N119+M120-V119,IF(A120&lt;'Données projet'!$A$36,$K$205^A120,IF(A120='Données projet'!$A$36,'Données projet'!$B$36,N119+M120-V119)))</f>
        <v>280.26444444444439</v>
      </c>
      <c r="O120" s="13">
        <f>N120*VLOOKUP('Données projet'!$B$9,Paramètres!$A$1:$I$89,3,0)*VLOOKUP('Données projet'!$B$9,Paramètres!$A$1:$I$89,5,0)</f>
        <v>284.18814666666663</v>
      </c>
      <c r="P120" s="13">
        <f t="shared" si="87"/>
        <v>67.851318431342392</v>
      </c>
      <c r="Q120" s="20">
        <f t="shared" si="107"/>
        <v>613.13540171236571</v>
      </c>
      <c r="R120" s="59">
        <f t="shared" si="55"/>
        <v>906.46873504569908</v>
      </c>
      <c r="S120" s="59">
        <f ca="1">AVERAGE(OFFSET($R$3,0,0,'Données projet'!$E$9+1,1))-AVERAGE(OFFSET($H$3,0,0,'Données projet'!$E$9+1,1))</f>
        <v>533.26035274112917</v>
      </c>
      <c r="T120" s="59">
        <f t="shared" si="88"/>
        <v>262.58149402282521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19.660351434783085</v>
      </c>
      <c r="AA120" s="21">
        <f>EXP(-LN(2)/25)*AA119+(1-EXP(-LN(2)/25))/(LN(2)/25)*Calculateur!V120*Calculateur!X120*VLOOKUP('Données projet'!$B$9,Paramètres!$A$1:$I$89,3,0)*0.475*44/12</f>
        <v>24.294347508349873</v>
      </c>
      <c r="AB120" s="21">
        <f>EXP(-LN(2)/2)*AB119+(1-EXP(-LN(2)/2))/(LN(2)/2)*V120*Y120*VLOOKUP('Données projet'!$B$9,Paramètres!$A$1:$I$89,3,0)*0.475*44/12</f>
        <v>1.0396660338511694</v>
      </c>
      <c r="AC120" s="22">
        <f t="shared" si="57"/>
        <v>44.994364976984123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7.8516666666666692</v>
      </c>
      <c r="AI120" s="13">
        <f>IF('Données projet'!$A$62&gt;35,AI119+AH120-AQ119,IF(A120&lt;'Données projet'!$A$62,$AF$205^A120,IF(A120='Données projet'!$A$62,'Données projet'!$B$62,AI119+AH120-AQ119)))</f>
        <v>341.79666666666702</v>
      </c>
      <c r="AJ120" s="13">
        <f>AI120*VLOOKUP('Données projet'!$B$10,Paramètres!$A$1:$I$89,3,0)*VLOOKUP('Données projet'!$B$10,Paramètres!$A$1:$I$89,5,0)</f>
        <v>309.25762400000031</v>
      </c>
      <c r="AK120" s="13">
        <f t="shared" si="89"/>
        <v>73.113770887931139</v>
      </c>
      <c r="AL120" s="20">
        <f t="shared" si="58"/>
        <v>665.96351276314715</v>
      </c>
      <c r="AM120" s="59">
        <f t="shared" si="59"/>
        <v>959.29684609648052</v>
      </c>
      <c r="AN120" s="59">
        <f ca="1">AVERAGE(OFFSET($AM$3,0,0,'Données projet'!$E$10+1,1))-AVERAGE(OFFSET($H$3,0,0,'Données projet'!$E$10+1,1))</f>
        <v>482.62991869403385</v>
      </c>
      <c r="AO120" s="59">
        <f t="shared" si="90"/>
        <v>310.43914804089906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31.279936029650568</v>
      </c>
      <c r="AV120" s="21">
        <f>EXP(-LN(2)/25)*AV119+(1-EXP(-LN(2)/25))/(LN(2)/25)*Calculateur!AQ120*Calculateur!AS120*VLOOKUP('Données projet'!$B$10,Paramètres!$A$1:$I$89,3,0)*0.475*44/12</f>
        <v>19.559224153937176</v>
      </c>
      <c r="AW120" s="21">
        <f>EXP(-LN(2)/2)*AW119+(1-EXP(-LN(2)/2))/(LN(2)/2)*AQ120*AT120*VLOOKUP('Données projet'!$B$10,Paramètres!$A$1:$I$89,3,0)*0.475*44/12</f>
        <v>3.881838927847657E-2</v>
      </c>
      <c r="AX120" s="21">
        <f t="shared" si="60"/>
        <v>50.877978572866219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384.34044781465661</v>
      </c>
      <c r="BJ120" s="59">
        <f t="shared" si="92"/>
        <v>374.99493809709708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27.430887697803243</v>
      </c>
      <c r="BQ120" s="21">
        <f>EXP(-LN(2)/25)*BQ119+(1-EXP(-LN(2)/25))/(LN(2)/25)*Calculateur!BL120*Calculateur!BN120*VLOOKUP('Données projet'!$B$11,Paramètres!$A$1:$I$89,3,0)*0.475*44/12</f>
        <v>20.202811487909869</v>
      </c>
      <c r="BR120" s="21">
        <f>EXP(-LN(2)/2)*BR119+(1-EXP(-LN(2)/2))/(LN(2)/2)*BL120*BO120*VLOOKUP('Données projet'!$B$11,Paramètres!$A$1:$I$89,3,0)*0.475*44/12</f>
        <v>1.848825352087819E-4</v>
      </c>
      <c r="BS120" s="22">
        <f t="shared" si="63"/>
        <v>47.633884068248321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7.8516666666666692</v>
      </c>
      <c r="BY120" s="12">
        <f>IF('Données projet'!$A$114&gt;35,BY119+BX120-CG119,IF(A120&lt;'Données projet'!$A$114,$BV$205^A120,IF(A120='Données projet'!$A$114,'Données projet'!$B$114,BY119+BX120-CG119)))</f>
        <v>341.79666666666702</v>
      </c>
      <c r="BZ120" s="13">
        <f>BY120*VLOOKUP('Données projet'!$B$12,Paramètres!$A$1:$I$89,3,0)*VLOOKUP('Données projet'!$B$12,Paramètres!$A$1:$I$89,5,0)</f>
        <v>325.25370800000036</v>
      </c>
      <c r="CA120" s="13">
        <f t="shared" si="93"/>
        <v>76.445451600601018</v>
      </c>
      <c r="CB120" s="20">
        <f t="shared" si="64"/>
        <v>699.6260363043807</v>
      </c>
      <c r="CC120" s="59">
        <f t="shared" si="65"/>
        <v>992.95936963771396</v>
      </c>
      <c r="CD120" s="59">
        <f ca="1">AVERAGE(OFFSET($CC$3,0,0,'Données projet'!$E$12+1,1))-AVERAGE(OFFSET($H$3,0,0,'Données projet'!$E$12+1,1))</f>
        <v>513.14430745499283</v>
      </c>
      <c r="CE120" s="59">
        <f t="shared" si="94"/>
        <v>324.2490378019823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32.89786375532217</v>
      </c>
      <c r="CL120" s="21">
        <f>EXP(-LN(2)/25)*CL119+(1-EXP(-LN(2)/25))/(LN(2)/25)*Calculateur!CG120*Calculateur!CI120*VLOOKUP('Données projet'!$B$12,Paramètres!$A$1:$I$89,3,0)*0.475*44/12</f>
        <v>20.570908161899439</v>
      </c>
      <c r="CM120" s="21">
        <f>EXP(-LN(2)/2)*CM119+(1-EXP(-LN(2)/2))/(LN(2)/2)*CG120*CJ120*VLOOKUP('Données projet'!$B$12,Paramètres!$A$1:$I$89,3,0)*0.475*44/12</f>
        <v>4.0826236999777034E-2</v>
      </c>
      <c r="CN120" s="22">
        <f t="shared" si="66"/>
        <v>53.509598154221386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-1.1368683772161603E-13</v>
      </c>
      <c r="CU120" s="17">
        <f>CT120*VLOOKUP('Données projet'!$B$13,Paramètres!$A$1:$I$89,3,0)*VLOOKUP('Données projet'!$B$13,Paramètres!$A$1:$I$89,5,0)</f>
        <v>-8.8675733422860506E-14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197.51452239559433</v>
      </c>
      <c r="CZ120" s="59">
        <f t="shared" si="96"/>
        <v>196.65166921588821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10.653403574363605</v>
      </c>
      <c r="DG120" s="21">
        <f>EXP(-LN(2)/25)*DG119+(1-EXP(-LN(2)/25))/(LN(2)/25)*Calculateur!DB120*Calculateur!DD120*VLOOKUP('Données projet'!$B$13,Paramètres!$A$1:$I$89,3,0)*0.475*44/12</f>
        <v>7.1713222820434224</v>
      </c>
      <c r="DH120" s="21">
        <f>EXP(-LN(2)/2)*DH119+(1-EXP(-LN(2)/2))/(LN(2)/2)*DB120*DE120*VLOOKUP('Données projet'!$B$13,Paramètres!$A$1:$I$89,3,0)*0.475*44/12</f>
        <v>2.3213724926986532E-6</v>
      </c>
      <c r="DI120" s="22">
        <f t="shared" si="69"/>
        <v>17.824728177779519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>
        <f>DO120*VLOOKUP('Données projet'!$B$14,Paramètres!$A$1:$I$89,3,0)*VLOOKUP('Données projet'!$B$14,Paramètres!$A$1:$I$89,5,0)</f>
        <v>0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239.26156489359892</v>
      </c>
      <c r="DU120" s="59">
        <f t="shared" si="98"/>
        <v>213.97034450798111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6.3352772184485673</v>
      </c>
      <c r="EB120" s="21">
        <f>EXP(-LN(2)/25)*EB119+(1-EXP(-LN(2)/25))/(LN(2)/25)*Calculateur!DW120*Calculateur!DY120*VLOOKUP('Données projet'!$B$14,Paramètres!$A$1:$I$89,3,0)*0.475*44/12</f>
        <v>30.209008926702044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36.544286145150608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7.0011111111111104</v>
      </c>
      <c r="EJ120" s="12">
        <f>IF('Données projet'!$A$192&gt;35,EJ119+EI120-ER119,IF(A120&lt;'Données projet'!$A$192,$EG$205^A120,IF(A120='Données projet'!$A$192,'Données projet'!$B$192,EJ119+EI120-ER119)))</f>
        <v>280.26444444444439</v>
      </c>
      <c r="EK120" s="17">
        <f>EJ120*VLOOKUP('Données projet'!$B$15,Paramètres!$A$1:$I$89,3,0)*VLOOKUP('Données projet'!$B$15,Paramètres!$A$1:$I$89,5,0)</f>
        <v>279.81602133333325</v>
      </c>
      <c r="EL120" s="13">
        <f t="shared" si="99"/>
        <v>66.928127412896714</v>
      </c>
      <c r="EM120" s="20">
        <f t="shared" si="73"/>
        <v>603.91272573301706</v>
      </c>
      <c r="EN120" s="59">
        <f t="shared" si="74"/>
        <v>897.24605906635043</v>
      </c>
      <c r="EO120" s="59">
        <f ca="1">AVERAGE(OFFSET($EN$3,0,0,'Données projet'!$E$15+1,1))-AVERAGE(OFFSET($H$3,0,0,'Données projet'!$E$15+1,1))</f>
        <v>525.74725170626471</v>
      </c>
      <c r="EP120" s="59">
        <f t="shared" si="100"/>
        <v>259.19103598192197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19.357884489632578</v>
      </c>
      <c r="EW120" s="21">
        <f>EXP(-LN(2)/25)*EW119+(1-EXP(-LN(2)/25))/(LN(2)/25)*Calculateur!ER120*Calculateur!ET120*VLOOKUP('Données projet'!$B$15,Paramètres!$A$1:$I$89,3,0)*0.475*44/12</f>
        <v>23.920588315913719</v>
      </c>
      <c r="EX120" s="21">
        <f>EXP(-LN(2)/2)*EX119+(1-EXP(-LN(2)/2))/(LN(2)/2)*ER120*EU120*VLOOKUP('Données projet'!$B$15,Paramètres!$A$1:$I$89,3,0)*0.475*44/12</f>
        <v>1.0236711717919207</v>
      </c>
      <c r="EY120" s="22">
        <f t="shared" si="75"/>
        <v>44.302143977338218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7.0011111111111104</v>
      </c>
      <c r="N121" s="13">
        <f>IF('Données projet'!$A$36&gt;35,N120+M121-V120,IF(A121&lt;'Données projet'!$A$36,$K$205^A121,IF(A121='Données projet'!$A$36,'Données projet'!$B$36,N120+M121-V120)))</f>
        <v>287.26555555555552</v>
      </c>
      <c r="O121" s="13">
        <f>N121*VLOOKUP('Données projet'!$B$9,Paramètres!$A$1:$I$89,3,0)*VLOOKUP('Données projet'!$B$9,Paramètres!$A$1:$I$89,5,0)</f>
        <v>291.2872733333333</v>
      </c>
      <c r="P121" s="13">
        <f t="shared" si="87"/>
        <v>69.346820104270833</v>
      </c>
      <c r="Q121" s="20">
        <f t="shared" si="107"/>
        <v>628.10437940382712</v>
      </c>
      <c r="R121" s="59">
        <f t="shared" si="55"/>
        <v>921.43771273716038</v>
      </c>
      <c r="S121" s="59">
        <f ca="1">AVERAGE(OFFSET($R$3,0,0,'Données projet'!$E$9+1,1))-AVERAGE(OFFSET($H$3,0,0,'Données projet'!$E$9+1,1))</f>
        <v>533.26035274112917</v>
      </c>
      <c r="T121" s="59">
        <f t="shared" si="88"/>
        <v>262.58149402282521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19.274823934777288</v>
      </c>
      <c r="AA121" s="21">
        <f>EXP(-LN(2)/25)*AA120+(1-EXP(-LN(2)/25))/(LN(2)/25)*Calculateur!V121*Calculateur!X121*VLOOKUP('Données projet'!$B$9,Paramètres!$A$1:$I$89,3,0)*0.475*44/12</f>
        <v>23.630017298149834</v>
      </c>
      <c r="AB121" s="21">
        <f>EXP(-LN(2)/2)*AB120+(1-EXP(-LN(2)/2))/(LN(2)/2)*V121*Y121*VLOOKUP('Données projet'!$B$9,Paramètres!$A$1:$I$89,3,0)*0.475*44/12</f>
        <v>0.73515490270548456</v>
      </c>
      <c r="AC121" s="22">
        <f t="shared" si="57"/>
        <v>43.639996135632607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7.8516666666666692</v>
      </c>
      <c r="AI121" s="13">
        <f>IF('Données projet'!$A$62&gt;35,AI120+AH121-AQ120,IF(A121&lt;'Données projet'!$A$62,$AF$205^A121,IF(A121='Données projet'!$A$62,'Données projet'!$B$62,AI120+AH121-AQ120)))</f>
        <v>349.64833333333371</v>
      </c>
      <c r="AJ121" s="13">
        <f>AI121*VLOOKUP('Données projet'!$B$10,Paramètres!$A$1:$I$89,3,0)*VLOOKUP('Données projet'!$B$10,Paramètres!$A$1:$I$89,5,0)</f>
        <v>316.36181200000033</v>
      </c>
      <c r="AK121" s="13">
        <f t="shared" si="89"/>
        <v>74.59585486191655</v>
      </c>
      <c r="AL121" s="20">
        <f t="shared" si="58"/>
        <v>680.91793645117184</v>
      </c>
      <c r="AM121" s="59">
        <f t="shared" si="59"/>
        <v>974.25126978450521</v>
      </c>
      <c r="AN121" s="59">
        <f ca="1">AVERAGE(OFFSET($AM$3,0,0,'Données projet'!$E$10+1,1))-AVERAGE(OFFSET($H$3,0,0,'Données projet'!$E$10+1,1))</f>
        <v>482.62991869403385</v>
      </c>
      <c r="AO121" s="59">
        <f t="shared" si="90"/>
        <v>310.43914804089906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30.666555562986215</v>
      </c>
      <c r="AV121" s="21">
        <f>EXP(-LN(2)/25)*AV120+(1-EXP(-LN(2)/25))/(LN(2)/25)*Calculateur!AQ121*Calculateur!AS121*VLOOKUP('Données projet'!$B$10,Paramètres!$A$1:$I$89,3,0)*0.475*44/12</f>
        <v>19.024376140872871</v>
      </c>
      <c r="AW121" s="21">
        <f>EXP(-LN(2)/2)*AW120+(1-EXP(-LN(2)/2))/(LN(2)/2)*AQ121*AT121*VLOOKUP('Données projet'!$B$10,Paramètres!$A$1:$I$89,3,0)*0.475*44/12</f>
        <v>2.7448746293549955E-2</v>
      </c>
      <c r="AX121" s="21">
        <f t="shared" si="60"/>
        <v>49.718380450152637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384.34044781465661</v>
      </c>
      <c r="BJ121" s="59">
        <f t="shared" si="92"/>
        <v>374.99493809709708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26.892984721238751</v>
      </c>
      <c r="BQ121" s="21">
        <f>EXP(-LN(2)/25)*BQ120+(1-EXP(-LN(2)/25))/(LN(2)/25)*Calculateur!BL121*Calculateur!BN121*VLOOKUP('Données projet'!$B$11,Paramètres!$A$1:$I$89,3,0)*0.475*44/12</f>
        <v>19.650364545353291</v>
      </c>
      <c r="BR121" s="21">
        <f>EXP(-LN(2)/2)*BR120+(1-EXP(-LN(2)/2))/(LN(2)/2)*BL121*BO121*VLOOKUP('Données projet'!$B$11,Paramètres!$A$1:$I$89,3,0)*0.475*44/12</f>
        <v>1.3073169436909031E-4</v>
      </c>
      <c r="BS121" s="22">
        <f t="shared" si="63"/>
        <v>46.543479998286415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7.8516666666666692</v>
      </c>
      <c r="BY121" s="12">
        <f>IF('Données projet'!$A$114&gt;35,BY120+BX121-CG120,IF(A121&lt;'Données projet'!$A$114,$BV$205^A121,IF(A121='Données projet'!$A$114,'Données projet'!$B$114,BY120+BX121-CG120)))</f>
        <v>349.64833333333371</v>
      </c>
      <c r="BZ121" s="13">
        <f>BY121*VLOOKUP('Données projet'!$B$12,Paramètres!$A$1:$I$89,3,0)*VLOOKUP('Données projet'!$B$12,Paramètres!$A$1:$I$89,5,0)</f>
        <v>332.72535400000038</v>
      </c>
      <c r="CA121" s="13">
        <f t="shared" si="93"/>
        <v>77.995071833908256</v>
      </c>
      <c r="CB121" s="20">
        <f t="shared" si="64"/>
        <v>715.33807499405748</v>
      </c>
      <c r="CC121" s="59">
        <f t="shared" si="65"/>
        <v>1008.6714083273907</v>
      </c>
      <c r="CD121" s="59">
        <f ca="1">AVERAGE(OFFSET($CC$3,0,0,'Données projet'!$E$12+1,1))-AVERAGE(OFFSET($H$3,0,0,'Données projet'!$E$12+1,1))</f>
        <v>513.14430745499283</v>
      </c>
      <c r="CE121" s="59">
        <f t="shared" si="94"/>
        <v>324.2490378019823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32.252756712795872</v>
      </c>
      <c r="CL121" s="21">
        <f>EXP(-LN(2)/25)*CL120+(1-EXP(-LN(2)/25))/(LN(2)/25)*Calculateur!CG121*Calculateur!CI121*VLOOKUP('Données projet'!$B$12,Paramètres!$A$1:$I$89,3,0)*0.475*44/12</f>
        <v>20.008395596435253</v>
      </c>
      <c r="CM121" s="21">
        <f>EXP(-LN(2)/2)*CM120+(1-EXP(-LN(2)/2))/(LN(2)/2)*CG121*CJ121*VLOOKUP('Données projet'!$B$12,Paramètres!$A$1:$I$89,3,0)*0.475*44/12</f>
        <v>2.886850903287147E-2</v>
      </c>
      <c r="CN121" s="22">
        <f t="shared" si="66"/>
        <v>52.29002081826399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-1.1368683772161603E-13</v>
      </c>
      <c r="CU121" s="17">
        <f>CT121*VLOOKUP('Données projet'!$B$13,Paramètres!$A$1:$I$89,3,0)*VLOOKUP('Données projet'!$B$13,Paramètres!$A$1:$I$89,5,0)</f>
        <v>-8.8675733422860506E-14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197.51452239559433</v>
      </c>
      <c r="CZ121" s="59">
        <f t="shared" si="96"/>
        <v>196.65166921588821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10.444496828204898</v>
      </c>
      <c r="DG121" s="21">
        <f>EXP(-LN(2)/25)*DG120+(1-EXP(-LN(2)/25))/(LN(2)/25)*Calculateur!DB121*Calculateur!DD121*VLOOKUP('Données projet'!$B$13,Paramètres!$A$1:$I$89,3,0)*0.475*44/12</f>
        <v>6.9752220971174967</v>
      </c>
      <c r="DH121" s="21">
        <f>EXP(-LN(2)/2)*DH120+(1-EXP(-LN(2)/2))/(LN(2)/2)*DB121*DE121*VLOOKUP('Données projet'!$B$13,Paramètres!$A$1:$I$89,3,0)*0.475*44/12</f>
        <v>1.641458231247137E-6</v>
      </c>
      <c r="DI121" s="22">
        <f t="shared" si="69"/>
        <v>17.419720566780622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>
        <f>DO121*VLOOKUP('Données projet'!$B$14,Paramètres!$A$1:$I$89,3,0)*VLOOKUP('Données projet'!$B$14,Paramètres!$A$1:$I$89,5,0)</f>
        <v>0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239.26156489359892</v>
      </c>
      <c r="DU121" s="59">
        <f t="shared" si="98"/>
        <v>213.97034450798111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6.2110462963323423</v>
      </c>
      <c r="EB121" s="21">
        <f>EXP(-LN(2)/25)*EB120+(1-EXP(-LN(2)/25))/(LN(2)/25)*Calculateur!DW121*Calculateur!DY121*VLOOKUP('Données projet'!$B$14,Paramètres!$A$1:$I$89,3,0)*0.475*44/12</f>
        <v>29.38294198897864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35.593988285310985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7.0011111111111104</v>
      </c>
      <c r="EJ121" s="12">
        <f>IF('Données projet'!$A$192&gt;35,EJ120+EI121-ER120,IF(A121&lt;'Données projet'!$A$192,$EG$205^A121,IF(A121='Données projet'!$A$192,'Données projet'!$B$192,EJ120+EI121-ER120)))</f>
        <v>287.26555555555552</v>
      </c>
      <c r="EK121" s="17">
        <f>EJ121*VLOOKUP('Données projet'!$B$15,Paramètres!$A$1:$I$89,3,0)*VLOOKUP('Données projet'!$B$15,Paramètres!$A$1:$I$89,5,0)</f>
        <v>286.80593066666665</v>
      </c>
      <c r="EL121" s="13">
        <f t="shared" si="99"/>
        <v>68.403281158261805</v>
      </c>
      <c r="EM121" s="20">
        <f t="shared" si="73"/>
        <v>618.65604392841703</v>
      </c>
      <c r="EN121" s="59">
        <f t="shared" si="74"/>
        <v>911.98937726175041</v>
      </c>
      <c r="EO121" s="59">
        <f ca="1">AVERAGE(OFFSET($EN$3,0,0,'Données projet'!$E$15+1,1))-AVERAGE(OFFSET($H$3,0,0,'Données projet'!$E$15+1,1))</f>
        <v>525.74725170626471</v>
      </c>
      <c r="EP121" s="59">
        <f t="shared" si="100"/>
        <v>259.19103598192197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18.978288181934563</v>
      </c>
      <c r="EW121" s="21">
        <f>EXP(-LN(2)/25)*EW120+(1-EXP(-LN(2)/25))/(LN(2)/25)*Calculateur!ER121*Calculateur!ET121*VLOOKUP('Données projet'!$B$15,Paramètres!$A$1:$I$89,3,0)*0.475*44/12</f>
        <v>23.26647857048599</v>
      </c>
      <c r="EX121" s="21">
        <f>EXP(-LN(2)/2)*EX120+(1-EXP(-LN(2)/2))/(LN(2)/2)*ER121*EU121*VLOOKUP('Données projet'!$B$15,Paramètres!$A$1:$I$89,3,0)*0.475*44/12</f>
        <v>0.72384482727924637</v>
      </c>
      <c r="EY121" s="22">
        <f t="shared" si="75"/>
        <v>42.968611579699797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7.0011111111111104</v>
      </c>
      <c r="N122" s="13">
        <f>IF('Données projet'!$A$36&gt;35,N121+M122-V121,IF(A122&lt;'Données projet'!$A$36,$K$205^A122,IF(A122='Données projet'!$A$36,'Données projet'!$B$36,N121+M122-V121)))</f>
        <v>294.26666666666665</v>
      </c>
      <c r="O122" s="13">
        <f>N122*VLOOKUP('Données projet'!$B$9,Paramètres!$A$1:$I$89,3,0)*VLOOKUP('Données projet'!$B$9,Paramètres!$A$1:$I$89,5,0)</f>
        <v>298.38640000000004</v>
      </c>
      <c r="P122" s="13">
        <f t="shared" si="87"/>
        <v>70.838084831776925</v>
      </c>
      <c r="Q122" s="20">
        <f t="shared" si="107"/>
        <v>643.06597774867816</v>
      </c>
      <c r="R122" s="59">
        <f t="shared" si="55"/>
        <v>936.39931108201154</v>
      </c>
      <c r="S122" s="59">
        <f ca="1">AVERAGE(OFFSET($R$3,0,0,'Données projet'!$E$9+1,1))-AVERAGE(OFFSET($H$3,0,0,'Données projet'!$E$9+1,1))</f>
        <v>533.26035274112917</v>
      </c>
      <c r="T122" s="59">
        <f t="shared" si="88"/>
        <v>262.58149402282521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18.896856393898048</v>
      </c>
      <c r="AA122" s="21">
        <f>EXP(-LN(2)/25)*AA121+(1-EXP(-LN(2)/25))/(LN(2)/25)*Calculateur!V122*Calculateur!X122*VLOOKUP('Données projet'!$B$9,Paramètres!$A$1:$I$89,3,0)*0.475*44/12</f>
        <v>22.983853232483323</v>
      </c>
      <c r="AB122" s="21">
        <f>EXP(-LN(2)/2)*AB121+(1-EXP(-LN(2)/2))/(LN(2)/2)*V122*Y122*VLOOKUP('Données projet'!$B$9,Paramètres!$A$1:$I$89,3,0)*0.475*44/12</f>
        <v>0.5198330169255847</v>
      </c>
      <c r="AC122" s="22">
        <f t="shared" si="57"/>
        <v>42.400542643306963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7.8516666666666692</v>
      </c>
      <c r="AI122" s="13">
        <f>IF('Données projet'!$A$62&gt;35,AI121+AH122-AQ121,IF(A122&lt;'Données projet'!$A$62,$AF$205^A122,IF(A122='Données projet'!$A$62,'Données projet'!$B$62,AI121+AH122-AQ121)))</f>
        <v>357.5000000000004</v>
      </c>
      <c r="AJ122" s="13">
        <f>AI122*VLOOKUP('Données projet'!$B$10,Paramètres!$A$1:$I$89,3,0)*VLOOKUP('Données projet'!$B$10,Paramètres!$A$1:$I$89,5,0)</f>
        <v>323.46600000000035</v>
      </c>
      <c r="AK122" s="13">
        <f t="shared" si="89"/>
        <v>76.074069581431218</v>
      </c>
      <c r="AL122" s="20">
        <f t="shared" si="58"/>
        <v>695.86562118765994</v>
      </c>
      <c r="AM122" s="59">
        <f t="shared" si="59"/>
        <v>989.19895452099331</v>
      </c>
      <c r="AN122" s="59">
        <f ca="1">AVERAGE(OFFSET($AM$3,0,0,'Données projet'!$E$10+1,1))-AVERAGE(OFFSET($H$3,0,0,'Données projet'!$E$10+1,1))</f>
        <v>482.62991869403385</v>
      </c>
      <c r="AO122" s="59">
        <f t="shared" si="90"/>
        <v>310.43914804089906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30.065203113148009</v>
      </c>
      <c r="AV122" s="21">
        <f>EXP(-LN(2)/25)*AV121+(1-EXP(-LN(2)/25))/(LN(2)/25)*Calculateur!AQ122*Calculateur!AS122*VLOOKUP('Données projet'!$B$10,Paramètres!$A$1:$I$89,3,0)*0.475*44/12</f>
        <v>18.504153574852243</v>
      </c>
      <c r="AW122" s="21">
        <f>EXP(-LN(2)/2)*AW121+(1-EXP(-LN(2)/2))/(LN(2)/2)*AQ122*AT122*VLOOKUP('Données projet'!$B$10,Paramètres!$A$1:$I$89,3,0)*0.475*44/12</f>
        <v>1.9409194639238285E-2</v>
      </c>
      <c r="AX122" s="21">
        <f t="shared" si="60"/>
        <v>48.588765882639493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384.34044781465661</v>
      </c>
      <c r="BJ122" s="59">
        <f t="shared" si="92"/>
        <v>374.99493809709708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26.365629693956269</v>
      </c>
      <c r="BQ122" s="21">
        <f>EXP(-LN(2)/25)*BQ121+(1-EXP(-LN(2)/25))/(LN(2)/25)*Calculateur!BL122*Calculateur!BN122*VLOOKUP('Données projet'!$B$11,Paramètres!$A$1:$I$89,3,0)*0.475*44/12</f>
        <v>19.113024293492845</v>
      </c>
      <c r="BR122" s="21">
        <f>EXP(-LN(2)/2)*BR121+(1-EXP(-LN(2)/2))/(LN(2)/2)*BL122*BO122*VLOOKUP('Données projet'!$B$11,Paramètres!$A$1:$I$89,3,0)*0.475*44/12</f>
        <v>9.2441267604390949E-5</v>
      </c>
      <c r="BS122" s="22">
        <f t="shared" si="63"/>
        <v>45.478746428716718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7.8516666666666692</v>
      </c>
      <c r="BY122" s="12">
        <f>IF('Données projet'!$A$114&gt;35,BY121+BX122-CG121,IF(A122&lt;'Données projet'!$A$114,$BV$205^A122,IF(A122='Données projet'!$A$114,'Données projet'!$B$114,BY121+BX122-CG121)))</f>
        <v>357.5000000000004</v>
      </c>
      <c r="BZ122" s="13">
        <f>BY122*VLOOKUP('Données projet'!$B$12,Paramètres!$A$1:$I$89,3,0)*VLOOKUP('Données projet'!$B$12,Paramètres!$A$1:$I$89,5,0)</f>
        <v>340.1970000000004</v>
      </c>
      <c r="CA122" s="13">
        <f t="shared" si="93"/>
        <v>79.540646496842271</v>
      </c>
      <c r="CB122" s="20">
        <f t="shared" si="64"/>
        <v>731.0430676486676</v>
      </c>
      <c r="CC122" s="59">
        <f t="shared" si="65"/>
        <v>1024.3764009820009</v>
      </c>
      <c r="CD122" s="59">
        <f ca="1">AVERAGE(OFFSET($CC$3,0,0,'Données projet'!$E$12+1,1))-AVERAGE(OFFSET($H$3,0,0,'Données projet'!$E$12+1,1))</f>
        <v>513.14430745499283</v>
      </c>
      <c r="CE122" s="59">
        <f t="shared" si="94"/>
        <v>324.2490378019823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31.620299825897067</v>
      </c>
      <c r="CL122" s="21">
        <f>EXP(-LN(2)/25)*CL121+(1-EXP(-LN(2)/25))/(LN(2)/25)*Calculateur!CG122*Calculateur!CI122*VLOOKUP('Données projet'!$B$12,Paramètres!$A$1:$I$89,3,0)*0.475*44/12</f>
        <v>19.461264966654937</v>
      </c>
      <c r="CM122" s="21">
        <f>EXP(-LN(2)/2)*CM121+(1-EXP(-LN(2)/2))/(LN(2)/2)*CG122*CJ122*VLOOKUP('Données projet'!$B$12,Paramètres!$A$1:$I$89,3,0)*0.475*44/12</f>
        <v>2.0413118499888517E-2</v>
      </c>
      <c r="CN122" s="22">
        <f t="shared" si="66"/>
        <v>51.10197791105189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-1.1368683772161603E-13</v>
      </c>
      <c r="CU122" s="17">
        <f>CT122*VLOOKUP('Données projet'!$B$13,Paramètres!$A$1:$I$89,3,0)*VLOOKUP('Données projet'!$B$13,Paramètres!$A$1:$I$89,5,0)</f>
        <v>-8.8675733422860506E-14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197.51452239559433</v>
      </c>
      <c r="CZ122" s="59">
        <f t="shared" si="96"/>
        <v>196.65166921588821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10.239686615917829</v>
      </c>
      <c r="DG122" s="21">
        <f>EXP(-LN(2)/25)*DG121+(1-EXP(-LN(2)/25))/(LN(2)/25)*Calculateur!DB122*Calculateur!DD122*VLOOKUP('Données projet'!$B$13,Paramètres!$A$1:$I$89,3,0)*0.475*44/12</f>
        <v>6.7844842820608307</v>
      </c>
      <c r="DH122" s="21">
        <f>EXP(-LN(2)/2)*DH121+(1-EXP(-LN(2)/2))/(LN(2)/2)*DB122*DE122*VLOOKUP('Données projet'!$B$13,Paramètres!$A$1:$I$89,3,0)*0.475*44/12</f>
        <v>1.1606862463493266E-6</v>
      </c>
      <c r="DI122" s="22">
        <f t="shared" si="69"/>
        <v>17.024172058664906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>
        <f>DO122*VLOOKUP('Données projet'!$B$14,Paramètres!$A$1:$I$89,3,0)*VLOOKUP('Données projet'!$B$14,Paramètres!$A$1:$I$89,5,0)</f>
        <v>0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239.26156489359892</v>
      </c>
      <c r="DU122" s="59">
        <f t="shared" si="98"/>
        <v>213.97034450798111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6.0892514668254361</v>
      </c>
      <c r="EB122" s="21">
        <f>EXP(-LN(2)/25)*EB121+(1-EXP(-LN(2)/25))/(LN(2)/25)*Calculateur!DW122*Calculateur!DY122*VLOOKUP('Données projet'!$B$14,Paramètres!$A$1:$I$89,3,0)*0.475*44/12</f>
        <v>28.579463895108255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34.668715361933693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7.0011111111111104</v>
      </c>
      <c r="EJ122" s="12">
        <f>IF('Données projet'!$A$192&gt;35,EJ121+EI122-ER121,IF(A122&lt;'Données projet'!$A$192,$EG$205^A122,IF(A122='Données projet'!$A$192,'Données projet'!$B$192,EJ121+EI122-ER121)))</f>
        <v>294.26666666666665</v>
      </c>
      <c r="EK122" s="17">
        <f>EJ122*VLOOKUP('Données projet'!$B$15,Paramètres!$A$1:$I$89,3,0)*VLOOKUP('Données projet'!$B$15,Paramètres!$A$1:$I$89,5,0)</f>
        <v>293.79584</v>
      </c>
      <c r="EL122" s="13">
        <f t="shared" si="99"/>
        <v>69.874255606457325</v>
      </c>
      <c r="EM122" s="20">
        <f t="shared" si="73"/>
        <v>633.39208318124645</v>
      </c>
      <c r="EN122" s="59">
        <f t="shared" si="74"/>
        <v>926.72541651457982</v>
      </c>
      <c r="EO122" s="59">
        <f ca="1">AVERAGE(OFFSET($EN$3,0,0,'Données projet'!$E$15+1,1))-AVERAGE(OFFSET($H$3,0,0,'Données projet'!$E$15+1,1))</f>
        <v>525.74725170626471</v>
      </c>
      <c r="EP122" s="59">
        <f t="shared" si="100"/>
        <v>259.19103598192197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18.606135526299621</v>
      </c>
      <c r="EW122" s="21">
        <f>EXP(-LN(2)/25)*EW121+(1-EXP(-LN(2)/25))/(LN(2)/25)*Calculateur!ER122*Calculateur!ET122*VLOOKUP('Données projet'!$B$15,Paramètres!$A$1:$I$89,3,0)*0.475*44/12</f>
        <v>22.630255490445119</v>
      </c>
      <c r="EX122" s="21">
        <f>EXP(-LN(2)/2)*EX121+(1-EXP(-LN(2)/2))/(LN(2)/2)*ER122*EU122*VLOOKUP('Données projet'!$B$15,Paramètres!$A$1:$I$89,3,0)*0.475*44/12</f>
        <v>0.51183558589596034</v>
      </c>
      <c r="EY122" s="22">
        <f t="shared" si="75"/>
        <v>41.748226602640699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7.0011111111111104</v>
      </c>
      <c r="N123" s="13">
        <f>IF('Données projet'!$A$36&gt;35,N122+M123-V122,IF(A123&lt;'Données projet'!$A$36,$K$205^A123,IF(A123='Données projet'!$A$36,'Données projet'!$B$36,N122+M123-V122)))</f>
        <v>301.26777777777778</v>
      </c>
      <c r="O123" s="13">
        <f>N123*VLOOKUP('Données projet'!$B$9,Paramètres!$A$1:$I$89,3,0)*VLOOKUP('Données projet'!$B$9,Paramètres!$A$1:$I$89,5,0)</f>
        <v>305.48552666666666</v>
      </c>
      <c r="P123" s="13">
        <f t="shared" si="87"/>
        <v>72.325225017462003</v>
      </c>
      <c r="Q123" s="20">
        <f t="shared" si="107"/>
        <v>658.020392516524</v>
      </c>
      <c r="R123" s="59">
        <f t="shared" si="55"/>
        <v>951.35372584985726</v>
      </c>
      <c r="S123" s="59">
        <f ca="1">AVERAGE(OFFSET($R$3,0,0,'Données projet'!$E$9+1,1))-AVERAGE(OFFSET($H$3,0,0,'Données projet'!$E$9+1,1))</f>
        <v>533.26035274112917</v>
      </c>
      <c r="T123" s="59">
        <f t="shared" si="88"/>
        <v>262.58149402282521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18.526300565958014</v>
      </c>
      <c r="AA123" s="21">
        <f>EXP(-LN(2)/25)*AA122+(1-EXP(-LN(2)/25))/(LN(2)/25)*Calculateur!V123*Calculateur!X123*VLOOKUP('Données projet'!$B$9,Paramètres!$A$1:$I$89,3,0)*0.475*44/12</f>
        <v>22.355358557172757</v>
      </c>
      <c r="AB123" s="21">
        <f>EXP(-LN(2)/2)*AB122+(1-EXP(-LN(2)/2))/(LN(2)/2)*V123*Y123*VLOOKUP('Données projet'!$B$9,Paramètres!$A$1:$I$89,3,0)*0.475*44/12</f>
        <v>0.36757745135274228</v>
      </c>
      <c r="AC123" s="22">
        <f t="shared" si="57"/>
        <v>41.249236574483518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7.8516666666666692</v>
      </c>
      <c r="AI123" s="13">
        <f>IF('Données projet'!$A$62&gt;35,AI122+AH123-AQ122,IF(A123&lt;'Données projet'!$A$62,$AF$205^A123,IF(A123='Données projet'!$A$62,'Données projet'!$B$62,AI122+AH123-AQ122)))</f>
        <v>365.35166666666709</v>
      </c>
      <c r="AJ123" s="13">
        <f>AI123*VLOOKUP('Données projet'!$B$10,Paramètres!$A$1:$I$89,3,0)*VLOOKUP('Données projet'!$B$10,Paramètres!$A$1:$I$89,5,0)</f>
        <v>330.57018800000037</v>
      </c>
      <c r="AK123" s="13">
        <f t="shared" si="89"/>
        <v>77.548509811581681</v>
      </c>
      <c r="AL123" s="20">
        <f t="shared" si="58"/>
        <v>710.80673202183868</v>
      </c>
      <c r="AM123" s="59">
        <f t="shared" si="59"/>
        <v>1004.1400653551721</v>
      </c>
      <c r="AN123" s="59">
        <f ca="1">AVERAGE(OFFSET($AM$3,0,0,'Données projet'!$E$10+1,1))-AVERAGE(OFFSET($H$3,0,0,'Données projet'!$E$10+1,1))</f>
        <v>482.62991869403385</v>
      </c>
      <c r="AO123" s="59">
        <f t="shared" si="90"/>
        <v>310.43914804089906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29.475642818062351</v>
      </c>
      <c r="AV123" s="21">
        <f>EXP(-LN(2)/25)*AV122+(1-EXP(-LN(2)/25))/(LN(2)/25)*Calculateur!AQ123*Calculateur!AS123*VLOOKUP('Données projet'!$B$10,Paramètres!$A$1:$I$89,3,0)*0.475*44/12</f>
        <v>17.998156522256764</v>
      </c>
      <c r="AW123" s="21">
        <f>EXP(-LN(2)/2)*AW122+(1-EXP(-LN(2)/2))/(LN(2)/2)*AQ123*AT123*VLOOKUP('Données projet'!$B$10,Paramètres!$A$1:$I$89,3,0)*0.475*44/12</f>
        <v>1.3724373146774977E-2</v>
      </c>
      <c r="AX123" s="21">
        <f t="shared" si="60"/>
        <v>47.48752371346589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384.34044781465661</v>
      </c>
      <c r="BJ123" s="59">
        <f t="shared" si="92"/>
        <v>374.99493809709708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25.848615777103987</v>
      </c>
      <c r="BQ123" s="21">
        <f>EXP(-LN(2)/25)*BQ122+(1-EXP(-LN(2)/25))/(LN(2)/25)*Calculateur!BL123*Calculateur!BN123*VLOOKUP('Données projet'!$B$11,Paramètres!$A$1:$I$89,3,0)*0.475*44/12</f>
        <v>18.590377639077019</v>
      </c>
      <c r="BR123" s="21">
        <f>EXP(-LN(2)/2)*BR122+(1-EXP(-LN(2)/2))/(LN(2)/2)*BL123*BO123*VLOOKUP('Données projet'!$B$11,Paramètres!$A$1:$I$89,3,0)*0.475*44/12</f>
        <v>6.5365847184545154E-5</v>
      </c>
      <c r="BS123" s="22">
        <f t="shared" si="63"/>
        <v>44.439058782028191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7.8516666666666692</v>
      </c>
      <c r="BY123" s="12">
        <f>IF('Données projet'!$A$114&gt;35,BY122+BX123-CG122,IF(A123&lt;'Données projet'!$A$114,$BV$205^A123,IF(A123='Données projet'!$A$114,'Données projet'!$B$114,BY122+BX123-CG122)))</f>
        <v>365.35166666666709</v>
      </c>
      <c r="BZ123" s="13">
        <f>BY123*VLOOKUP('Données projet'!$B$12,Paramètres!$A$1:$I$89,3,0)*VLOOKUP('Données projet'!$B$12,Paramètres!$A$1:$I$89,5,0)</f>
        <v>347.66864600000042</v>
      </c>
      <c r="CA123" s="13">
        <f t="shared" si="93"/>
        <v>81.082274672808197</v>
      </c>
      <c r="CB123" s="20">
        <f t="shared" si="64"/>
        <v>746.74118683847485</v>
      </c>
      <c r="CC123" s="59">
        <f t="shared" si="65"/>
        <v>1040.0745201718082</v>
      </c>
      <c r="CD123" s="59">
        <f ca="1">AVERAGE(OFFSET($CC$3,0,0,'Données projet'!$E$12+1,1))-AVERAGE(OFFSET($H$3,0,0,'Données projet'!$E$12+1,1))</f>
        <v>513.14430745499283</v>
      </c>
      <c r="CE123" s="59">
        <f t="shared" si="94"/>
        <v>324.2490378019823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31.000245032789739</v>
      </c>
      <c r="CL123" s="21">
        <f>EXP(-LN(2)/25)*CL122+(1-EXP(-LN(2)/25))/(LN(2)/25)*Calculateur!CG123*Calculateur!CI123*VLOOKUP('Données projet'!$B$12,Paramètres!$A$1:$I$89,3,0)*0.475*44/12</f>
        <v>18.929095652718313</v>
      </c>
      <c r="CM123" s="21">
        <f>EXP(-LN(2)/2)*CM122+(1-EXP(-LN(2)/2))/(LN(2)/2)*CG123*CJ123*VLOOKUP('Données projet'!$B$12,Paramètres!$A$1:$I$89,3,0)*0.475*44/12</f>
        <v>1.4434254516435735E-2</v>
      </c>
      <c r="CN123" s="22">
        <f t="shared" si="66"/>
        <v>49.94377494002449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-1.1368683772161603E-13</v>
      </c>
      <c r="CU123" s="17">
        <f>CT123*VLOOKUP('Données projet'!$B$13,Paramètres!$A$1:$I$89,3,0)*VLOOKUP('Données projet'!$B$13,Paramètres!$A$1:$I$89,5,0)</f>
        <v>-8.8675733422860506E-14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197.51452239559433</v>
      </c>
      <c r="CZ123" s="59">
        <f t="shared" si="96"/>
        <v>196.65166921588821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10.038892606971816</v>
      </c>
      <c r="DG123" s="21">
        <f>EXP(-LN(2)/25)*DG122+(1-EXP(-LN(2)/25))/(LN(2)/25)*Calculateur!DB123*Calculateur!DD123*VLOOKUP('Données projet'!$B$13,Paramètres!$A$1:$I$89,3,0)*0.475*44/12</f>
        <v>6.5989622025873551</v>
      </c>
      <c r="DH123" s="21">
        <f>EXP(-LN(2)/2)*DH122+(1-EXP(-LN(2)/2))/(LN(2)/2)*DB123*DE123*VLOOKUP('Données projet'!$B$13,Paramètres!$A$1:$I$89,3,0)*0.475*44/12</f>
        <v>8.2072911562356849E-7</v>
      </c>
      <c r="DI123" s="22">
        <f t="shared" si="69"/>
        <v>16.637855630288289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>
        <f>DO123*VLOOKUP('Données projet'!$B$14,Paramètres!$A$1:$I$89,3,0)*VLOOKUP('Données projet'!$B$14,Paramètres!$A$1:$I$89,5,0)</f>
        <v>0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239.26156489359892</v>
      </c>
      <c r="DU123" s="59">
        <f t="shared" si="98"/>
        <v>213.97034450798111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5.9698449596376495</v>
      </c>
      <c r="EB123" s="21">
        <f>EXP(-LN(2)/25)*EB122+(1-EXP(-LN(2)/25))/(LN(2)/25)*Calculateur!DW123*Calculateur!DY123*VLOOKUP('Données projet'!$B$14,Paramètres!$A$1:$I$89,3,0)*0.475*44/12</f>
        <v>27.797956951967834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33.767801911605481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7.0011111111111104</v>
      </c>
      <c r="EJ123" s="12">
        <f>IF('Données projet'!$A$192&gt;35,EJ122+EI123-ER122,IF(A123&lt;'Données projet'!$A$192,$EG$205^A123,IF(A123='Données projet'!$A$192,'Données projet'!$B$192,EJ122+EI123-ER122)))</f>
        <v>301.26777777777778</v>
      </c>
      <c r="EK123" s="17">
        <f>EJ123*VLOOKUP('Données projet'!$B$15,Paramètres!$A$1:$I$89,3,0)*VLOOKUP('Données projet'!$B$15,Paramètres!$A$1:$I$89,5,0)</f>
        <v>300.78574933333334</v>
      </c>
      <c r="EL123" s="13">
        <f t="shared" si="99"/>
        <v>71.341161631711415</v>
      </c>
      <c r="EM123" s="20">
        <f t="shared" si="73"/>
        <v>648.12103659745299</v>
      </c>
      <c r="EN123" s="59">
        <f t="shared" si="74"/>
        <v>941.45436993078624</v>
      </c>
      <c r="EO123" s="59">
        <f ca="1">AVERAGE(OFFSET($EN$3,0,0,'Données projet'!$E$15+1,1))-AVERAGE(OFFSET($H$3,0,0,'Données projet'!$E$15+1,1))</f>
        <v>525.74725170626471</v>
      </c>
      <c r="EP123" s="59">
        <f t="shared" si="100"/>
        <v>259.19103598192197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18.241280557250974</v>
      </c>
      <c r="EW123" s="21">
        <f>EXP(-LN(2)/25)*EW122+(1-EXP(-LN(2)/25))/(LN(2)/25)*Calculateur!ER123*Calculateur!ET123*VLOOKUP('Données projet'!$B$15,Paramètres!$A$1:$I$89,3,0)*0.475*44/12</f>
        <v>22.011429963985485</v>
      </c>
      <c r="EX123" s="21">
        <f>EXP(-LN(2)/2)*EX122+(1-EXP(-LN(2)/2))/(LN(2)/2)*ER123*EU123*VLOOKUP('Données projet'!$B$15,Paramètres!$A$1:$I$89,3,0)*0.475*44/12</f>
        <v>0.36192241363962319</v>
      </c>
      <c r="EY123" s="22">
        <f t="shared" si="75"/>
        <v>40.614632934876084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7.0011111111111104</v>
      </c>
      <c r="N124" s="13">
        <f>IF('Données projet'!$A$36&gt;35,N123+M124-V123,IF(A124&lt;'Données projet'!$A$36,$K$205^A124,IF(A124='Données projet'!$A$36,'Données projet'!$B$36,N123+M124-V123)))</f>
        <v>308.26888888888891</v>
      </c>
      <c r="O124" s="13">
        <f>N124*VLOOKUP('Données projet'!$B$9,Paramètres!$A$1:$I$89,3,0)*VLOOKUP('Données projet'!$B$9,Paramètres!$A$1:$I$89,5,0)</f>
        <v>312.58465333333339</v>
      </c>
      <c r="P124" s="13">
        <f t="shared" si="87"/>
        <v>73.808347542593367</v>
      </c>
      <c r="Q124" s="20">
        <f t="shared" si="107"/>
        <v>672.96780985890575</v>
      </c>
      <c r="R124" s="59">
        <f t="shared" si="55"/>
        <v>966.30114319223912</v>
      </c>
      <c r="S124" s="59">
        <f ca="1">AVERAGE(OFFSET($R$3,0,0,'Données projet'!$E$9+1,1))-AVERAGE(OFFSET($H$3,0,0,'Données projet'!$E$9+1,1))</f>
        <v>533.26035274112917</v>
      </c>
      <c r="T124" s="59">
        <f t="shared" si="88"/>
        <v>262.58149402282521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18.163011111787146</v>
      </c>
      <c r="AA124" s="21">
        <f>EXP(-LN(2)/25)*AA123+(1-EXP(-LN(2)/25))/(LN(2)/25)*Calculateur!V124*Calculateur!X124*VLOOKUP('Données projet'!$B$9,Paramètres!$A$1:$I$89,3,0)*0.475*44/12</f>
        <v>21.744050101809655</v>
      </c>
      <c r="AB124" s="21">
        <f>EXP(-LN(2)/2)*AB123+(1-EXP(-LN(2)/2))/(LN(2)/2)*V124*Y124*VLOOKUP('Données projet'!$B$9,Paramètres!$A$1:$I$89,3,0)*0.475*44/12</f>
        <v>0.25991650846279235</v>
      </c>
      <c r="AC124" s="22">
        <f t="shared" si="57"/>
        <v>40.166977722059599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7.8516666666666692</v>
      </c>
      <c r="AI124" s="13">
        <f>IF('Données projet'!$A$62&gt;35,AI123+AH124-AQ123,IF(A124&lt;'Données projet'!$A$62,$AF$205^A124,IF(A124='Données projet'!$A$62,'Données projet'!$B$62,AI123+AH124-AQ123)))</f>
        <v>373.20333333333377</v>
      </c>
      <c r="AJ124" s="13">
        <f>AI124*VLOOKUP('Données projet'!$B$10,Paramètres!$A$1:$I$89,3,0)*VLOOKUP('Données projet'!$B$10,Paramètres!$A$1:$I$89,5,0)</f>
        <v>337.67437600000039</v>
      </c>
      <c r="AK124" s="13">
        <f t="shared" si="89"/>
        <v>79.019266011670013</v>
      </c>
      <c r="AL124" s="20">
        <f t="shared" si="58"/>
        <v>725.74142650365923</v>
      </c>
      <c r="AM124" s="59">
        <f t="shared" si="59"/>
        <v>1019.0747598369926</v>
      </c>
      <c r="AN124" s="59">
        <f ca="1">AVERAGE(OFFSET($AM$3,0,0,'Données projet'!$E$10+1,1))-AVERAGE(OFFSET($H$3,0,0,'Données projet'!$E$10+1,1))</f>
        <v>482.62991869403385</v>
      </c>
      <c r="AO124" s="59">
        <f t="shared" si="90"/>
        <v>310.43914804089906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28.897643440767052</v>
      </c>
      <c r="AV124" s="21">
        <f>EXP(-LN(2)/25)*AV123+(1-EXP(-LN(2)/25))/(LN(2)/25)*Calculateur!AQ124*Calculateur!AS124*VLOOKUP('Données projet'!$B$10,Paramètres!$A$1:$I$89,3,0)*0.475*44/12</f>
        <v>17.505995985673735</v>
      </c>
      <c r="AW124" s="21">
        <f>EXP(-LN(2)/2)*AW123+(1-EXP(-LN(2)/2))/(LN(2)/2)*AQ124*AT124*VLOOKUP('Données projet'!$B$10,Paramètres!$A$1:$I$89,3,0)*0.475*44/12</f>
        <v>9.7045973196191425E-3</v>
      </c>
      <c r="AX124" s="21">
        <f t="shared" si="60"/>
        <v>46.413344023760409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384.34044781465661</v>
      </c>
      <c r="BJ124" s="59">
        <f t="shared" si="92"/>
        <v>374.99493809709708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25.34174018781383</v>
      </c>
      <c r="BQ124" s="21">
        <f>EXP(-LN(2)/25)*BQ123+(1-EXP(-LN(2)/25))/(LN(2)/25)*Calculateur!BL124*Calculateur!BN124*VLOOKUP('Données projet'!$B$11,Paramètres!$A$1:$I$89,3,0)*0.475*44/12</f>
        <v>18.082022784910986</v>
      </c>
      <c r="BR124" s="21">
        <f>EXP(-LN(2)/2)*BR123+(1-EXP(-LN(2)/2))/(LN(2)/2)*BL124*BO124*VLOOKUP('Données projet'!$B$11,Paramètres!$A$1:$I$89,3,0)*0.475*44/12</f>
        <v>4.6220633802195475E-5</v>
      </c>
      <c r="BS124" s="22">
        <f t="shared" si="63"/>
        <v>43.423809193358622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7.8516666666666692</v>
      </c>
      <c r="BY124" s="12">
        <f>IF('Données projet'!$A$114&gt;35,BY123+BX124-CG123,IF(A124&lt;'Données projet'!$A$114,$BV$205^A124,IF(A124='Données projet'!$A$114,'Données projet'!$B$114,BY123+BX124-CG123)))</f>
        <v>373.20333333333377</v>
      </c>
      <c r="BZ124" s="13">
        <f>BY124*VLOOKUP('Données projet'!$B$12,Paramètres!$A$1:$I$89,3,0)*VLOOKUP('Données projet'!$B$12,Paramètres!$A$1:$I$89,5,0)</f>
        <v>355.14029200000039</v>
      </c>
      <c r="CA124" s="13">
        <f t="shared" si="93"/>
        <v>82.620050943197441</v>
      </c>
      <c r="CB124" s="20">
        <f t="shared" si="64"/>
        <v>762.4325972927362</v>
      </c>
      <c r="CC124" s="59">
        <f t="shared" si="65"/>
        <v>1055.7659306260696</v>
      </c>
      <c r="CD124" s="59">
        <f ca="1">AVERAGE(OFFSET($CC$3,0,0,'Données projet'!$E$12+1,1))-AVERAGE(OFFSET($H$3,0,0,'Données projet'!$E$12+1,1))</f>
        <v>513.14430745499283</v>
      </c>
      <c r="CE124" s="59">
        <f t="shared" si="94"/>
        <v>324.2490378019823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30.392349135979163</v>
      </c>
      <c r="CL124" s="21">
        <f>EXP(-LN(2)/25)*CL123+(1-EXP(-LN(2)/25))/(LN(2)/25)*Calculateur!CG124*Calculateur!CI124*VLOOKUP('Données projet'!$B$12,Paramètres!$A$1:$I$89,3,0)*0.475*44/12</f>
        <v>18.411478536656855</v>
      </c>
      <c r="CM124" s="21">
        <f>EXP(-LN(2)/2)*CM123+(1-EXP(-LN(2)/2))/(LN(2)/2)*CG124*CJ124*VLOOKUP('Données projet'!$B$12,Paramètres!$A$1:$I$89,3,0)*0.475*44/12</f>
        <v>1.0206559249944258E-2</v>
      </c>
      <c r="CN124" s="22">
        <f t="shared" si="66"/>
        <v>48.814034231885962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-1.1368683772161603E-13</v>
      </c>
      <c r="CU124" s="17">
        <f>CT124*VLOOKUP('Données projet'!$B$13,Paramètres!$A$1:$I$89,3,0)*VLOOKUP('Données projet'!$B$13,Paramètres!$A$1:$I$89,5,0)</f>
        <v>-8.8675733422860506E-14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197.51452239559433</v>
      </c>
      <c r="CZ124" s="59">
        <f t="shared" si="96"/>
        <v>196.65166921588821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9.84203604606898</v>
      </c>
      <c r="DG124" s="21">
        <f>EXP(-LN(2)/25)*DG123+(1-EXP(-LN(2)/25))/(LN(2)/25)*Calculateur!DB124*Calculateur!DD124*VLOOKUP('Données projet'!$B$13,Paramètres!$A$1:$I$89,3,0)*0.475*44/12</f>
        <v>6.4185132341332638</v>
      </c>
      <c r="DH124" s="21">
        <f>EXP(-LN(2)/2)*DH123+(1-EXP(-LN(2)/2))/(LN(2)/2)*DB124*DE124*VLOOKUP('Données projet'!$B$13,Paramètres!$A$1:$I$89,3,0)*0.475*44/12</f>
        <v>5.803431231746633E-7</v>
      </c>
      <c r="DI124" s="22">
        <f t="shared" si="69"/>
        <v>16.260549860545368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>
        <f>DO124*VLOOKUP('Données projet'!$B$14,Paramètres!$A$1:$I$89,3,0)*VLOOKUP('Données projet'!$B$14,Paramètres!$A$1:$I$89,5,0)</f>
        <v>0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239.26156489359892</v>
      </c>
      <c r="DU124" s="59">
        <f t="shared" si="98"/>
        <v>213.97034450798111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5.8527799412250374</v>
      </c>
      <c r="EB124" s="21">
        <f>EXP(-LN(2)/25)*EB123+(1-EXP(-LN(2)/25))/(LN(2)/25)*Calculateur!DW124*Calculateur!DY124*VLOOKUP('Données projet'!$B$14,Paramètres!$A$1:$I$89,3,0)*0.475*44/12</f>
        <v>27.037820357285248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32.890600298510286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7.0011111111111104</v>
      </c>
      <c r="EJ124" s="12">
        <f>IF('Données projet'!$A$192&gt;35,EJ123+EI124-ER123,IF(A124&lt;'Données projet'!$A$192,$EG$205^A124,IF(A124='Données projet'!$A$192,'Données projet'!$B$192,EJ123+EI124-ER123)))</f>
        <v>308.26888888888891</v>
      </c>
      <c r="EK124" s="17">
        <f>EJ124*VLOOKUP('Données projet'!$B$15,Paramètres!$A$1:$I$89,3,0)*VLOOKUP('Données projet'!$B$15,Paramètres!$A$1:$I$89,5,0)</f>
        <v>307.77565866666669</v>
      </c>
      <c r="EL124" s="13">
        <f t="shared" si="99"/>
        <v>72.804104661055376</v>
      </c>
      <c r="EM124" s="20">
        <f t="shared" si="73"/>
        <v>662.84308779578248</v>
      </c>
      <c r="EN124" s="59">
        <f t="shared" si="74"/>
        <v>956.17642112911585</v>
      </c>
      <c r="EO124" s="59">
        <f ca="1">AVERAGE(OFFSET($EN$3,0,0,'Données projet'!$E$15+1,1))-AVERAGE(OFFSET($H$3,0,0,'Données projet'!$E$15+1,1))</f>
        <v>525.74725170626471</v>
      </c>
      <c r="EP124" s="59">
        <f t="shared" si="100"/>
        <v>259.19103598192197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17.883580171605814</v>
      </c>
      <c r="EW124" s="21">
        <f>EXP(-LN(2)/25)*EW123+(1-EXP(-LN(2)/25))/(LN(2)/25)*Calculateur!ER124*Calculateur!ET124*VLOOKUP('Données projet'!$B$15,Paramètres!$A$1:$I$89,3,0)*0.475*44/12</f>
        <v>21.409526254089506</v>
      </c>
      <c r="EX124" s="21">
        <f>EXP(-LN(2)/2)*EX123+(1-EXP(-LN(2)/2))/(LN(2)/2)*ER124*EU124*VLOOKUP('Données projet'!$B$15,Paramètres!$A$1:$I$89,3,0)*0.475*44/12</f>
        <v>0.25591779294798017</v>
      </c>
      <c r="EY124" s="22">
        <f t="shared" si="75"/>
        <v>39.549024218643304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>
        <f>VLOOKUP(A125,'Données projet'!$A$35:$I$55,2,0)</f>
        <v>315.27</v>
      </c>
      <c r="L125" s="12">
        <f>VLOOKUP(A125,'Données projet'!$A$35:$I$55,9,0)</f>
        <v>7.0011111111111104</v>
      </c>
      <c r="M125" s="12">
        <f t="array" ref="M125">INDEX(L:L,MIN(IF(ISNUMBER(L125:L321),ROW(L125:L321),"")))</f>
        <v>7.0011111111111104</v>
      </c>
      <c r="N125" s="13">
        <f>IF('Données projet'!$A$36&gt;35,N124+M125-V124,IF(A125&lt;'Données projet'!$A$36,$K$205^A125,IF(A125='Données projet'!$A$36,'Données projet'!$B$36,N124+M125-V124)))</f>
        <v>315.27000000000004</v>
      </c>
      <c r="O125" s="13">
        <f>N125*VLOOKUP('Données projet'!$B$9,Paramètres!$A$1:$I$89,3,0)*VLOOKUP('Données projet'!$B$9,Paramètres!$A$1:$I$89,5,0)</f>
        <v>319.68378000000007</v>
      </c>
      <c r="P125" s="13">
        <f t="shared" si="87"/>
        <v>75.287554156575837</v>
      </c>
      <c r="Q125" s="20">
        <f t="shared" si="107"/>
        <v>687.90840698936972</v>
      </c>
      <c r="R125" s="59">
        <f t="shared" si="55"/>
        <v>981.24174032270298</v>
      </c>
      <c r="S125" s="59">
        <f ca="1">AVERAGE(OFFSET($R$3,0,0,'Données projet'!$E$9+1,1))-AVERAGE(OFFSET($H$3,0,0,'Données projet'!$E$9+1,1))</f>
        <v>533.26035274112917</v>
      </c>
      <c r="T125" s="59">
        <f t="shared" si="88"/>
        <v>262.58149402282521</v>
      </c>
      <c r="U125" s="15">
        <f>IF(ISNA(VLOOKUP(A125,'Données projet'!$A$35:$I$55,3,0)),0,VLOOKUP(A125,'Données projet'!$A$35:$I$55,3,0))</f>
        <v>8</v>
      </c>
      <c r="V125" s="15">
        <f>IF(ISNA(VLOOKUP(A125,'Données projet'!$A$35:$I$55,4,0)),0,VLOOKUP(A125,'Données projet'!$A$35:$I$55,4,0))</f>
        <v>45.829999999999984</v>
      </c>
      <c r="W125" s="16">
        <f>IF(ISNA(VLOOKUP(A125,'Données projet'!$A$35:$I$55,5,0)),0%,VLOOKUP(A125,'Données projet'!$A$35:$I$55,5,0)*VLOOKUP('Données projet'!$B$9,Paramètres!$A$1:$I$89,7,0))</f>
        <v>0.15049999999999999</v>
      </c>
      <c r="X125" s="16">
        <f>IF(ISNA(VLOOKUP(A125,'Données projet'!$A$35:$I$55,6,0)),0%,VLOOKUP(A125,'Données projet'!$A$35:$I$55,6,0)*VLOOKUP('Données projet'!$B$9,Paramètres!$A$1:$I$89,7,0))</f>
        <v>8.6000000000000007E-2</v>
      </c>
      <c r="Y125" s="16">
        <f>IF(ISNA(VLOOKUP(A125,'Données projet'!$A$35:$I$55,7,0)),0%,VLOOKUP(A125,'Données projet'!$A$35:$I$55,7,0))</f>
        <v>0.1</v>
      </c>
      <c r="Z125" s="21">
        <f>EXP(-LN(2)/35)*Z124+(1-EXP(-LN(2)/35))/(LN(2)/35)*V125*W125*VLOOKUP('Données projet'!$B$9,Paramètres!$A$1:$I$89,3,0)*0.475*44/12</f>
        <v>25.538481951763991</v>
      </c>
      <c r="AA125" s="21">
        <f>EXP(-LN(2)/25)*AA124+(1-EXP(-LN(2)/25))/(LN(2)/25)*Calculateur!V125*Calculateur!X125*VLOOKUP('Données projet'!$B$9,Paramètres!$A$1:$I$89,3,0)*0.475*44/12</f>
        <v>25.550140200309961</v>
      </c>
      <c r="AB125" s="21">
        <f>EXP(-LN(2)/2)*AB124+(1-EXP(-LN(2)/2))/(LN(2)/2)*V125*Y125*VLOOKUP('Données projet'!$B$9,Paramètres!$A$1:$I$89,3,0)*0.475*44/12</f>
        <v>4.568511149207775</v>
      </c>
      <c r="AC125" s="22">
        <f t="shared" si="57"/>
        <v>55.657133301281725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7.8516666666666692</v>
      </c>
      <c r="AI125" s="13">
        <f>IF('Données projet'!$A$62&gt;35,AI124+AH125-AQ124,IF(A125&lt;'Données projet'!$A$62,$AF$205^A125,IF(A125='Données projet'!$A$62,'Données projet'!$B$62,AI124+AH125-AQ124)))</f>
        <v>381.05500000000046</v>
      </c>
      <c r="AJ125" s="13">
        <f>AI125*VLOOKUP('Données projet'!$B$10,Paramètres!$A$1:$I$89,3,0)*VLOOKUP('Données projet'!$B$10,Paramètres!$A$1:$I$89,5,0)</f>
        <v>344.77856400000042</v>
      </c>
      <c r="AK125" s="13">
        <f t="shared" si="89"/>
        <v>80.486424617240047</v>
      </c>
      <c r="AL125" s="20">
        <f t="shared" si="58"/>
        <v>740.66985517502701</v>
      </c>
      <c r="AM125" s="59">
        <f t="shared" si="59"/>
        <v>1034.0031885083604</v>
      </c>
      <c r="AN125" s="59">
        <f ca="1">AVERAGE(OFFSET($AM$3,0,0,'Données projet'!$E$10+1,1))-AVERAGE(OFFSET($H$3,0,0,'Données projet'!$E$10+1,1))</f>
        <v>482.62991869403385</v>
      </c>
      <c r="AO125" s="59">
        <f t="shared" si="90"/>
        <v>310.43914804089906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28.330978278715705</v>
      </c>
      <c r="AV125" s="21">
        <f>EXP(-LN(2)/25)*AV124+(1-EXP(-LN(2)/25))/(LN(2)/25)*Calculateur!AQ125*Calculateur!AS125*VLOOKUP('Données projet'!$B$10,Paramètres!$A$1:$I$89,3,0)*0.475*44/12</f>
        <v>17.02729360484517</v>
      </c>
      <c r="AW125" s="21">
        <f>EXP(-LN(2)/2)*AW124+(1-EXP(-LN(2)/2))/(LN(2)/2)*AQ125*AT125*VLOOKUP('Données projet'!$B$10,Paramètres!$A$1:$I$89,3,0)*0.475*44/12</f>
        <v>6.8621865733874887E-3</v>
      </c>
      <c r="AX125" s="21">
        <f t="shared" si="60"/>
        <v>45.36513407013426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384.34044781465661</v>
      </c>
      <c r="BJ125" s="59">
        <f t="shared" si="92"/>
        <v>374.99493809709708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24.844804119666069</v>
      </c>
      <c r="BQ125" s="21">
        <f>EXP(-LN(2)/25)*BQ124+(1-EXP(-LN(2)/25))/(LN(2)/25)*Calculateur!BL125*Calculateur!BN125*VLOOKUP('Données projet'!$B$11,Paramètres!$A$1:$I$89,3,0)*0.475*44/12</f>
        <v>17.587568920965346</v>
      </c>
      <c r="BR125" s="21">
        <f>EXP(-LN(2)/2)*BR124+(1-EXP(-LN(2)/2))/(LN(2)/2)*BL125*BO125*VLOOKUP('Données projet'!$B$11,Paramètres!$A$1:$I$89,3,0)*0.475*44/12</f>
        <v>3.2682923592272577E-5</v>
      </c>
      <c r="BS125" s="22">
        <f t="shared" si="63"/>
        <v>42.432405723555007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7.8516666666666692</v>
      </c>
      <c r="BY125" s="12">
        <f>IF('Données projet'!$A$114&gt;35,BY124+BX125-CG124,IF(A125&lt;'Données projet'!$A$114,$BV$205^A125,IF(A125='Données projet'!$A$114,'Données projet'!$B$114,BY124+BX125-CG124)))</f>
        <v>381.05500000000046</v>
      </c>
      <c r="BZ125" s="13">
        <f>BY125*VLOOKUP('Données projet'!$B$12,Paramètres!$A$1:$I$89,3,0)*VLOOKUP('Données projet'!$B$12,Paramètres!$A$1:$I$89,5,0)</f>
        <v>362.61193800000046</v>
      </c>
      <c r="CA125" s="13">
        <f t="shared" si="93"/>
        <v>84.154065682287012</v>
      </c>
      <c r="CB125" s="20">
        <f t="shared" si="64"/>
        <v>778.1174564133172</v>
      </c>
      <c r="CC125" s="59">
        <f t="shared" si="65"/>
        <v>1071.4507897466506</v>
      </c>
      <c r="CD125" s="59">
        <f ca="1">AVERAGE(OFFSET($CC$3,0,0,'Données projet'!$E$12+1,1))-AVERAGE(OFFSET($H$3,0,0,'Données projet'!$E$12+1,1))</f>
        <v>513.14430745499283</v>
      </c>
      <c r="CE125" s="59">
        <f t="shared" si="94"/>
        <v>324.2490378019823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29.796373706925159</v>
      </c>
      <c r="CL125" s="21">
        <f>EXP(-LN(2)/25)*CL124+(1-EXP(-LN(2)/25))/(LN(2)/25)*Calculateur!CG125*Calculateur!CI125*VLOOKUP('Données projet'!$B$12,Paramètres!$A$1:$I$89,3,0)*0.475*44/12</f>
        <v>17.908015687854398</v>
      </c>
      <c r="CM125" s="21">
        <f>EXP(-LN(2)/2)*CM124+(1-EXP(-LN(2)/2))/(LN(2)/2)*CG125*CJ125*VLOOKUP('Données projet'!$B$12,Paramètres!$A$1:$I$89,3,0)*0.475*44/12</f>
        <v>7.2171272582178675E-3</v>
      </c>
      <c r="CN125" s="22">
        <f t="shared" si="66"/>
        <v>47.711606522037769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-1.1368683772161603E-13</v>
      </c>
      <c r="CU125" s="17">
        <f>CT125*VLOOKUP('Données projet'!$B$13,Paramètres!$A$1:$I$89,3,0)*VLOOKUP('Données projet'!$B$13,Paramètres!$A$1:$I$89,5,0)</f>
        <v>-8.8675733422860506E-14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197.51452239559433</v>
      </c>
      <c r="CZ125" s="59">
        <f t="shared" si="96"/>
        <v>196.65166921588821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9.6490397222548037</v>
      </c>
      <c r="DG125" s="21">
        <f>EXP(-LN(2)/25)*DG124+(1-EXP(-LN(2)/25))/(LN(2)/25)*Calculateur!DB125*Calculateur!DD125*VLOOKUP('Données projet'!$B$13,Paramètres!$A$1:$I$89,3,0)*0.475*44/12</f>
        <v>6.2429986522109484</v>
      </c>
      <c r="DH125" s="21">
        <f>EXP(-LN(2)/2)*DH124+(1-EXP(-LN(2)/2))/(LN(2)/2)*DB125*DE125*VLOOKUP('Données projet'!$B$13,Paramètres!$A$1:$I$89,3,0)*0.475*44/12</f>
        <v>4.1036455781178424E-7</v>
      </c>
      <c r="DI125" s="22">
        <f t="shared" si="69"/>
        <v>15.89203878483031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>
        <f>DO125*VLOOKUP('Données projet'!$B$14,Paramètres!$A$1:$I$89,3,0)*VLOOKUP('Données projet'!$B$14,Paramètres!$A$1:$I$89,5,0)</f>
        <v>0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239.26156489359892</v>
      </c>
      <c r="DU125" s="59">
        <f t="shared" si="98"/>
        <v>213.97034450798111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5.7380104964208858</v>
      </c>
      <c r="EB125" s="21">
        <f>EXP(-LN(2)/25)*EB124+(1-EXP(-LN(2)/25))/(LN(2)/25)*Calculateur!DW125*Calculateur!DY125*VLOOKUP('Données projet'!$B$14,Paramètres!$A$1:$I$89,3,0)*0.475*44/12</f>
        <v>26.298469737758108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32.036480234178995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>
        <f>VLOOKUP(A125,'Données projet'!$A$191:$I$211,2,0)</f>
        <v>315.27</v>
      </c>
      <c r="EH125" s="12">
        <f>VLOOKUP(A125,'Données projet'!$A$191:$I$211,9,0)</f>
        <v>7.0011111111111104</v>
      </c>
      <c r="EI125" s="12">
        <f t="array" ref="EI125">INDEX(EH:EH,MIN(IF(ISNUMBER(EH125:EH321),ROW(EH125:EH321),"")))</f>
        <v>7.0011111111111104</v>
      </c>
      <c r="EJ125" s="12">
        <f>IF('Données projet'!$A$192&gt;35,EJ124+EI125-ER124,IF(A125&lt;'Données projet'!$A$192,$EG$205^A125,IF(A125='Données projet'!$A$192,'Données projet'!$B$192,EJ124+EI125-ER124)))</f>
        <v>315.27000000000004</v>
      </c>
      <c r="EK125" s="17">
        <f>EJ125*VLOOKUP('Données projet'!$B$15,Paramètres!$A$1:$I$89,3,0)*VLOOKUP('Données projet'!$B$15,Paramètres!$A$1:$I$89,5,0)</f>
        <v>314.76556800000003</v>
      </c>
      <c r="EL125" s="13">
        <f t="shared" si="99"/>
        <v>74.263185059482709</v>
      </c>
      <c r="EM125" s="20">
        <f t="shared" si="73"/>
        <v>677.55841157859902</v>
      </c>
      <c r="EN125" s="59">
        <f t="shared" si="74"/>
        <v>970.89174491193239</v>
      </c>
      <c r="EO125" s="59">
        <f ca="1">AVERAGE(OFFSET($EN$3,0,0,'Données projet'!$E$15+1,1))-AVERAGE(OFFSET($H$3,0,0,'Données projet'!$E$15+1,1))</f>
        <v>525.74725170626471</v>
      </c>
      <c r="EP125" s="59">
        <f t="shared" si="100"/>
        <v>259.19103598192197</v>
      </c>
      <c r="EQ125" s="15">
        <f>IF(ISNA(VLOOKUP(A125,'Données projet'!$A$191:$I$211,3,0)),0,VLOOKUP(A125,'Données projet'!$A$191:$I$211,3,0))</f>
        <v>8</v>
      </c>
      <c r="ER125" s="15">
        <f>IF(ISNA(VLOOKUP(A125,'Données projet'!$A$191:$I$211,4,0)),0,VLOOKUP(A125,'Données projet'!$A$191:$I$211,4,0))</f>
        <v>45.829999999999984</v>
      </c>
      <c r="ES125" s="16">
        <f>IF(ISNA(VLOOKUP(A125,'Données projet'!$A$191:$I$211,5,0)),0%,VLOOKUP(A125,'Données projet'!$A$191:$I$211,5,0)*VLOOKUP('Données projet'!$B$15,Paramètres!$A$1:$I$89,7,0))</f>
        <v>0.15049999999999999</v>
      </c>
      <c r="ET125" s="16">
        <f>IF(ISNA(VLOOKUP(A125,'Données projet'!$A$191:$I$211,6,0)),0%,VLOOKUP(A125,'Données projet'!$A$191:$I$211,6,0)*VLOOKUP('Données projet'!$B$15,Paramètres!$A$1:$I$89,7,0))</f>
        <v>8.6000000000000007E-2</v>
      </c>
      <c r="EU125" s="16">
        <f>IF(ISNA(VLOOKUP(A125,'Données projet'!$A$191:$I$211,7,0)),0%,VLOOKUP(A125,'Données projet'!$A$191:$I$211,7,0))</f>
        <v>0.1</v>
      </c>
      <c r="EV125" s="21">
        <f>EXP(-LN(2)/35)*EV124+(1-EXP(-LN(2)/35))/(LN(2)/35)*ER125*ES125*VLOOKUP('Données projet'!$B$15,Paramètres!$A$1:$I$89,3,0)*0.475*44/12</f>
        <v>25.14558222942917</v>
      </c>
      <c r="EW125" s="21">
        <f>EXP(-LN(2)/25)*EW124+(1-EXP(-LN(2)/25))/(LN(2)/25)*Calculateur!ER125*Calculateur!ET125*VLOOKUP('Données projet'!$B$15,Paramètres!$A$1:$I$89,3,0)*0.475*44/12</f>
        <v>25.157061120305194</v>
      </c>
      <c r="EX125" s="21">
        <f>EXP(-LN(2)/2)*EX124+(1-EXP(-LN(2)/2))/(LN(2)/2)*ER125*EU125*VLOOKUP('Données projet'!$B$15,Paramètres!$A$1:$I$89,3,0)*0.475*44/12</f>
        <v>4.4982263622968865</v>
      </c>
      <c r="EY125" s="22">
        <f t="shared" si="75"/>
        <v>54.800869712031258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7.1129999999999995</v>
      </c>
      <c r="N126" s="13">
        <f>IF('Données projet'!$A$36&gt;35,N125+M126-V125,IF(A126&lt;'Données projet'!$A$36,$K$205^A126,IF(A126='Données projet'!$A$36,'Données projet'!$B$36,N125+M126-V125)))</f>
        <v>276.55300000000005</v>
      </c>
      <c r="O126" s="13">
        <f>N126*VLOOKUP('Données projet'!$B$9,Paramètres!$A$1:$I$89,3,0)*VLOOKUP('Données projet'!$B$9,Paramètres!$A$1:$I$89,5,0)</f>
        <v>280.42474200000009</v>
      </c>
      <c r="P126" s="13">
        <f t="shared" si="87"/>
        <v>67.056761155527383</v>
      </c>
      <c r="Q126" s="20">
        <f t="shared" si="107"/>
        <v>605.19695132921026</v>
      </c>
      <c r="R126" s="59">
        <f t="shared" si="55"/>
        <v>898.53028466254364</v>
      </c>
      <c r="S126" s="59">
        <f ca="1">AVERAGE(OFFSET($R$3,0,0,'Données projet'!$E$9+1,1))-AVERAGE(OFFSET($H$3,0,0,'Données projet'!$E$9+1,1))</f>
        <v>533.26035274112917</v>
      </c>
      <c r="T126" s="59">
        <f t="shared" si="88"/>
        <v>262.58149402282521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25.037687897625794</v>
      </c>
      <c r="AA126" s="21">
        <f>EXP(-LN(2)/25)*AA125+(1-EXP(-LN(2)/25))/(LN(2)/25)*Calculateur!V126*Calculateur!X126*VLOOKUP('Données projet'!$B$9,Paramètres!$A$1:$I$89,3,0)*0.475*44/12</f>
        <v>24.851470272909008</v>
      </c>
      <c r="AB126" s="21">
        <f>EXP(-LN(2)/2)*AB125+(1-EXP(-LN(2)/2))/(LN(2)/2)*V126*Y126*VLOOKUP('Données projet'!$B$9,Paramètres!$A$1:$I$89,3,0)*0.475*44/12</f>
        <v>3.2304252135311651</v>
      </c>
      <c r="AC126" s="22">
        <f t="shared" si="57"/>
        <v>53.119583384065962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7.8516666666666692</v>
      </c>
      <c r="AI126" s="13">
        <f>IF('Données projet'!$A$62&gt;35,AI125+AH126-AQ125,IF(A126&lt;'Données projet'!$A$62,$AF$205^A126,IF(A126='Données projet'!$A$62,'Données projet'!$B$62,AI125+AH126-AQ125)))</f>
        <v>388.90666666666715</v>
      </c>
      <c r="AJ126" s="13">
        <f>AI126*VLOOKUP('Données projet'!$B$10,Paramètres!$A$1:$I$89,3,0)*VLOOKUP('Données projet'!$B$10,Paramètres!$A$1:$I$89,5,0)</f>
        <v>351.88275200000038</v>
      </c>
      <c r="AK126" s="13">
        <f t="shared" si="89"/>
        <v>81.950068298221169</v>
      </c>
      <c r="AL126" s="20">
        <f t="shared" si="58"/>
        <v>755.59216201940251</v>
      </c>
      <c r="AM126" s="59">
        <f t="shared" si="59"/>
        <v>1048.9254953527359</v>
      </c>
      <c r="AN126" s="59">
        <f ca="1">AVERAGE(OFFSET($AM$3,0,0,'Données projet'!$E$10+1,1))-AVERAGE(OFFSET($H$3,0,0,'Données projet'!$E$10+1,1))</f>
        <v>482.62991869403385</v>
      </c>
      <c r="AO126" s="59">
        <f t="shared" si="90"/>
        <v>310.43914804089906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27.775425074860564</v>
      </c>
      <c r="AV126" s="21">
        <f>EXP(-LN(2)/25)*AV125+(1-EXP(-LN(2)/25))/(LN(2)/25)*Calculateur!AQ126*Calculateur!AS126*VLOOKUP('Données projet'!$B$10,Paramètres!$A$1:$I$89,3,0)*0.475*44/12</f>
        <v>16.561681365794225</v>
      </c>
      <c r="AW126" s="21">
        <f>EXP(-LN(2)/2)*AW125+(1-EXP(-LN(2)/2))/(LN(2)/2)*AQ126*AT126*VLOOKUP('Données projet'!$B$10,Paramètres!$A$1:$I$89,3,0)*0.475*44/12</f>
        <v>4.8522986598095712E-3</v>
      </c>
      <c r="AX126" s="21">
        <f t="shared" si="60"/>
        <v>44.341958739314606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384.34044781465661</v>
      </c>
      <c r="BJ126" s="59">
        <f t="shared" si="92"/>
        <v>374.99493809709708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24.357612664713614</v>
      </c>
      <c r="BQ126" s="21">
        <f>EXP(-LN(2)/25)*BQ125+(1-EXP(-LN(2)/25))/(LN(2)/25)*Calculateur!BL126*Calculateur!BN126*VLOOKUP('Données projet'!$B$11,Paramètres!$A$1:$I$89,3,0)*0.475*44/12</f>
        <v>17.106635923931496</v>
      </c>
      <c r="BR126" s="21">
        <f>EXP(-LN(2)/2)*BR125+(1-EXP(-LN(2)/2))/(LN(2)/2)*BL126*BO126*VLOOKUP('Données projet'!$B$11,Paramètres!$A$1:$I$89,3,0)*0.475*44/12</f>
        <v>2.3110316901097737E-5</v>
      </c>
      <c r="BS126" s="22">
        <f t="shared" si="63"/>
        <v>41.464271698962008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7.8516666666666692</v>
      </c>
      <c r="BY126" s="12">
        <f>IF('Données projet'!$A$114&gt;35,BY125+BX126-CG125,IF(A126&lt;'Données projet'!$A$114,$BV$205^A126,IF(A126='Données projet'!$A$114,'Données projet'!$B$114,BY125+BX126-CG125)))</f>
        <v>388.90666666666715</v>
      </c>
      <c r="BZ126" s="13">
        <f>BY126*VLOOKUP('Données projet'!$B$12,Paramètres!$A$1:$I$89,3,0)*VLOOKUP('Données projet'!$B$12,Paramètres!$A$1:$I$89,5,0)</f>
        <v>370.08358400000049</v>
      </c>
      <c r="CA126" s="13">
        <f t="shared" si="93"/>
        <v>85.684405327146479</v>
      </c>
      <c r="CB126" s="20">
        <f t="shared" si="64"/>
        <v>793.79591474478093</v>
      </c>
      <c r="CC126" s="59">
        <f t="shared" si="65"/>
        <v>1087.1292480781142</v>
      </c>
      <c r="CD126" s="59">
        <f ca="1">AVERAGE(OFFSET($CC$3,0,0,'Données projet'!$E$12+1,1))-AVERAGE(OFFSET($H$3,0,0,'Données projet'!$E$12+1,1))</f>
        <v>513.14430745499283</v>
      </c>
      <c r="CE126" s="59">
        <f t="shared" si="94"/>
        <v>324.2490378019823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29.212084992525785</v>
      </c>
      <c r="CL126" s="21">
        <f>EXP(-LN(2)/25)*CL125+(1-EXP(-LN(2)/25))/(LN(2)/25)*Calculateur!CG126*Calculateur!CI126*VLOOKUP('Données projet'!$B$12,Paramètres!$A$1:$I$89,3,0)*0.475*44/12</f>
        <v>17.418320057128405</v>
      </c>
      <c r="CM126" s="21">
        <f>EXP(-LN(2)/2)*CM125+(1-EXP(-LN(2)/2))/(LN(2)/2)*CG126*CJ126*VLOOKUP('Données projet'!$B$12,Paramètres!$A$1:$I$89,3,0)*0.475*44/12</f>
        <v>5.1032796249721292E-3</v>
      </c>
      <c r="CN126" s="22">
        <f t="shared" si="66"/>
        <v>46.635508329279155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-1.1368683772161603E-13</v>
      </c>
      <c r="CU126" s="17">
        <f>CT126*VLOOKUP('Données projet'!$B$13,Paramètres!$A$1:$I$89,3,0)*VLOOKUP('Données projet'!$B$13,Paramètres!$A$1:$I$89,5,0)</f>
        <v>-8.8675733422860506E-14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197.51452239559433</v>
      </c>
      <c r="CZ126" s="59">
        <f t="shared" si="96"/>
        <v>196.65166921588821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9.4598279386344899</v>
      </c>
      <c r="DG126" s="21">
        <f>EXP(-LN(2)/25)*DG125+(1-EXP(-LN(2)/25))/(LN(2)/25)*Calculateur!DB126*Calculateur!DD126*VLOOKUP('Données projet'!$B$13,Paramètres!$A$1:$I$89,3,0)*0.475*44/12</f>
        <v>6.0722835257612093</v>
      </c>
      <c r="DH126" s="21">
        <f>EXP(-LN(2)/2)*DH125+(1-EXP(-LN(2)/2))/(LN(2)/2)*DB126*DE126*VLOOKUP('Données projet'!$B$13,Paramètres!$A$1:$I$89,3,0)*0.475*44/12</f>
        <v>2.9017156158733165E-7</v>
      </c>
      <c r="DI126" s="22">
        <f t="shared" si="69"/>
        <v>15.532111754567261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>
        <f>DO126*VLOOKUP('Données projet'!$B$14,Paramètres!$A$1:$I$89,3,0)*VLOOKUP('Données projet'!$B$14,Paramètres!$A$1:$I$89,5,0)</f>
        <v>0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239.26156489359892</v>
      </c>
      <c r="DU126" s="59">
        <f t="shared" si="98"/>
        <v>213.97034450798111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5.6254916104268942</v>
      </c>
      <c r="EB126" s="21">
        <f>EXP(-LN(2)/25)*EB125+(1-EXP(-LN(2)/25))/(LN(2)/25)*Calculateur!DW126*Calculateur!DY126*VLOOKUP('Données projet'!$B$14,Paramètres!$A$1:$I$89,3,0)*0.475*44/12</f>
        <v>25.579336699802695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31.20482831022959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7.1129999999999995</v>
      </c>
      <c r="EJ126" s="12">
        <f>IF('Données projet'!$A$192&gt;35,EJ125+EI126-ER125,IF(A126&lt;'Données projet'!$A$192,$EG$205^A126,IF(A126='Données projet'!$A$192,'Données projet'!$B$192,EJ125+EI126-ER125)))</f>
        <v>276.55300000000005</v>
      </c>
      <c r="EK126" s="17">
        <f>EJ126*VLOOKUP('Données projet'!$B$15,Paramètres!$A$1:$I$89,3,0)*VLOOKUP('Données projet'!$B$15,Paramètres!$A$1:$I$89,5,0)</f>
        <v>276.11051520000007</v>
      </c>
      <c r="EL126" s="13">
        <f t="shared" si="99"/>
        <v>66.144380953402276</v>
      </c>
      <c r="EM126" s="20">
        <f t="shared" si="73"/>
        <v>596.09394413384234</v>
      </c>
      <c r="EN126" s="59">
        <f t="shared" si="74"/>
        <v>889.4272774671756</v>
      </c>
      <c r="EO126" s="59">
        <f ca="1">AVERAGE(OFFSET($EN$3,0,0,'Données projet'!$E$15+1,1))-AVERAGE(OFFSET($H$3,0,0,'Données projet'!$E$15+1,1))</f>
        <v>525.74725170626471</v>
      </c>
      <c r="EP126" s="59">
        <f t="shared" si="100"/>
        <v>259.19103598192197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24.652492699200792</v>
      </c>
      <c r="EW126" s="21">
        <f>EXP(-LN(2)/25)*EW125+(1-EXP(-LN(2)/25))/(LN(2)/25)*Calculateur!ER126*Calculateur!ET126*VLOOKUP('Données projet'!$B$15,Paramètres!$A$1:$I$89,3,0)*0.475*44/12</f>
        <v>24.469139961018101</v>
      </c>
      <c r="EX126" s="21">
        <f>EXP(-LN(2)/2)*EX125+(1-EXP(-LN(2)/2))/(LN(2)/2)*ER126*EU126*VLOOKUP('Données projet'!$B$15,Paramètres!$A$1:$I$89,3,0)*0.475*44/12</f>
        <v>3.1807263640922243</v>
      </c>
      <c r="EY126" s="22">
        <f t="shared" si="75"/>
        <v>52.302359024311116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7.1129999999999995</v>
      </c>
      <c r="N127" s="13">
        <f>IF('Données projet'!$A$36&gt;35,N126+M127-V126,IF(A127&lt;'Données projet'!$A$36,$K$205^A127,IF(A127='Données projet'!$A$36,'Données projet'!$B$36,N126+M127-V126)))</f>
        <v>283.66600000000005</v>
      </c>
      <c r="O127" s="13">
        <f>N127*VLOOKUP('Données projet'!$B$9,Paramètres!$A$1:$I$89,3,0)*VLOOKUP('Données projet'!$B$9,Paramètres!$A$1:$I$89,5,0)</f>
        <v>287.63732400000009</v>
      </c>
      <c r="P127" s="13">
        <f t="shared" si="87"/>
        <v>68.578458468860646</v>
      </c>
      <c r="Q127" s="20">
        <f t="shared" si="107"/>
        <v>620.40915446659915</v>
      </c>
      <c r="R127" s="59">
        <f t="shared" si="55"/>
        <v>913.74248779993241</v>
      </c>
      <c r="S127" s="59">
        <f ca="1">AVERAGE(OFFSET($R$3,0,0,'Données projet'!$E$9+1,1))-AVERAGE(OFFSET($H$3,0,0,'Données projet'!$E$9+1,1))</f>
        <v>533.26035274112917</v>
      </c>
      <c r="T127" s="59">
        <f t="shared" si="88"/>
        <v>262.58149402282521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24.546714109435037</v>
      </c>
      <c r="AA127" s="21">
        <f>EXP(-LN(2)/25)*AA126+(1-EXP(-LN(2)/25))/(LN(2)/25)*Calculateur!V127*Calculateur!X127*VLOOKUP('Données projet'!$B$9,Paramètres!$A$1:$I$89,3,0)*0.475*44/12</f>
        <v>24.171905511414288</v>
      </c>
      <c r="AB127" s="21">
        <f>EXP(-LN(2)/2)*AB126+(1-EXP(-LN(2)/2))/(LN(2)/2)*V127*Y127*VLOOKUP('Données projet'!$B$9,Paramètres!$A$1:$I$89,3,0)*0.475*44/12</f>
        <v>2.284255574603888</v>
      </c>
      <c r="AC127" s="22">
        <f t="shared" si="57"/>
        <v>51.002875195453214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7.8516666666666692</v>
      </c>
      <c r="AI127" s="13">
        <f>IF('Données projet'!$A$62&gt;35,AI126+AH127-AQ126,IF(A127&lt;'Données projet'!$A$62,$AF$205^A127,IF(A127='Données projet'!$A$62,'Données projet'!$B$62,AI126+AH127-AQ126)))</f>
        <v>396.75833333333384</v>
      </c>
      <c r="AJ127" s="13">
        <f>AI127*VLOOKUP('Données projet'!$B$10,Paramètres!$A$1:$I$89,3,0)*VLOOKUP('Données projet'!$B$10,Paramètres!$A$1:$I$89,5,0)</f>
        <v>358.98694000000046</v>
      </c>
      <c r="AK127" s="13">
        <f t="shared" si="89"/>
        <v>83.410276195636754</v>
      </c>
      <c r="AL127" s="20">
        <f t="shared" si="58"/>
        <v>770.50848487406813</v>
      </c>
      <c r="AM127" s="59">
        <f t="shared" si="59"/>
        <v>1063.8418182074015</v>
      </c>
      <c r="AN127" s="59">
        <f ca="1">AVERAGE(OFFSET($AM$3,0,0,'Données projet'!$E$10+1,1))-AVERAGE(OFFSET($H$3,0,0,'Données projet'!$E$10+1,1))</f>
        <v>482.62991869403385</v>
      </c>
      <c r="AO127" s="59">
        <f t="shared" si="90"/>
        <v>310.43914804089906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27.230765930479027</v>
      </c>
      <c r="AV127" s="21">
        <f>EXP(-LN(2)/25)*AV126+(1-EXP(-LN(2)/25))/(LN(2)/25)*Calculateur!AQ127*Calculateur!AS127*VLOOKUP('Données projet'!$B$10,Paramètres!$A$1:$I$89,3,0)*0.475*44/12</f>
        <v>16.108801317905613</v>
      </c>
      <c r="AW127" s="21">
        <f>EXP(-LN(2)/2)*AW126+(1-EXP(-LN(2)/2))/(LN(2)/2)*AQ127*AT127*VLOOKUP('Données projet'!$B$10,Paramètres!$A$1:$I$89,3,0)*0.475*44/12</f>
        <v>3.4310932866937443E-3</v>
      </c>
      <c r="AX127" s="21">
        <f t="shared" si="60"/>
        <v>43.342998341671333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384.34044781465661</v>
      </c>
      <c r="BJ127" s="59">
        <f t="shared" si="92"/>
        <v>374.99493809709708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23.879974737035329</v>
      </c>
      <c r="BQ127" s="21">
        <f>EXP(-LN(2)/25)*BQ126+(1-EXP(-LN(2)/25))/(LN(2)/25)*Calculateur!BL127*Calculateur!BN127*VLOOKUP('Données projet'!$B$11,Paramètres!$A$1:$I$89,3,0)*0.475*44/12</f>
        <v>16.638854064992703</v>
      </c>
      <c r="BR127" s="21">
        <f>EXP(-LN(2)/2)*BR126+(1-EXP(-LN(2)/2))/(LN(2)/2)*BL127*BO127*VLOOKUP('Données projet'!$B$11,Paramètres!$A$1:$I$89,3,0)*0.475*44/12</f>
        <v>1.6341461796136289E-5</v>
      </c>
      <c r="BS127" s="22">
        <f t="shared" si="63"/>
        <v>40.518845143489827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7.8516666666666692</v>
      </c>
      <c r="BY127" s="12">
        <f>IF('Données projet'!$A$114&gt;35,BY126+BX127-CG126,IF(A127&lt;'Données projet'!$A$114,$BV$205^A127,IF(A127='Données projet'!$A$114,'Données projet'!$B$114,BY126+BX127-CG126)))</f>
        <v>396.75833333333384</v>
      </c>
      <c r="BZ127" s="13">
        <f>BY127*VLOOKUP('Données projet'!$B$12,Paramètres!$A$1:$I$89,3,0)*VLOOKUP('Données projet'!$B$12,Paramètres!$A$1:$I$89,5,0)</f>
        <v>377.55523000000051</v>
      </c>
      <c r="CA127" s="13">
        <f t="shared" si="93"/>
        <v>87.211152625132158</v>
      </c>
      <c r="CB127" s="20">
        <f t="shared" si="64"/>
        <v>809.46811640543945</v>
      </c>
      <c r="CC127" s="59">
        <f t="shared" si="65"/>
        <v>1102.8014497387728</v>
      </c>
      <c r="CD127" s="59">
        <f ca="1">AVERAGE(OFFSET($CC$3,0,0,'Données projet'!$E$12+1,1))-AVERAGE(OFFSET($H$3,0,0,'Données projet'!$E$12+1,1))</f>
        <v>513.14430745499283</v>
      </c>
      <c r="CE127" s="59">
        <f t="shared" si="94"/>
        <v>324.2490378019823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28.639253823434856</v>
      </c>
      <c r="CL127" s="21">
        <f>EXP(-LN(2)/25)*CL126+(1-EXP(-LN(2)/25))/(LN(2)/25)*Calculateur!CG127*Calculateur!CI127*VLOOKUP('Données projet'!$B$12,Paramètres!$A$1:$I$89,3,0)*0.475*44/12</f>
        <v>16.942015179176586</v>
      </c>
      <c r="CM127" s="21">
        <f>EXP(-LN(2)/2)*CM126+(1-EXP(-LN(2)/2))/(LN(2)/2)*CG127*CJ127*VLOOKUP('Données projet'!$B$12,Paramètres!$A$1:$I$89,3,0)*0.475*44/12</f>
        <v>3.6085636291089337E-3</v>
      </c>
      <c r="CN127" s="22">
        <f t="shared" si="66"/>
        <v>45.58487756624055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-1.1368683772161603E-13</v>
      </c>
      <c r="CU127" s="17">
        <f>CT127*VLOOKUP('Données projet'!$B$13,Paramètres!$A$1:$I$89,3,0)*VLOOKUP('Données projet'!$B$13,Paramètres!$A$1:$I$89,5,0)</f>
        <v>-8.8675733422860506E-14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197.51452239559433</v>
      </c>
      <c r="CZ127" s="59">
        <f t="shared" si="96"/>
        <v>196.65166921588821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9.2743264826831773</v>
      </c>
      <c r="DG127" s="21">
        <f>EXP(-LN(2)/25)*DG126+(1-EXP(-LN(2)/25))/(LN(2)/25)*Calculateur!DB127*Calculateur!DD127*VLOOKUP('Données projet'!$B$13,Paramètres!$A$1:$I$89,3,0)*0.475*44/12</f>
        <v>5.9062366134217568</v>
      </c>
      <c r="DH127" s="21">
        <f>EXP(-LN(2)/2)*DH126+(1-EXP(-LN(2)/2))/(LN(2)/2)*DB127*DE127*VLOOKUP('Données projet'!$B$13,Paramètres!$A$1:$I$89,3,0)*0.475*44/12</f>
        <v>2.0518227890589212E-7</v>
      </c>
      <c r="DI127" s="22">
        <f t="shared" si="69"/>
        <v>15.180563301287211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>
        <f>DO127*VLOOKUP('Données projet'!$B$14,Paramètres!$A$1:$I$89,3,0)*VLOOKUP('Données projet'!$B$14,Paramètres!$A$1:$I$89,5,0)</f>
        <v>0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239.26156489359892</v>
      </c>
      <c r="DU127" s="59">
        <f t="shared" si="98"/>
        <v>213.97034450798111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5.5151791511575015</v>
      </c>
      <c r="EB127" s="21">
        <f>EXP(-LN(2)/25)*EB126+(1-EXP(-LN(2)/25))/(LN(2)/25)*Calculateur!DW127*Calculateur!DY127*VLOOKUP('Données projet'!$B$14,Paramètres!$A$1:$I$89,3,0)*0.475*44/12</f>
        <v>24.879868392587735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30.395047543745235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7.1129999999999995</v>
      </c>
      <c r="EJ127" s="12">
        <f>IF('Données projet'!$A$192&gt;35,EJ126+EI127-ER126,IF(A127&lt;'Données projet'!$A$192,$EG$205^A127,IF(A127='Données projet'!$A$192,'Données projet'!$B$192,EJ126+EI127-ER126)))</f>
        <v>283.66600000000005</v>
      </c>
      <c r="EK127" s="17">
        <f>EJ127*VLOOKUP('Données projet'!$B$15,Paramètres!$A$1:$I$89,3,0)*VLOOKUP('Données projet'!$B$15,Paramètres!$A$1:$I$89,5,0)</f>
        <v>283.21213440000008</v>
      </c>
      <c r="EL127" s="13">
        <f t="shared" si="99"/>
        <v>67.645373918980169</v>
      </c>
      <c r="EM127" s="20">
        <f t="shared" si="73"/>
        <v>611.0768269888905</v>
      </c>
      <c r="EN127" s="59">
        <f t="shared" si="74"/>
        <v>904.41016032222387</v>
      </c>
      <c r="EO127" s="59">
        <f ca="1">AVERAGE(OFFSET($EN$3,0,0,'Données projet'!$E$15+1,1))-AVERAGE(OFFSET($H$3,0,0,'Données projet'!$E$15+1,1))</f>
        <v>525.74725170626471</v>
      </c>
      <c r="EP127" s="59">
        <f t="shared" si="100"/>
        <v>259.19103598192197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24.169072353905275</v>
      </c>
      <c r="EW127" s="21">
        <f>EXP(-LN(2)/25)*EW126+(1-EXP(-LN(2)/25))/(LN(2)/25)*Calculateur!ER127*Calculateur!ET127*VLOOKUP('Données projet'!$B$15,Paramètres!$A$1:$I$89,3,0)*0.475*44/12</f>
        <v>23.800030042007915</v>
      </c>
      <c r="EX127" s="21">
        <f>EXP(-LN(2)/2)*EX126+(1-EXP(-LN(2)/2))/(LN(2)/2)*ER127*EU127*VLOOKUP('Données projet'!$B$15,Paramètres!$A$1:$I$89,3,0)*0.475*44/12</f>
        <v>2.2491131811484437</v>
      </c>
      <c r="EY127" s="22">
        <f t="shared" si="75"/>
        <v>50.218215577061635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7.1129999999999995</v>
      </c>
      <c r="N128" s="13">
        <f>IF('Données projet'!$A$36&gt;35,N127+M128-V127,IF(A128&lt;'Données projet'!$A$36,$K$205^A128,IF(A128='Données projet'!$A$36,'Données projet'!$B$36,N127+M128-V127)))</f>
        <v>290.77900000000005</v>
      </c>
      <c r="O128" s="13">
        <f>N128*VLOOKUP('Données projet'!$B$9,Paramètres!$A$1:$I$89,3,0)*VLOOKUP('Données projet'!$B$9,Paramètres!$A$1:$I$89,5,0)</f>
        <v>294.84990600000009</v>
      </c>
      <c r="P128" s="13">
        <f t="shared" si="87"/>
        <v>70.095720295999868</v>
      </c>
      <c r="Q128" s="20">
        <f t="shared" si="107"/>
        <v>635.61363246553321</v>
      </c>
      <c r="R128" s="59">
        <f t="shared" si="55"/>
        <v>928.94696579886659</v>
      </c>
      <c r="S128" s="59">
        <f ca="1">AVERAGE(OFFSET($R$3,0,0,'Données projet'!$E$9+1,1))-AVERAGE(OFFSET($H$3,0,0,'Données projet'!$E$9+1,1))</f>
        <v>533.26035274112917</v>
      </c>
      <c r="T128" s="59">
        <f t="shared" si="88"/>
        <v>262.58149402282521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24.065368017766257</v>
      </c>
      <c r="AA128" s="21">
        <f>EXP(-LN(2)/25)*AA127+(1-EXP(-LN(2)/25))/(LN(2)/25)*Calculateur!V128*Calculateur!X128*VLOOKUP('Données projet'!$B$9,Paramètres!$A$1:$I$89,3,0)*0.475*44/12</f>
        <v>23.510923484059397</v>
      </c>
      <c r="AB128" s="21">
        <f>EXP(-LN(2)/2)*AB127+(1-EXP(-LN(2)/2))/(LN(2)/2)*V128*Y128*VLOOKUP('Données projet'!$B$9,Paramètres!$A$1:$I$89,3,0)*0.475*44/12</f>
        <v>1.615212606765583</v>
      </c>
      <c r="AC128" s="22">
        <f t="shared" si="57"/>
        <v>49.191504108591232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404.61</v>
      </c>
      <c r="AG128" s="12">
        <f>VLOOKUP(A128,'Données projet'!$A$61:$I$81,9,0)</f>
        <v>7.8516666666666692</v>
      </c>
      <c r="AH128" s="12">
        <f t="array" ref="AH128">INDEX(AG:AG,MIN(IF(ISNUMBER(AG128:AG324),ROW(AG128:AG324),"")))</f>
        <v>7.8516666666666692</v>
      </c>
      <c r="AI128" s="13">
        <f>IF('Données projet'!$A$62&gt;35,AI127+AH128-AQ127,IF(A128&lt;'Données projet'!$A$62,$AF$205^A128,IF(A128='Données projet'!$A$62,'Données projet'!$B$62,AI127+AH128-AQ127)))</f>
        <v>404.61000000000053</v>
      </c>
      <c r="AJ128" s="13">
        <f>AI128*VLOOKUP('Données projet'!$B$10,Paramètres!$A$1:$I$89,3,0)*VLOOKUP('Données projet'!$B$10,Paramètres!$A$1:$I$89,5,0)</f>
        <v>366.09112800000048</v>
      </c>
      <c r="AK128" s="13">
        <f t="shared" si="89"/>
        <v>84.86712413904533</v>
      </c>
      <c r="AL128" s="20">
        <f t="shared" si="58"/>
        <v>785.41895580883818</v>
      </c>
      <c r="AM128" s="59">
        <f t="shared" si="59"/>
        <v>1078.7522891421715</v>
      </c>
      <c r="AN128" s="59">
        <f ca="1">AVERAGE(OFFSET($AM$3,0,0,'Données projet'!$E$10+1,1))-AVERAGE(OFFSET($H$3,0,0,'Données projet'!$E$10+1,1))</f>
        <v>482.62991869403385</v>
      </c>
      <c r="AO128" s="59">
        <f t="shared" si="90"/>
        <v>310.43914804089906</v>
      </c>
      <c r="AP128" s="15">
        <f>IF(ISNA(VLOOKUP(A128,'Données projet'!$A$61:$I$81,3,0)),0,VLOOKUP(A128,'Données projet'!$A$61:$I$81,3,0))</f>
        <v>10</v>
      </c>
      <c r="AQ128" s="15">
        <f>IF(ISNA(VLOOKUP(A128,'Données projet'!$A$61:$I$81,4,0)),0,VLOOKUP(A128,'Données projet'!$A$61:$I$81,4,0))</f>
        <v>70</v>
      </c>
      <c r="AR128" s="16">
        <f>IF(ISNA(VLOOKUP(A128,'Données projet'!$A$61:$I$81,5,0)),0%,VLOOKUP(A128,'Données projet'!$A$61:$I$81,5,0)*VLOOKUP('Données projet'!$B$10,Paramètres!$A$1:$I$89,7,0))</f>
        <v>0.215</v>
      </c>
      <c r="AS128" s="16">
        <f>IF(ISNA(VLOOKUP(A128,'Données projet'!$A$61:$I$81,6,0)),0%,VLOOKUP(A128,'Données projet'!$A$61:$I$81,6,0)*VLOOKUP('Données projet'!$B$10,Paramètres!$A$1:$I$89,7,0))</f>
        <v>8.6000000000000007E-2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41.750242690700809</v>
      </c>
      <c r="AV128" s="21">
        <f>EXP(-LN(2)/25)*AV127+(1-EXP(-LN(2)/25))/(LN(2)/25)*Calculateur!AQ128*Calculateur!AS128*VLOOKUP('Données projet'!$B$10,Paramètres!$A$1:$I$89,3,0)*0.475*44/12</f>
        <v>21.665979011136745</v>
      </c>
      <c r="AW128" s="21">
        <f>EXP(-LN(2)/2)*AW127+(1-EXP(-LN(2)/2))/(LN(2)/2)*AQ128*AT128*VLOOKUP('Données projet'!$B$10,Paramètres!$A$1:$I$89,3,0)*0.475*44/12</f>
        <v>2.4261493299047856E-3</v>
      </c>
      <c r="AX128" s="21">
        <f t="shared" si="60"/>
        <v>63.418647851167464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384.34044781465661</v>
      </c>
      <c r="BJ128" s="59">
        <f t="shared" si="92"/>
        <v>374.99493809709708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23.411702997788449</v>
      </c>
      <c r="BQ128" s="21">
        <f>EXP(-LN(2)/25)*BQ127+(1-EXP(-LN(2)/25))/(LN(2)/25)*Calculateur!BL128*Calculateur!BN128*VLOOKUP('Données projet'!$B$11,Paramètres!$A$1:$I$89,3,0)*0.475*44/12</f>
        <v>16.183863725586171</v>
      </c>
      <c r="BR128" s="21">
        <f>EXP(-LN(2)/2)*BR127+(1-EXP(-LN(2)/2))/(LN(2)/2)*BL128*BO128*VLOOKUP('Données projet'!$B$11,Paramètres!$A$1:$I$89,3,0)*0.475*44/12</f>
        <v>1.1555158450548869E-5</v>
      </c>
      <c r="BS128" s="22">
        <f t="shared" si="63"/>
        <v>39.595578278533068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>
        <f>VLOOKUP(A128,'Données projet'!$A$113:$I$133,2,0)</f>
        <v>404.61</v>
      </c>
      <c r="BW128" s="12">
        <f>VLOOKUP(A128,'Données projet'!$A$113:$I$133,9,0)</f>
        <v>7.8516666666666692</v>
      </c>
      <c r="BX128" s="12">
        <f t="array" ref="BX128">INDEX(BW:BW,MIN(IF(ISNUMBER(BW128:BW324),ROW(BW128:BW324),"")))</f>
        <v>7.8516666666666692</v>
      </c>
      <c r="BY128" s="12">
        <f>IF('Données projet'!$A$114&gt;35,BY127+BX128-CG127,IF(A128&lt;'Données projet'!$A$114,$BV$205^A128,IF(A128='Données projet'!$A$114,'Données projet'!$B$114,BY127+BX128-CG127)))</f>
        <v>404.61000000000053</v>
      </c>
      <c r="BZ128" s="13">
        <f>BY128*VLOOKUP('Données projet'!$B$12,Paramètres!$A$1:$I$89,3,0)*VLOOKUP('Données projet'!$B$12,Paramètres!$A$1:$I$89,5,0)</f>
        <v>385.02687600000053</v>
      </c>
      <c r="CA128" s="13">
        <f t="shared" si="93"/>
        <v>88.734386861237724</v>
      </c>
      <c r="CB128" s="20">
        <f t="shared" si="64"/>
        <v>825.1341994833233</v>
      </c>
      <c r="CC128" s="59">
        <f t="shared" si="65"/>
        <v>1118.4675328166566</v>
      </c>
      <c r="CD128" s="59">
        <f ca="1">AVERAGE(OFFSET($CC$3,0,0,'Données projet'!$E$12+1,1))-AVERAGE(OFFSET($H$3,0,0,'Données projet'!$E$12+1,1))</f>
        <v>513.14430745499283</v>
      </c>
      <c r="CE128" s="59">
        <f t="shared" si="94"/>
        <v>324.2490378019823</v>
      </c>
      <c r="CF128" s="15">
        <f>IF(ISNA(VLOOKUP(A128,'Données projet'!$A$113:$I$133,3,0)),0,VLOOKUP(A128,'Données projet'!$A$113:$I$133,3,0))</f>
        <v>10</v>
      </c>
      <c r="CG128" s="15">
        <f>IF(ISNA(VLOOKUP(A128,'Données projet'!$A$113:$I$133,4,0)),0,VLOOKUP(A128,'Données projet'!$A$113:$I$133,4,0))</f>
        <v>70</v>
      </c>
      <c r="CH128" s="16">
        <f>IF(ISNA(VLOOKUP(A128,'Données projet'!$A$113:$I$133,5,0)),0%,VLOOKUP(A128,'Données projet'!$A$113:$I$133,5,0)*VLOOKUP('Données projet'!$B$12,Paramètres!$A$1:$I$89,7,0))</f>
        <v>0.215</v>
      </c>
      <c r="CI128" s="16">
        <f>IF(ISNA(VLOOKUP(A128,'Données projet'!$A$113:$I$133,6,0)),0%,VLOOKUP(A128,'Données projet'!$A$113:$I$133,6,0)*VLOOKUP('Données projet'!$B$12,Paramètres!$A$1:$I$89,7,0))</f>
        <v>8.6000000000000007E-2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43.909738002288798</v>
      </c>
      <c r="CL128" s="21">
        <f>EXP(-LN(2)/25)*CL127+(1-EXP(-LN(2)/25))/(LN(2)/25)*Calculateur!CG128*Calculateur!CI128*VLOOKUP('Données projet'!$B$12,Paramètres!$A$1:$I$89,3,0)*0.475*44/12</f>
        <v>22.786633097919676</v>
      </c>
      <c r="CM128" s="21">
        <f>EXP(-LN(2)/2)*CM127+(1-EXP(-LN(2)/2))/(LN(2)/2)*CG128*CJ128*VLOOKUP('Données projet'!$B$12,Paramètres!$A$1:$I$89,3,0)*0.475*44/12</f>
        <v>2.5516398124860646E-3</v>
      </c>
      <c r="CN128" s="22">
        <f t="shared" si="66"/>
        <v>66.698922740020947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-1.1368683772161603E-13</v>
      </c>
      <c r="CU128" s="17">
        <f>CT128*VLOOKUP('Données projet'!$B$13,Paramètres!$A$1:$I$89,3,0)*VLOOKUP('Données projet'!$B$13,Paramètres!$A$1:$I$89,5,0)</f>
        <v>-8.8675733422860506E-14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197.51452239559433</v>
      </c>
      <c r="CZ128" s="59">
        <f t="shared" si="96"/>
        <v>196.65166921588821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9.0924625971383541</v>
      </c>
      <c r="DG128" s="21">
        <f>EXP(-LN(2)/25)*DG127+(1-EXP(-LN(2)/25))/(LN(2)/25)*Calculateur!DB128*Calculateur!DD128*VLOOKUP('Données projet'!$B$13,Paramètres!$A$1:$I$89,3,0)*0.475*44/12</f>
        <v>5.7447302626322543</v>
      </c>
      <c r="DH128" s="21">
        <f>EXP(-LN(2)/2)*DH127+(1-EXP(-LN(2)/2))/(LN(2)/2)*DB128*DE128*VLOOKUP('Données projet'!$B$13,Paramètres!$A$1:$I$89,3,0)*0.475*44/12</f>
        <v>1.4508578079366582E-7</v>
      </c>
      <c r="DI128" s="22">
        <f t="shared" si="69"/>
        <v>14.83719300485639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>
        <f>DO128*VLOOKUP('Données projet'!$B$14,Paramètres!$A$1:$I$89,3,0)*VLOOKUP('Données projet'!$B$14,Paramètres!$A$1:$I$89,5,0)</f>
        <v>0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239.26156489359892</v>
      </c>
      <c r="DU128" s="59">
        <f t="shared" si="98"/>
        <v>213.97034450798111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5.4070298519304245</v>
      </c>
      <c r="EB128" s="21">
        <f>EXP(-LN(2)/25)*EB127+(1-EXP(-LN(2)/25))/(LN(2)/25)*Calculateur!DW128*Calculateur!DY128*VLOOKUP('Données projet'!$B$14,Paramètres!$A$1:$I$89,3,0)*0.475*44/12</f>
        <v>24.19952708301701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29.606556934947434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7.1129999999999995</v>
      </c>
      <c r="EJ128" s="12">
        <f>IF('Données projet'!$A$192&gt;35,EJ127+EI128-ER127,IF(A128&lt;'Données projet'!$A$192,$EG$205^A128,IF(A128='Données projet'!$A$192,'Données projet'!$B$192,EJ127+EI128-ER127)))</f>
        <v>290.77900000000005</v>
      </c>
      <c r="EK128" s="17">
        <f>EJ128*VLOOKUP('Données projet'!$B$15,Paramètres!$A$1:$I$89,3,0)*VLOOKUP('Données projet'!$B$15,Paramètres!$A$1:$I$89,5,0)</f>
        <v>290.3137536000001</v>
      </c>
      <c r="EL128" s="13">
        <f t="shared" si="99"/>
        <v>69.141991747980086</v>
      </c>
      <c r="EM128" s="20">
        <f t="shared" si="73"/>
        <v>626.05208981439876</v>
      </c>
      <c r="EN128" s="59">
        <f t="shared" si="74"/>
        <v>919.38542314773213</v>
      </c>
      <c r="EO128" s="59">
        <f ca="1">AVERAGE(OFFSET($EN$3,0,0,'Données projet'!$E$15+1,1))-AVERAGE(OFFSET($H$3,0,0,'Données projet'!$E$15+1,1))</f>
        <v>525.74725170626471</v>
      </c>
      <c r="EP128" s="59">
        <f t="shared" si="100"/>
        <v>259.19103598192197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23.695131586723708</v>
      </c>
      <c r="EW128" s="21">
        <f>EXP(-LN(2)/25)*EW127+(1-EXP(-LN(2)/25))/(LN(2)/25)*Calculateur!ER128*Calculateur!ET128*VLOOKUP('Données projet'!$B$15,Paramètres!$A$1:$I$89,3,0)*0.475*44/12</f>
        <v>23.149216968920026</v>
      </c>
      <c r="EX128" s="21">
        <f>EXP(-LN(2)/2)*EX127+(1-EXP(-LN(2)/2))/(LN(2)/2)*ER128*EU128*VLOOKUP('Données projet'!$B$15,Paramètres!$A$1:$I$89,3,0)*0.475*44/12</f>
        <v>1.5903631820461126</v>
      </c>
      <c r="EY128" s="22">
        <f t="shared" si="75"/>
        <v>48.434711737689845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7.1129999999999995</v>
      </c>
      <c r="N129" s="13">
        <f>IF('Données projet'!$A$36&gt;35,N128+M129-V128,IF(A129&lt;'Données projet'!$A$36,$K$205^A129,IF(A129='Données projet'!$A$36,'Données projet'!$B$36,N128+M129-V128)))</f>
        <v>297.89200000000005</v>
      </c>
      <c r="O129" s="13">
        <f>N129*VLOOKUP('Données projet'!$B$9,Paramètres!$A$1:$I$89,3,0)*VLOOKUP('Données projet'!$B$9,Paramètres!$A$1:$I$89,5,0)</f>
        <v>302.06248800000009</v>
      </c>
      <c r="P129" s="13">
        <f t="shared" si="87"/>
        <v>71.608667618813385</v>
      </c>
      <c r="Q129" s="20">
        <f t="shared" si="107"/>
        <v>650.81059603610004</v>
      </c>
      <c r="R129" s="59">
        <f t="shared" si="55"/>
        <v>944.14392936943341</v>
      </c>
      <c r="S129" s="59">
        <f ca="1">AVERAGE(OFFSET($R$3,0,0,'Données projet'!$E$9+1,1))-AVERAGE(OFFSET($H$3,0,0,'Données projet'!$E$9+1,1))</f>
        <v>533.26035274112917</v>
      </c>
      <c r="T129" s="59">
        <f t="shared" si="88"/>
        <v>262.58149402282521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23.593460829362979</v>
      </c>
      <c r="AA129" s="21">
        <f>EXP(-LN(2)/25)*AA128+(1-EXP(-LN(2)/25))/(LN(2)/25)*Calculateur!V129*Calculateur!X129*VLOOKUP('Données projet'!$B$9,Paramètres!$A$1:$I$89,3,0)*0.475*44/12</f>
        <v>22.868016045002062</v>
      </c>
      <c r="AB129" s="21">
        <f>EXP(-LN(2)/2)*AB128+(1-EXP(-LN(2)/2))/(LN(2)/2)*V129*Y129*VLOOKUP('Données projet'!$B$9,Paramètres!$A$1:$I$89,3,0)*0.475*44/12</f>
        <v>1.1421277873019442</v>
      </c>
      <c r="AC129" s="22">
        <f t="shared" si="57"/>
        <v>47.603604661666985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7.7849999999999966</v>
      </c>
      <c r="AI129" s="13">
        <f>IF('Données projet'!$A$62&gt;35,AI128+AH129-AQ128,IF(A129&lt;'Données projet'!$A$62,$AF$205^A129,IF(A129='Données projet'!$A$62,'Données projet'!$B$62,AI128+AH129-AQ128)))</f>
        <v>342.39500000000055</v>
      </c>
      <c r="AJ129" s="13">
        <f>AI129*VLOOKUP('Données projet'!$B$10,Paramètres!$A$1:$I$89,3,0)*VLOOKUP('Données projet'!$B$10,Paramètres!$A$1:$I$89,5,0)</f>
        <v>309.7989960000005</v>
      </c>
      <c r="AK129" s="13">
        <f t="shared" si="89"/>
        <v>73.226850951914003</v>
      </c>
      <c r="AL129" s="20">
        <f t="shared" si="58"/>
        <v>667.10335010791766</v>
      </c>
      <c r="AM129" s="59">
        <f t="shared" si="59"/>
        <v>960.43668344125103</v>
      </c>
      <c r="AN129" s="59">
        <f ca="1">AVERAGE(OFFSET($AM$3,0,0,'Données projet'!$E$10+1,1))-AVERAGE(OFFSET($H$3,0,0,'Données projet'!$E$10+1,1))</f>
        <v>482.62991869403385</v>
      </c>
      <c r="AO129" s="59">
        <f t="shared" si="90"/>
        <v>310.43914804089906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40.931545896669732</v>
      </c>
      <c r="AV129" s="21">
        <f>EXP(-LN(2)/25)*AV128+(1-EXP(-LN(2)/25))/(LN(2)/25)*Calculateur!AQ129*Calculateur!AS129*VLOOKUP('Données projet'!$B$10,Paramètres!$A$1:$I$89,3,0)*0.475*44/12</f>
        <v>21.073521675712893</v>
      </c>
      <c r="AW129" s="21">
        <f>EXP(-LN(2)/2)*AW128+(1-EXP(-LN(2)/2))/(LN(2)/2)*AQ129*AT129*VLOOKUP('Données projet'!$B$10,Paramètres!$A$1:$I$89,3,0)*0.475*44/12</f>
        <v>1.7155466433468722E-3</v>
      </c>
      <c r="AX129" s="21">
        <f t="shared" si="60"/>
        <v>62.006783119025975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384.34044781465661</v>
      </c>
      <c r="BJ129" s="59">
        <f t="shared" si="92"/>
        <v>374.99493809709708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22.952613781730641</v>
      </c>
      <c r="BQ129" s="21">
        <f>EXP(-LN(2)/25)*BQ128+(1-EXP(-LN(2)/25))/(LN(2)/25)*Calculateur!BL129*Calculateur!BN129*VLOOKUP('Données projet'!$B$11,Paramètres!$A$1:$I$89,3,0)*0.475*44/12</f>
        <v>15.741315120937612</v>
      </c>
      <c r="BR129" s="21">
        <f>EXP(-LN(2)/2)*BR128+(1-EXP(-LN(2)/2))/(LN(2)/2)*BL129*BO129*VLOOKUP('Données projet'!$B$11,Paramètres!$A$1:$I$89,3,0)*0.475*44/12</f>
        <v>8.1707308980681443E-6</v>
      </c>
      <c r="BS129" s="22">
        <f t="shared" si="63"/>
        <v>38.693937073399155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7.7849999999999966</v>
      </c>
      <c r="BY129" s="12">
        <f>IF('Données projet'!$A$114&gt;35,BY128+BX129-CG128,IF(A129&lt;'Données projet'!$A$114,$BV$205^A129,IF(A129='Données projet'!$A$114,'Données projet'!$B$114,BY128+BX129-CG128)))</f>
        <v>342.39500000000055</v>
      </c>
      <c r="BZ129" s="13">
        <f>BY129*VLOOKUP('Données projet'!$B$12,Paramètres!$A$1:$I$89,3,0)*VLOOKUP('Données projet'!$B$12,Paramètres!$A$1:$I$89,5,0)</f>
        <v>325.82308200000057</v>
      </c>
      <c r="CA129" s="13">
        <f t="shared" si="93"/>
        <v>76.563684547051608</v>
      </c>
      <c r="CB129" s="20">
        <f t="shared" si="64"/>
        <v>700.82361840278247</v>
      </c>
      <c r="CC129" s="59">
        <f t="shared" si="65"/>
        <v>994.15695173611584</v>
      </c>
      <c r="CD129" s="59">
        <f ca="1">AVERAGE(OFFSET($CC$3,0,0,'Données projet'!$E$12+1,1))-AVERAGE(OFFSET($H$3,0,0,'Données projet'!$E$12+1,1))</f>
        <v>513.14430745499283</v>
      </c>
      <c r="CE129" s="59">
        <f t="shared" si="94"/>
        <v>324.2490378019823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43.048694822359565</v>
      </c>
      <c r="CL129" s="21">
        <f>EXP(-LN(2)/25)*CL128+(1-EXP(-LN(2)/25))/(LN(2)/25)*Calculateur!CG129*Calculateur!CI129*VLOOKUP('Données projet'!$B$12,Paramètres!$A$1:$I$89,3,0)*0.475*44/12</f>
        <v>22.163531417560108</v>
      </c>
      <c r="CM129" s="21">
        <f>EXP(-LN(2)/2)*CM128+(1-EXP(-LN(2)/2))/(LN(2)/2)*CG129*CJ129*VLOOKUP('Données projet'!$B$12,Paramètres!$A$1:$I$89,3,0)*0.475*44/12</f>
        <v>1.8042818145544669E-3</v>
      </c>
      <c r="CN129" s="22">
        <f t="shared" si="66"/>
        <v>65.21403052173423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-1.1368683772161603E-13</v>
      </c>
      <c r="CU129" s="17">
        <f>CT129*VLOOKUP('Données projet'!$B$13,Paramètres!$A$1:$I$89,3,0)*VLOOKUP('Données projet'!$B$13,Paramètres!$A$1:$I$89,5,0)</f>
        <v>-8.8675733422860506E-14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197.51452239559433</v>
      </c>
      <c r="CZ129" s="59">
        <f t="shared" si="96"/>
        <v>196.65166921588821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8.9141649514630483</v>
      </c>
      <c r="DG129" s="21">
        <f>EXP(-LN(2)/25)*DG128+(1-EXP(-LN(2)/25))/(LN(2)/25)*Calculateur!DB129*Calculateur!DD129*VLOOKUP('Données projet'!$B$13,Paramètres!$A$1:$I$89,3,0)*0.475*44/12</f>
        <v>5.5876403114983404</v>
      </c>
      <c r="DH129" s="21">
        <f>EXP(-LN(2)/2)*DH128+(1-EXP(-LN(2)/2))/(LN(2)/2)*DB129*DE129*VLOOKUP('Données projet'!$B$13,Paramètres!$A$1:$I$89,3,0)*0.475*44/12</f>
        <v>1.0259113945294606E-7</v>
      </c>
      <c r="DI129" s="22">
        <f t="shared" si="69"/>
        <v>14.501805365552528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>
        <f>DO129*VLOOKUP('Données projet'!$B$14,Paramètres!$A$1:$I$89,3,0)*VLOOKUP('Données projet'!$B$14,Paramètres!$A$1:$I$89,5,0)</f>
        <v>0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239.26156489359892</v>
      </c>
      <c r="DU129" s="59">
        <f t="shared" si="98"/>
        <v>213.97034450798111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5.3010012944966318</v>
      </c>
      <c r="EB129" s="21">
        <f>EXP(-LN(2)/25)*EB128+(1-EXP(-LN(2)/25))/(LN(2)/25)*Calculateur!DW129*Calculateur!DY129*VLOOKUP('Données projet'!$B$14,Paramètres!$A$1:$I$89,3,0)*0.475*44/12</f>
        <v>23.537789742334088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28.83879103683072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7.1129999999999995</v>
      </c>
      <c r="EJ129" s="12">
        <f>IF('Données projet'!$A$192&gt;35,EJ128+EI129-ER128,IF(A129&lt;'Données projet'!$A$192,$EG$205^A129,IF(A129='Données projet'!$A$192,'Données projet'!$B$192,EJ128+EI129-ER128)))</f>
        <v>297.89200000000005</v>
      </c>
      <c r="EK129" s="17">
        <f>EJ129*VLOOKUP('Données projet'!$B$15,Paramètres!$A$1:$I$89,3,0)*VLOOKUP('Données projet'!$B$15,Paramètres!$A$1:$I$89,5,0)</f>
        <v>297.41537280000006</v>
      </c>
      <c r="EL129" s="13">
        <f t="shared" si="99"/>
        <v>70.634353776180404</v>
      </c>
      <c r="EM129" s="20">
        <f t="shared" si="73"/>
        <v>641.01994045351421</v>
      </c>
      <c r="EN129" s="59">
        <f t="shared" si="74"/>
        <v>934.35327378684747</v>
      </c>
      <c r="EO129" s="59">
        <f ca="1">AVERAGE(OFFSET($EN$3,0,0,'Données projet'!$E$15+1,1))-AVERAGE(OFFSET($H$3,0,0,'Données projet'!$E$15+1,1))</f>
        <v>525.74725170626471</v>
      </c>
      <c r="EP129" s="59">
        <f t="shared" si="100"/>
        <v>259.19103598192197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23.230484508911246</v>
      </c>
      <c r="EW129" s="21">
        <f>EXP(-LN(2)/25)*EW128+(1-EXP(-LN(2)/25))/(LN(2)/25)*Calculateur!ER129*Calculateur!ET129*VLOOKUP('Données projet'!$B$15,Paramètres!$A$1:$I$89,3,0)*0.475*44/12</f>
        <v>22.516200413540496</v>
      </c>
      <c r="EX129" s="21">
        <f>EXP(-LN(2)/2)*EX128+(1-EXP(-LN(2)/2))/(LN(2)/2)*ER129*EU129*VLOOKUP('Données projet'!$B$15,Paramètres!$A$1:$I$89,3,0)*0.475*44/12</f>
        <v>1.1245565905742221</v>
      </c>
      <c r="EY129" s="22">
        <f t="shared" si="75"/>
        <v>46.871241513025964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7.1129999999999995</v>
      </c>
      <c r="N130" s="13">
        <f>IF('Données projet'!$A$36&gt;35,N129+M130-V129,IF(A130&lt;'Données projet'!$A$36,$K$205^A130,IF(A130='Données projet'!$A$36,'Données projet'!$B$36,N129+M130-V129)))</f>
        <v>305.00500000000005</v>
      </c>
      <c r="O130" s="13">
        <f>N130*VLOOKUP('Données projet'!$B$9,Paramètres!$A$1:$I$89,3,0)*VLOOKUP('Données projet'!$B$9,Paramètres!$A$1:$I$89,5,0)</f>
        <v>309.27507000000008</v>
      </c>
      <c r="P130" s="13">
        <f t="shared" si="87"/>
        <v>73.117415312099666</v>
      </c>
      <c r="Q130" s="20">
        <f t="shared" si="107"/>
        <v>666.00024525190713</v>
      </c>
      <c r="R130" s="59">
        <f t="shared" si="55"/>
        <v>959.3335785852405</v>
      </c>
      <c r="S130" s="59">
        <f ca="1">AVERAGE(OFFSET($R$3,0,0,'Données projet'!$E$9+1,1))-AVERAGE(OFFSET($H$3,0,0,'Données projet'!$E$9+1,1))</f>
        <v>533.26035274112917</v>
      </c>
      <c r="T130" s="59">
        <f t="shared" si="88"/>
        <v>262.58149402282521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23.130807453089325</v>
      </c>
      <c r="AA130" s="21">
        <f>EXP(-LN(2)/25)*AA129+(1-EXP(-LN(2)/25))/(LN(2)/25)*Calculateur!V130*Calculateur!X130*VLOOKUP('Données projet'!$B$9,Paramètres!$A$1:$I$89,3,0)*0.475*44/12</f>
        <v>22.242688943674782</v>
      </c>
      <c r="AB130" s="21">
        <f>EXP(-LN(2)/2)*AB129+(1-EXP(-LN(2)/2))/(LN(2)/2)*V130*Y130*VLOOKUP('Données projet'!$B$9,Paramètres!$A$1:$I$89,3,0)*0.475*44/12</f>
        <v>0.8076063033827916</v>
      </c>
      <c r="AC130" s="22">
        <f t="shared" si="57"/>
        <v>46.181102700146901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7.7849999999999966</v>
      </c>
      <c r="AI130" s="13">
        <f>IF('Données projet'!$A$62&gt;35,AI129+AH130-AQ129,IF(A130&lt;'Données projet'!$A$62,$AF$205^A130,IF(A130='Données projet'!$A$62,'Données projet'!$B$62,AI129+AH130-AQ129)))</f>
        <v>350.18000000000052</v>
      </c>
      <c r="AJ130" s="13">
        <f>AI130*VLOOKUP('Données projet'!$B$10,Paramètres!$A$1:$I$89,3,0)*VLOOKUP('Données projet'!$B$10,Paramètres!$A$1:$I$89,5,0)</f>
        <v>316.84286400000047</v>
      </c>
      <c r="AK130" s="13">
        <f t="shared" si="89"/>
        <v>74.696071529813665</v>
      </c>
      <c r="AL130" s="20">
        <f t="shared" si="58"/>
        <v>681.93031271442624</v>
      </c>
      <c r="AM130" s="59">
        <f t="shared" si="59"/>
        <v>975.26364604775949</v>
      </c>
      <c r="AN130" s="59">
        <f ca="1">AVERAGE(OFFSET($AM$3,0,0,'Données projet'!$E$10+1,1))-AVERAGE(OFFSET($H$3,0,0,'Données projet'!$E$10+1,1))</f>
        <v>482.62991869403385</v>
      </c>
      <c r="AO130" s="59">
        <f t="shared" si="90"/>
        <v>310.43914804089906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40.128903247413866</v>
      </c>
      <c r="AV130" s="21">
        <f>EXP(-LN(2)/25)*AV129+(1-EXP(-LN(2)/25))/(LN(2)/25)*Calculateur!AQ130*Calculateur!AS130*VLOOKUP('Données projet'!$B$10,Paramètres!$A$1:$I$89,3,0)*0.475*44/12</f>
        <v>20.497265117282183</v>
      </c>
      <c r="AW130" s="21">
        <f>EXP(-LN(2)/2)*AW129+(1-EXP(-LN(2)/2))/(LN(2)/2)*AQ130*AT130*VLOOKUP('Données projet'!$B$10,Paramètres!$A$1:$I$89,3,0)*0.475*44/12</f>
        <v>1.2130746649523928E-3</v>
      </c>
      <c r="AX130" s="21">
        <f t="shared" si="60"/>
        <v>60.627381439361002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384.34044781465661</v>
      </c>
      <c r="BJ130" s="59">
        <f t="shared" si="92"/>
        <v>374.99493809709708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22.502527025182953</v>
      </c>
      <c r="BQ130" s="21">
        <f>EXP(-LN(2)/25)*BQ129+(1-EXP(-LN(2)/25))/(LN(2)/25)*Calculateur!BL130*Calculateur!BN130*VLOOKUP('Données projet'!$B$11,Paramètres!$A$1:$I$89,3,0)*0.475*44/12</f>
        <v>15.310868031155788</v>
      </c>
      <c r="BR130" s="21">
        <f>EXP(-LN(2)/2)*BR129+(1-EXP(-LN(2)/2))/(LN(2)/2)*BL130*BO130*VLOOKUP('Données projet'!$B$11,Paramètres!$A$1:$I$89,3,0)*0.475*44/12</f>
        <v>5.7775792252744343E-6</v>
      </c>
      <c r="BS130" s="22">
        <f t="shared" si="63"/>
        <v>37.813400833917967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7.7849999999999966</v>
      </c>
      <c r="BY130" s="12">
        <f>IF('Données projet'!$A$114&gt;35,BY129+BX130-CG129,IF(A130&lt;'Données projet'!$A$114,$BV$205^A130,IF(A130='Données projet'!$A$114,'Données projet'!$B$114,BY129+BX130-CG129)))</f>
        <v>350.18000000000052</v>
      </c>
      <c r="BZ130" s="13">
        <f>BY130*VLOOKUP('Données projet'!$B$12,Paramètres!$A$1:$I$89,3,0)*VLOOKUP('Données projet'!$B$12,Paramètres!$A$1:$I$89,5,0)</f>
        <v>333.23128800000052</v>
      </c>
      <c r="CA130" s="13">
        <f t="shared" si="93"/>
        <v>78.099855219339702</v>
      </c>
      <c r="CB130" s="20">
        <f t="shared" si="64"/>
        <v>716.40174110701753</v>
      </c>
      <c r="CC130" s="59">
        <f t="shared" si="65"/>
        <v>1009.7350744403509</v>
      </c>
      <c r="CD130" s="59">
        <f ca="1">AVERAGE(OFFSET($CC$3,0,0,'Données projet'!$E$12+1,1))-AVERAGE(OFFSET($H$3,0,0,'Données projet'!$E$12+1,1))</f>
        <v>513.14430745499283</v>
      </c>
      <c r="CE130" s="59">
        <f t="shared" si="94"/>
        <v>324.2490378019823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42.204536174004261</v>
      </c>
      <c r="CL130" s="21">
        <f>EXP(-LN(2)/25)*CL129+(1-EXP(-LN(2)/25))/(LN(2)/25)*Calculateur!CG130*Calculateur!CI130*VLOOKUP('Données projet'!$B$12,Paramètres!$A$1:$I$89,3,0)*0.475*44/12</f>
        <v>21.557468485417466</v>
      </c>
      <c r="CM130" s="21">
        <f>EXP(-LN(2)/2)*CM129+(1-EXP(-LN(2)/2))/(LN(2)/2)*CG130*CJ130*VLOOKUP('Données projet'!$B$12,Paramètres!$A$1:$I$89,3,0)*0.475*44/12</f>
        <v>1.2758199062430323E-3</v>
      </c>
      <c r="CN130" s="22">
        <f t="shared" si="66"/>
        <v>63.763280479327967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-1.1368683772161603E-13</v>
      </c>
      <c r="CU130" s="17">
        <f>CT130*VLOOKUP('Données projet'!$B$13,Paramètres!$A$1:$I$89,3,0)*VLOOKUP('Données projet'!$B$13,Paramètres!$A$1:$I$89,5,0)</f>
        <v>-8.8675733422860506E-14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197.51452239559433</v>
      </c>
      <c r="CZ130" s="59">
        <f t="shared" si="96"/>
        <v>196.65166921588821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8.7393636138686084</v>
      </c>
      <c r="DG130" s="21">
        <f>EXP(-LN(2)/25)*DG129+(1-EXP(-LN(2)/25))/(LN(2)/25)*Calculateur!DB130*Calculateur!DD130*VLOOKUP('Données projet'!$B$13,Paramètres!$A$1:$I$89,3,0)*0.475*44/12</f>
        <v>5.4348459933391853</v>
      </c>
      <c r="DH130" s="21">
        <f>EXP(-LN(2)/2)*DH129+(1-EXP(-LN(2)/2))/(LN(2)/2)*DB130*DE130*VLOOKUP('Données projet'!$B$13,Paramètres!$A$1:$I$89,3,0)*0.475*44/12</f>
        <v>7.2542890396832912E-8</v>
      </c>
      <c r="DI130" s="22">
        <f t="shared" si="69"/>
        <v>14.174209679750684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>
        <f>DO130*VLOOKUP('Données projet'!$B$14,Paramètres!$A$1:$I$89,3,0)*VLOOKUP('Données projet'!$B$14,Paramètres!$A$1:$I$89,5,0)</f>
        <v>0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239.26156489359892</v>
      </c>
      <c r="DU130" s="59">
        <f t="shared" si="98"/>
        <v>213.97034450798111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5.1970518924030813</v>
      </c>
      <c r="EB130" s="21">
        <f>EXP(-LN(2)/25)*EB129+(1-EXP(-LN(2)/25))/(LN(2)/25)*Calculateur!DW130*Calculateur!DY130*VLOOKUP('Données projet'!$B$14,Paramètres!$A$1:$I$89,3,0)*0.475*44/12</f>
        <v>22.894147644031396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28.091199536434477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7.1129999999999995</v>
      </c>
      <c r="EJ130" s="12">
        <f>IF('Données projet'!$A$192&gt;35,EJ129+EI130-ER129,IF(A130&lt;'Données projet'!$A$192,$EG$205^A130,IF(A130='Données projet'!$A$192,'Données projet'!$B$192,EJ129+EI130-ER129)))</f>
        <v>305.00500000000005</v>
      </c>
      <c r="EK130" s="17">
        <f>EJ130*VLOOKUP('Données projet'!$B$15,Paramètres!$A$1:$I$89,3,0)*VLOOKUP('Données projet'!$B$15,Paramètres!$A$1:$I$89,5,0)</f>
        <v>304.51699200000007</v>
      </c>
      <c r="EL130" s="13">
        <f t="shared" si="99"/>
        <v>72.122573315382965</v>
      </c>
      <c r="EM130" s="20">
        <f t="shared" si="73"/>
        <v>655.98057625762533</v>
      </c>
      <c r="EN130" s="59">
        <f t="shared" si="74"/>
        <v>949.3139095909587</v>
      </c>
      <c r="EO130" s="59">
        <f ca="1">AVERAGE(OFFSET($EN$3,0,0,'Données projet'!$E$15+1,1))-AVERAGE(OFFSET($H$3,0,0,'Données projet'!$E$15+1,1))</f>
        <v>525.74725170626471</v>
      </c>
      <c r="EP130" s="59">
        <f t="shared" si="100"/>
        <v>259.19103598192197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22.774948876887954</v>
      </c>
      <c r="EW130" s="21">
        <f>EXP(-LN(2)/25)*EW129+(1-EXP(-LN(2)/25))/(LN(2)/25)*Calculateur!ER130*Calculateur!ET130*VLOOKUP('Données projet'!$B$15,Paramètres!$A$1:$I$89,3,0)*0.475*44/12</f>
        <v>21.900493729156711</v>
      </c>
      <c r="EX130" s="21">
        <f>EXP(-LN(2)/2)*EX129+(1-EXP(-LN(2)/2))/(LN(2)/2)*ER130*EU130*VLOOKUP('Données projet'!$B$15,Paramètres!$A$1:$I$89,3,0)*0.475*44/12</f>
        <v>0.79518159102305641</v>
      </c>
      <c r="EY130" s="22">
        <f t="shared" si="75"/>
        <v>45.470624197067728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7.1129999999999995</v>
      </c>
      <c r="N131" s="13">
        <f>IF('Données projet'!$A$36&gt;35,N130+M131-V130,IF(A131&lt;'Données projet'!$A$36,$K$205^A131,IF(A131='Données projet'!$A$36,'Données projet'!$B$36,N130+M131-V130)))</f>
        <v>312.11800000000005</v>
      </c>
      <c r="O131" s="13">
        <f>N131*VLOOKUP('Données projet'!$B$9,Paramètres!$A$1:$I$89,3,0)*VLOOKUP('Données projet'!$B$9,Paramètres!$A$1:$I$89,5,0)</f>
        <v>316.48765200000008</v>
      </c>
      <c r="P131" s="13">
        <f t="shared" si="87"/>
        <v>74.622072586992616</v>
      </c>
      <c r="Q131" s="20">
        <f t="shared" ref="Q131:Q153" si="108">(O131+P131)*0.475*44/12</f>
        <v>681.18277032234562</v>
      </c>
      <c r="R131" s="59">
        <f t="shared" ref="R131:R194" si="109">Q131+(I131+J131)*44/12</f>
        <v>974.51610365567899</v>
      </c>
      <c r="S131" s="59">
        <f ca="1">AVERAGE(OFFSET($R$3,0,0,'Données projet'!$E$9+1,1))-AVERAGE(OFFSET($H$3,0,0,'Données projet'!$E$9+1,1))</f>
        <v>533.26035274112917</v>
      </c>
      <c r="T131" s="59">
        <f t="shared" si="88"/>
        <v>262.58149402282521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22.6772264273337</v>
      </c>
      <c r="AA131" s="21">
        <f>EXP(-LN(2)/25)*AA130+(1-EXP(-LN(2)/25))/(LN(2)/25)*Calculateur!V131*Calculateur!X131*VLOOKUP('Données projet'!$B$9,Paramètres!$A$1:$I$89,3,0)*0.475*44/12</f>
        <v>21.63446144481782</v>
      </c>
      <c r="AB131" s="21">
        <f>EXP(-LN(2)/2)*AB130+(1-EXP(-LN(2)/2))/(LN(2)/2)*V131*Y131*VLOOKUP('Données projet'!$B$9,Paramètres!$A$1:$I$89,3,0)*0.475*44/12</f>
        <v>0.57106389365097221</v>
      </c>
      <c r="AC131" s="22">
        <f t="shared" si="57"/>
        <v>44.882751765802496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7.7849999999999966</v>
      </c>
      <c r="AI131" s="13">
        <f>IF('Données projet'!$A$62&gt;35,AI130+AH131-AQ130,IF(A131&lt;'Données projet'!$A$62,$AF$205^A131,IF(A131='Données projet'!$A$62,'Données projet'!$B$62,AI130+AH131-AQ130)))</f>
        <v>357.96500000000049</v>
      </c>
      <c r="AJ131" s="13">
        <f>AI131*VLOOKUP('Données projet'!$B$10,Paramètres!$A$1:$I$89,3,0)*VLOOKUP('Données projet'!$B$10,Paramètres!$A$1:$I$89,5,0)</f>
        <v>323.88673200000045</v>
      </c>
      <c r="AK131" s="13">
        <f t="shared" si="89"/>
        <v>76.161494734560648</v>
      </c>
      <c r="AL131" s="20">
        <f t="shared" si="58"/>
        <v>696.75066156269395</v>
      </c>
      <c r="AM131" s="59">
        <f t="shared" si="59"/>
        <v>990.08399489602721</v>
      </c>
      <c r="AN131" s="59">
        <f ca="1">AVERAGE(OFFSET($AM$3,0,0,'Données projet'!$E$10+1,1))-AVERAGE(OFFSET($H$3,0,0,'Données projet'!$E$10+1,1))</f>
        <v>482.62991869403385</v>
      </c>
      <c r="AO131" s="59">
        <f t="shared" si="90"/>
        <v>310.43914804089906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39.341999930946237</v>
      </c>
      <c r="AV131" s="21">
        <f>EXP(-LN(2)/25)*AV130+(1-EXP(-LN(2)/25))/(LN(2)/25)*Calculateur!AQ131*Calculateur!AS131*VLOOKUP('Données projet'!$B$10,Paramètres!$A$1:$I$89,3,0)*0.475*44/12</f>
        <v>19.936766324745776</v>
      </c>
      <c r="AW131" s="21">
        <f>EXP(-LN(2)/2)*AW130+(1-EXP(-LN(2)/2))/(LN(2)/2)*AQ131*AT131*VLOOKUP('Données projet'!$B$10,Paramètres!$A$1:$I$89,3,0)*0.475*44/12</f>
        <v>8.5777332167343609E-4</v>
      </c>
      <c r="AX131" s="21">
        <f t="shared" si="60"/>
        <v>59.279624029013689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384.34044781465661</v>
      </c>
      <c r="BJ131" s="59">
        <f t="shared" si="92"/>
        <v>374.99493809709708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22.061266195405352</v>
      </c>
      <c r="BQ131" s="21">
        <f>EXP(-LN(2)/25)*BQ130+(1-EXP(-LN(2)/25))/(LN(2)/25)*Calculateur!BL131*Calculateur!BN131*VLOOKUP('Données projet'!$B$11,Paramètres!$A$1:$I$89,3,0)*0.475*44/12</f>
        <v>14.892191539680278</v>
      </c>
      <c r="BR131" s="21">
        <f>EXP(-LN(2)/2)*BR130+(1-EXP(-LN(2)/2))/(LN(2)/2)*BL131*BO131*VLOOKUP('Données projet'!$B$11,Paramètres!$A$1:$I$89,3,0)*0.475*44/12</f>
        <v>4.0853654490340721E-6</v>
      </c>
      <c r="BS131" s="22">
        <f t="shared" si="63"/>
        <v>36.953461820451075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7.7849999999999966</v>
      </c>
      <c r="BY131" s="12">
        <f>IF('Données projet'!$A$114&gt;35,BY130+BX131-CG130,IF(A131&lt;'Données projet'!$A$114,$BV$205^A131,IF(A131='Données projet'!$A$114,'Données projet'!$B$114,BY130+BX131-CG130)))</f>
        <v>357.96500000000049</v>
      </c>
      <c r="BZ131" s="13">
        <f>BY131*VLOOKUP('Données projet'!$B$12,Paramètres!$A$1:$I$89,3,0)*VLOOKUP('Données projet'!$B$12,Paramètres!$A$1:$I$89,5,0)</f>
        <v>340.63949400000047</v>
      </c>
      <c r="CA131" s="13">
        <f t="shared" si="93"/>
        <v>79.632055478092539</v>
      </c>
      <c r="CB131" s="20">
        <f t="shared" si="64"/>
        <v>731.97294867434528</v>
      </c>
      <c r="CC131" s="59">
        <f t="shared" si="65"/>
        <v>1025.3062820076786</v>
      </c>
      <c r="CD131" s="59">
        <f ca="1">AVERAGE(OFFSET($CC$3,0,0,'Données projet'!$E$12+1,1))-AVERAGE(OFFSET($H$3,0,0,'Données projet'!$E$12+1,1))</f>
        <v>513.14430745499283</v>
      </c>
      <c r="CE131" s="59">
        <f t="shared" si="94"/>
        <v>324.2490378019823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41.376930961857269</v>
      </c>
      <c r="CL131" s="21">
        <f>EXP(-LN(2)/25)*CL130+(1-EXP(-LN(2)/25))/(LN(2)/25)*Calculateur!CG131*Calculateur!CI131*VLOOKUP('Données projet'!$B$12,Paramètres!$A$1:$I$89,3,0)*0.475*44/12</f>
        <v>20.967978376025727</v>
      </c>
      <c r="CM131" s="21">
        <f>EXP(-LN(2)/2)*CM130+(1-EXP(-LN(2)/2))/(LN(2)/2)*CG131*CJ131*VLOOKUP('Données projet'!$B$12,Paramètres!$A$1:$I$89,3,0)*0.475*44/12</f>
        <v>9.0214090727723344E-4</v>
      </c>
      <c r="CN131" s="22">
        <f t="shared" si="66"/>
        <v>62.345811478790274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-1.1368683772161603E-13</v>
      </c>
      <c r="CU131" s="17">
        <f>CT131*VLOOKUP('Données projet'!$B$13,Paramètres!$A$1:$I$89,3,0)*VLOOKUP('Données projet'!$B$13,Paramètres!$A$1:$I$89,5,0)</f>
        <v>-8.8675733422860506E-14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197.51452239559433</v>
      </c>
      <c r="CZ131" s="59">
        <f t="shared" si="96"/>
        <v>196.65166921588821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8.5679900238861073</v>
      </c>
      <c r="DG131" s="21">
        <f>EXP(-LN(2)/25)*DG130+(1-EXP(-LN(2)/25))/(LN(2)/25)*Calculateur!DB131*Calculateur!DD131*VLOOKUP('Données projet'!$B$13,Paramètres!$A$1:$I$89,3,0)*0.475*44/12</f>
        <v>5.286229843845196</v>
      </c>
      <c r="DH131" s="21">
        <f>EXP(-LN(2)/2)*DH130+(1-EXP(-LN(2)/2))/(LN(2)/2)*DB131*DE131*VLOOKUP('Données projet'!$B$13,Paramètres!$A$1:$I$89,3,0)*0.475*44/12</f>
        <v>5.129556972647303E-8</v>
      </c>
      <c r="DI131" s="22">
        <f t="shared" si="69"/>
        <v>13.854219919026873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>
        <f>DO131*VLOOKUP('Données projet'!$B$14,Paramètres!$A$1:$I$89,3,0)*VLOOKUP('Données projet'!$B$14,Paramètres!$A$1:$I$89,5,0)</f>
        <v>0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239.26156489359892</v>
      </c>
      <c r="DU131" s="59">
        <f t="shared" si="98"/>
        <v>213.97034450798111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5.0951408746817108</v>
      </c>
      <c r="EB131" s="21">
        <f>EXP(-LN(2)/25)*EB130+(1-EXP(-LN(2)/25))/(LN(2)/25)*Calculateur!DW131*Calculateur!DY131*VLOOKUP('Données projet'!$B$14,Paramètres!$A$1:$I$89,3,0)*0.475*44/12</f>
        <v>22.268105972754459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27.363246847436169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7.1129999999999995</v>
      </c>
      <c r="EJ131" s="12">
        <f>IF('Données projet'!$A$192&gt;35,EJ130+EI131-ER130,IF(A131&lt;'Données projet'!$A$192,$EG$205^A131,IF(A131='Données projet'!$A$192,'Données projet'!$B$192,EJ130+EI131-ER130)))</f>
        <v>312.11800000000005</v>
      </c>
      <c r="EK131" s="17">
        <f>EJ131*VLOOKUP('Données projet'!$B$15,Paramètres!$A$1:$I$89,3,0)*VLOOKUP('Données projet'!$B$15,Paramètres!$A$1:$I$89,5,0)</f>
        <v>311.61861120000009</v>
      </c>
      <c r="EL131" s="13">
        <f t="shared" si="99"/>
        <v>73.606758090785334</v>
      </c>
      <c r="EM131" s="20">
        <f t="shared" si="73"/>
        <v>670.93418484811787</v>
      </c>
      <c r="EN131" s="59">
        <f t="shared" si="74"/>
        <v>964.26751818145112</v>
      </c>
      <c r="EO131" s="59">
        <f ca="1">AVERAGE(OFFSET($EN$3,0,0,'Données projet'!$E$15+1,1))-AVERAGE(OFFSET($H$3,0,0,'Données projet'!$E$15+1,1))</f>
        <v>525.74725170626471</v>
      </c>
      <c r="EP131" s="59">
        <f t="shared" si="100"/>
        <v>259.19103598192197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22.328346020759341</v>
      </c>
      <c r="EW131" s="21">
        <f>EXP(-LN(2)/25)*EW130+(1-EXP(-LN(2)/25))/(LN(2)/25)*Calculateur!ER131*Calculateur!ET131*VLOOKUP('Données projet'!$B$15,Paramètres!$A$1:$I$89,3,0)*0.475*44/12</f>
        <v>21.301623576436011</v>
      </c>
      <c r="EX131" s="21">
        <f>EXP(-LN(2)/2)*EX130+(1-EXP(-LN(2)/2))/(LN(2)/2)*ER131*EU131*VLOOKUP('Données projet'!$B$15,Paramètres!$A$1:$I$89,3,0)*0.475*44/12</f>
        <v>0.56227829528711115</v>
      </c>
      <c r="EY131" s="22">
        <f t="shared" si="75"/>
        <v>44.192247892482463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7.1129999999999995</v>
      </c>
      <c r="N132" s="13">
        <f>IF('Données projet'!$A$36&gt;35,N131+M132-V131,IF(A132&lt;'Données projet'!$A$36,$K$205^A132,IF(A132='Données projet'!$A$36,'Données projet'!$B$36,N131+M132-V131)))</f>
        <v>319.23100000000005</v>
      </c>
      <c r="O132" s="13">
        <f>N132*VLOOKUP('Données projet'!$B$9,Paramètres!$A$1:$I$89,3,0)*VLOOKUP('Données projet'!$B$9,Paramètres!$A$1:$I$89,5,0)</f>
        <v>323.70023400000008</v>
      </c>
      <c r="P132" s="13">
        <f t="shared" si="87"/>
        <v>76.122743392807436</v>
      </c>
      <c r="Q132" s="20">
        <f t="shared" si="108"/>
        <v>696.35835229247311</v>
      </c>
      <c r="R132" s="59">
        <f t="shared" si="109"/>
        <v>989.69168562580649</v>
      </c>
      <c r="S132" s="59">
        <f ca="1">AVERAGE(OFFSET($R$3,0,0,'Données projet'!$E$9+1,1))-AVERAGE(OFFSET($H$3,0,0,'Données projet'!$E$9+1,1))</f>
        <v>533.26035274112917</v>
      </c>
      <c r="T132" s="59">
        <f t="shared" si="88"/>
        <v>262.58149402282521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22.232539848836037</v>
      </c>
      <c r="AA132" s="21">
        <f>EXP(-LN(2)/25)*AA131+(1-EXP(-LN(2)/25))/(LN(2)/25)*Calculateur!V132*Calculateur!X132*VLOOKUP('Données projet'!$B$9,Paramètres!$A$1:$I$89,3,0)*0.475*44/12</f>
        <v>21.042865958902397</v>
      </c>
      <c r="AB132" s="21">
        <f>EXP(-LN(2)/2)*AB131+(1-EXP(-LN(2)/2))/(LN(2)/2)*V132*Y132*VLOOKUP('Données projet'!$B$9,Paramètres!$A$1:$I$89,3,0)*0.475*44/12</f>
        <v>0.40380315169139586</v>
      </c>
      <c r="AC132" s="22">
        <f t="shared" ref="AC132:AC153" si="111">SUM(Z132:AB132)</f>
        <v>43.679208959429836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7.7849999999999966</v>
      </c>
      <c r="AI132" s="13">
        <f>IF('Données projet'!$A$62&gt;35,AI131+AH132-AQ131,IF(A132&lt;'Données projet'!$A$62,$AF$205^A132,IF(A132='Données projet'!$A$62,'Données projet'!$B$62,AI131+AH132-AQ131)))</f>
        <v>365.75000000000045</v>
      </c>
      <c r="AJ132" s="13">
        <f>AI132*VLOOKUP('Données projet'!$B$10,Paramètres!$A$1:$I$89,3,0)*VLOOKUP('Données projet'!$B$10,Paramètres!$A$1:$I$89,5,0)</f>
        <v>330.93060000000037</v>
      </c>
      <c r="AK132" s="13">
        <f t="shared" si="89"/>
        <v>77.623212662146571</v>
      </c>
      <c r="AL132" s="20">
        <f t="shared" ref="AL132:AL153" si="112">(AJ132+AK132)*0.475*44/12</f>
        <v>711.56455705323924</v>
      </c>
      <c r="AM132" s="59">
        <f t="shared" ref="AM132:AM195" si="113">AL132+(AD132+AE132)*44/12</f>
        <v>1004.8978903865725</v>
      </c>
      <c r="AN132" s="59">
        <f ca="1">AVERAGE(OFFSET($AM$3,0,0,'Données projet'!$E$10+1,1))-AVERAGE(OFFSET($H$3,0,0,'Données projet'!$E$10+1,1))</f>
        <v>482.62991869403385</v>
      </c>
      <c r="AO132" s="59">
        <f t="shared" si="90"/>
        <v>310.43914804089906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38.570527308550908</v>
      </c>
      <c r="AV132" s="21">
        <f>EXP(-LN(2)/25)*AV131+(1-EXP(-LN(2)/25))/(LN(2)/25)*Calculateur!AQ132*Calculateur!AS132*VLOOKUP('Données projet'!$B$10,Paramètres!$A$1:$I$89,3,0)*0.475*44/12</f>
        <v>19.391594401166628</v>
      </c>
      <c r="AW132" s="21">
        <f>EXP(-LN(2)/2)*AW131+(1-EXP(-LN(2)/2))/(LN(2)/2)*AQ132*AT132*VLOOKUP('Données projet'!$B$10,Paramètres!$A$1:$I$89,3,0)*0.475*44/12</f>
        <v>6.0653733247619641E-4</v>
      </c>
      <c r="AX132" s="21">
        <f t="shared" ref="AX132:AX153" si="114">SUM(AU132:AW132)</f>
        <v>57.962728247050009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384.34044781465661</v>
      </c>
      <c r="BJ132" s="59">
        <f t="shared" si="92"/>
        <v>374.99493809709708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21.62865822135716</v>
      </c>
      <c r="BQ132" s="21">
        <f>EXP(-LN(2)/25)*BQ131+(1-EXP(-LN(2)/25))/(LN(2)/25)*Calculateur!BL132*Calculateur!BN132*VLOOKUP('Données projet'!$B$11,Paramètres!$A$1:$I$89,3,0)*0.475*44/12</f>
        <v>14.484963778881404</v>
      </c>
      <c r="BR132" s="21">
        <f>EXP(-LN(2)/2)*BR131+(1-EXP(-LN(2)/2))/(LN(2)/2)*BL132*BO132*VLOOKUP('Données projet'!$B$11,Paramètres!$A$1:$I$89,3,0)*0.475*44/12</f>
        <v>2.8887896126372172E-6</v>
      </c>
      <c r="BS132" s="22">
        <f t="shared" ref="BS132:BS153" si="117">SUM(BP132:BR132)</f>
        <v>36.113624889028173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7.7849999999999966</v>
      </c>
      <c r="BY132" s="12">
        <f>IF('Données projet'!$A$114&gt;35,BY131+BX132-CG131,IF(A132&lt;'Données projet'!$A$114,$BV$205^A132,IF(A132='Données projet'!$A$114,'Données projet'!$B$114,BY131+BX132-CG131)))</f>
        <v>365.75000000000045</v>
      </c>
      <c r="BZ132" s="13">
        <f>BY132*VLOOKUP('Données projet'!$B$12,Paramètres!$A$1:$I$89,3,0)*VLOOKUP('Données projet'!$B$12,Paramètres!$A$1:$I$89,5,0)</f>
        <v>348.04770000000042</v>
      </c>
      <c r="CA132" s="13">
        <f t="shared" si="93"/>
        <v>81.16038161597254</v>
      </c>
      <c r="CB132" s="20">
        <f t="shared" ref="CB132:CB153" si="118">(BZ132+CA132)*0.475*44/12</f>
        <v>747.5374088144863</v>
      </c>
      <c r="CC132" s="59">
        <f t="shared" ref="CC132:CC195" si="119">CB132+(BT132+BU132)*44/12</f>
        <v>1040.8707421478196</v>
      </c>
      <c r="CD132" s="59">
        <f ca="1">AVERAGE(OFFSET($CC$3,0,0,'Données projet'!$E$12+1,1))-AVERAGE(OFFSET($H$3,0,0,'Données projet'!$E$12+1,1))</f>
        <v>513.14430745499283</v>
      </c>
      <c r="CE132" s="59">
        <f t="shared" si="94"/>
        <v>324.2490378019823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40.565554583131146</v>
      </c>
      <c r="CL132" s="21">
        <f>EXP(-LN(2)/25)*CL131+(1-EXP(-LN(2)/25))/(LN(2)/25)*Calculateur!CG132*Calculateur!CI132*VLOOKUP('Données projet'!$B$12,Paramètres!$A$1:$I$89,3,0)*0.475*44/12</f>
        <v>20.394607904675244</v>
      </c>
      <c r="CM132" s="21">
        <f>EXP(-LN(2)/2)*CM131+(1-EXP(-LN(2)/2))/(LN(2)/2)*CG132*CJ132*VLOOKUP('Données projet'!$B$12,Paramètres!$A$1:$I$89,3,0)*0.475*44/12</f>
        <v>6.3790995312151615E-4</v>
      </c>
      <c r="CN132" s="22">
        <f t="shared" ref="CN132:CN153" si="120">SUM(CK132:CM132)</f>
        <v>60.960800397759506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-1.1368683772161603E-13</v>
      </c>
      <c r="CU132" s="17">
        <f>CT132*VLOOKUP('Données projet'!$B$13,Paramètres!$A$1:$I$89,3,0)*VLOOKUP('Données projet'!$B$13,Paramètres!$A$1:$I$89,5,0)</f>
        <v>-8.8675733422860506E-14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197.51452239559433</v>
      </c>
      <c r="CZ132" s="59">
        <f t="shared" si="96"/>
        <v>196.65166921588821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8.3999769654755951</v>
      </c>
      <c r="DG132" s="21">
        <f>EXP(-LN(2)/25)*DG131+(1-EXP(-LN(2)/25))/(LN(2)/25)*Calculateur!DB132*Calculateur!DD132*VLOOKUP('Données projet'!$B$13,Paramètres!$A$1:$I$89,3,0)*0.475*44/12</f>
        <v>5.1416776107745035</v>
      </c>
      <c r="DH132" s="21">
        <f>EXP(-LN(2)/2)*DH131+(1-EXP(-LN(2)/2))/(LN(2)/2)*DB132*DE132*VLOOKUP('Données projet'!$B$13,Paramètres!$A$1:$I$89,3,0)*0.475*44/12</f>
        <v>3.6271445198416456E-8</v>
      </c>
      <c r="DI132" s="22">
        <f t="shared" ref="DI132:DI153" si="123">SUM(DF132:DH132)</f>
        <v>13.541654612521544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>
        <f>DO132*VLOOKUP('Données projet'!$B$14,Paramètres!$A$1:$I$89,3,0)*VLOOKUP('Données projet'!$B$14,Paramètres!$A$1:$I$89,5,0)</f>
        <v>0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239.26156489359892</v>
      </c>
      <c r="DU132" s="59">
        <f t="shared" si="98"/>
        <v>213.97034450798111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4.9952282698582735</v>
      </c>
      <c r="EB132" s="21">
        <f>EXP(-LN(2)/25)*EB131+(1-EXP(-LN(2)/25))/(LN(2)/25)*Calculateur!DW132*Calculateur!DY132*VLOOKUP('Données projet'!$B$14,Paramètres!$A$1:$I$89,3,0)*0.475*44/12</f>
        <v>21.659183443900691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26.654411713758964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7.1129999999999995</v>
      </c>
      <c r="EJ132" s="12">
        <f>IF('Données projet'!$A$192&gt;35,EJ131+EI132-ER131,IF(A132&lt;'Données projet'!$A$192,$EG$205^A132,IF(A132='Données projet'!$A$192,'Données projet'!$B$192,EJ131+EI132-ER131)))</f>
        <v>319.23100000000005</v>
      </c>
      <c r="EK132" s="17">
        <f>EJ132*VLOOKUP('Données projet'!$B$15,Paramètres!$A$1:$I$89,3,0)*VLOOKUP('Données projet'!$B$15,Paramètres!$A$1:$I$89,5,0)</f>
        <v>318.72023040000005</v>
      </c>
      <c r="EL132" s="13">
        <f t="shared" si="99"/>
        <v>75.087010637359214</v>
      </c>
      <c r="EM132" s="20">
        <f t="shared" ref="EM132:EM153" si="127">(EK132+EL132)*0.475*44/12</f>
        <v>685.88094480673408</v>
      </c>
      <c r="EN132" s="59">
        <f t="shared" ref="EN132:EN195" si="128">EM132+(EE132+EF132)*44/12</f>
        <v>979.21427814006734</v>
      </c>
      <c r="EO132" s="59">
        <f ca="1">AVERAGE(OFFSET($EN$3,0,0,'Données projet'!$E$15+1,1))-AVERAGE(OFFSET($H$3,0,0,'Données projet'!$E$15+1,1))</f>
        <v>525.74725170626471</v>
      </c>
      <c r="EP132" s="59">
        <f t="shared" si="100"/>
        <v>259.19103598192197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21.890500774238564</v>
      </c>
      <c r="EW132" s="21">
        <f>EXP(-LN(2)/25)*EW131+(1-EXP(-LN(2)/25))/(LN(2)/25)*Calculateur!ER132*Calculateur!ET132*VLOOKUP('Données projet'!$B$15,Paramètres!$A$1:$I$89,3,0)*0.475*44/12</f>
        <v>20.719129559534672</v>
      </c>
      <c r="EX132" s="21">
        <f>EXP(-LN(2)/2)*EX131+(1-EXP(-LN(2)/2))/(LN(2)/2)*ER132*EU132*VLOOKUP('Données projet'!$B$15,Paramètres!$A$1:$I$89,3,0)*0.475*44/12</f>
        <v>0.39759079551152826</v>
      </c>
      <c r="EY132" s="22">
        <f t="shared" ref="EY132:EY153" si="129">SUM(EV132:EX132)</f>
        <v>43.007221129284765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7.1129999999999995</v>
      </c>
      <c r="N133" s="13">
        <f>IF('Données projet'!$A$36&gt;35,N132+M133-V132,IF(A133&lt;'Données projet'!$A$36,$K$205^A133,IF(A133='Données projet'!$A$36,'Données projet'!$B$36,N132+M133-V132)))</f>
        <v>326.34400000000005</v>
      </c>
      <c r="O133" s="13">
        <f>N133*VLOOKUP('Données projet'!$B$9,Paramètres!$A$1:$I$89,3,0)*VLOOKUP('Données projet'!$B$9,Paramètres!$A$1:$I$89,5,0)</f>
        <v>330.91281600000008</v>
      </c>
      <c r="P133" s="13">
        <f t="shared" ref="P133:P196" si="141">EXP(-1.0587+0.8836*LN(O133)+0.284)</f>
        <v>77.619526782062408</v>
      </c>
      <c r="Q133" s="20">
        <f t="shared" si="108"/>
        <v>711.52716367875882</v>
      </c>
      <c r="R133" s="59">
        <f t="shared" si="109"/>
        <v>1004.8604970120921</v>
      </c>
      <c r="S133" s="59">
        <f ca="1">AVERAGE(OFFSET($R$3,0,0,'Données projet'!$E$9+1,1))-AVERAGE(OFFSET($H$3,0,0,'Données projet'!$E$9+1,1))</f>
        <v>533.26035274112917</v>
      </c>
      <c r="T133" s="59">
        <f t="shared" ref="T133:T196" si="142">$T$3</f>
        <v>262.58149402282521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21.79657330291068</v>
      </c>
      <c r="AA133" s="21">
        <f>EXP(-LN(2)/25)*AA132+(1-EXP(-LN(2)/25))/(LN(2)/25)*Calculateur!V133*Calculateur!X133*VLOOKUP('Données projet'!$B$9,Paramètres!$A$1:$I$89,3,0)*0.475*44/12</f>
        <v>20.467447682659984</v>
      </c>
      <c r="AB133" s="21">
        <f>EXP(-LN(2)/2)*AB132+(1-EXP(-LN(2)/2))/(LN(2)/2)*V133*Y133*VLOOKUP('Données projet'!$B$9,Paramètres!$A$1:$I$89,3,0)*0.475*44/12</f>
        <v>0.2855319468254861</v>
      </c>
      <c r="AC133" s="22">
        <f t="shared" si="111"/>
        <v>42.549552932396153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7.7849999999999966</v>
      </c>
      <c r="AI133" s="13">
        <f>IF('Données projet'!$A$62&gt;35,AI132+AH133-AQ132,IF(A133&lt;'Données projet'!$A$62,$AF$205^A133,IF(A133='Données projet'!$A$62,'Données projet'!$B$62,AI132+AH133-AQ132)))</f>
        <v>373.53500000000042</v>
      </c>
      <c r="AJ133" s="13">
        <f>AI133*VLOOKUP('Données projet'!$B$10,Paramètres!$A$1:$I$89,3,0)*VLOOKUP('Données projet'!$B$10,Paramètres!$A$1:$I$89,5,0)</f>
        <v>337.9744680000004</v>
      </c>
      <c r="AK133" s="13">
        <f t="shared" ref="AK133:AK153" si="143">EXP(-1.0587+0.8836*LN(AJ133)+0.284)</f>
        <v>79.081313264051104</v>
      </c>
      <c r="AL133" s="20">
        <f t="shared" si="112"/>
        <v>726.37215236822306</v>
      </c>
      <c r="AM133" s="59">
        <f t="shared" si="113"/>
        <v>1019.7054857015564</v>
      </c>
      <c r="AN133" s="59">
        <f ca="1">AVERAGE(OFFSET($AM$3,0,0,'Données projet'!$E$10+1,1))-AVERAGE(OFFSET($H$3,0,0,'Données projet'!$E$10+1,1))</f>
        <v>482.62991869403385</v>
      </c>
      <c r="AO133" s="59">
        <f t="shared" ref="AO133:AO196" si="144">$AO$3</f>
        <v>310.43914804089906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37.814182793728911</v>
      </c>
      <c r="AV133" s="21">
        <f>EXP(-LN(2)/25)*AV132+(1-EXP(-LN(2)/25))/(LN(2)/25)*Calculateur!AQ133*Calculateur!AS133*VLOOKUP('Données projet'!$B$10,Paramètres!$A$1:$I$89,3,0)*0.475*44/12</f>
        <v>18.861330232507097</v>
      </c>
      <c r="AW133" s="21">
        <f>EXP(-LN(2)/2)*AW132+(1-EXP(-LN(2)/2))/(LN(2)/2)*AQ133*AT133*VLOOKUP('Données projet'!$B$10,Paramètres!$A$1:$I$89,3,0)*0.475*44/12</f>
        <v>4.2888666083671804E-4</v>
      </c>
      <c r="AX133" s="21">
        <f t="shared" si="114"/>
        <v>56.675941912896839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384.34044781465661</v>
      </c>
      <c r="BJ133" s="59">
        <f t="shared" ref="BJ133:BJ196" si="146">$BJ$3</f>
        <v>374.99493809709708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21.204533425815242</v>
      </c>
      <c r="BQ133" s="21">
        <f>EXP(-LN(2)/25)*BQ132+(1-EXP(-LN(2)/25))/(LN(2)/25)*Calculateur!BL133*Calculateur!BN133*VLOOKUP('Données projet'!$B$11,Paramètres!$A$1:$I$89,3,0)*0.475*44/12</f>
        <v>14.088871682616753</v>
      </c>
      <c r="BR133" s="21">
        <f>EXP(-LN(2)/2)*BR132+(1-EXP(-LN(2)/2))/(LN(2)/2)*BL133*BO133*VLOOKUP('Données projet'!$B$11,Paramètres!$A$1:$I$89,3,0)*0.475*44/12</f>
        <v>2.0426827245170361E-6</v>
      </c>
      <c r="BS133" s="22">
        <f t="shared" si="117"/>
        <v>35.293407151114721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7.7849999999999966</v>
      </c>
      <c r="BY133" s="12">
        <f>IF('Données projet'!$A$114&gt;35,BY132+BX133-CG132,IF(A133&lt;'Données projet'!$A$114,$BV$205^A133,IF(A133='Données projet'!$A$114,'Données projet'!$B$114,BY132+BX133-CG132)))</f>
        <v>373.53500000000042</v>
      </c>
      <c r="BZ133" s="13">
        <f>BY133*VLOOKUP('Données projet'!$B$12,Paramètres!$A$1:$I$89,3,0)*VLOOKUP('Données projet'!$B$12,Paramètres!$A$1:$I$89,5,0)</f>
        <v>355.45590600000043</v>
      </c>
      <c r="CA133" s="13">
        <f t="shared" ref="CA133:CA153" si="147">EXP(-1.0587+0.8836*LN(BZ133)+0.284)</f>
        <v>82.68492559227154</v>
      </c>
      <c r="CB133" s="20">
        <f t="shared" si="118"/>
        <v>763.09528168987356</v>
      </c>
      <c r="CC133" s="59">
        <f t="shared" si="119"/>
        <v>1056.4286150232069</v>
      </c>
      <c r="CD133" s="59">
        <f ca="1">AVERAGE(OFFSET($CC$3,0,0,'Données projet'!$E$12+1,1))-AVERAGE(OFFSET($H$3,0,0,'Données projet'!$E$12+1,1))</f>
        <v>513.14430745499283</v>
      </c>
      <c r="CE133" s="59">
        <f t="shared" ref="CE133:CE196" si="148">$CE$3</f>
        <v>324.2490378019823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39.770088800301117</v>
      </c>
      <c r="CL133" s="21">
        <f>EXP(-LN(2)/25)*CL132+(1-EXP(-LN(2)/25))/(LN(2)/25)*Calculateur!CG133*Calculateur!CI133*VLOOKUP('Données projet'!$B$12,Paramètres!$A$1:$I$89,3,0)*0.475*44/12</f>
        <v>19.836916279016084</v>
      </c>
      <c r="CM133" s="21">
        <f>EXP(-LN(2)/2)*CM132+(1-EXP(-LN(2)/2))/(LN(2)/2)*CG133*CJ133*VLOOKUP('Données projet'!$B$12,Paramètres!$A$1:$I$89,3,0)*0.475*44/12</f>
        <v>4.5107045363861672E-4</v>
      </c>
      <c r="CN133" s="22">
        <f t="shared" si="120"/>
        <v>59.60745614977084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-1.1368683772161603E-13</v>
      </c>
      <c r="CU133" s="17">
        <f>CT133*VLOOKUP('Données projet'!$B$13,Paramètres!$A$1:$I$89,3,0)*VLOOKUP('Données projet'!$B$13,Paramètres!$A$1:$I$89,5,0)</f>
        <v>-8.8675733422860506E-14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197.51452239559433</v>
      </c>
      <c r="CZ133" s="59">
        <f t="shared" ref="CZ133:CZ196" si="150">$CZ$3</f>
        <v>196.65166921588821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8.2352585406626666</v>
      </c>
      <c r="DG133" s="21">
        <f>EXP(-LN(2)/25)*DG132+(1-EXP(-LN(2)/25))/(LN(2)/25)*Calculateur!DB133*Calculateur!DD133*VLOOKUP('Données projet'!$B$13,Paramètres!$A$1:$I$89,3,0)*0.475*44/12</f>
        <v>5.0010781661188002</v>
      </c>
      <c r="DH133" s="21">
        <f>EXP(-LN(2)/2)*DH132+(1-EXP(-LN(2)/2))/(LN(2)/2)*DB133*DE133*VLOOKUP('Données projet'!$B$13,Paramètres!$A$1:$I$89,3,0)*0.475*44/12</f>
        <v>2.5647784863236515E-8</v>
      </c>
      <c r="DI133" s="22">
        <f t="shared" si="123"/>
        <v>13.236336732429251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>
        <f>DO133*VLOOKUP('Données projet'!$B$14,Paramètres!$A$1:$I$89,3,0)*VLOOKUP('Données projet'!$B$14,Paramètres!$A$1:$I$89,5,0)</f>
        <v>0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239.26156489359892</v>
      </c>
      <c r="DU133" s="59">
        <f t="shared" ref="DU133:DU196" si="152">$DU$3</f>
        <v>213.97034450798111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4.897274890274752</v>
      </c>
      <c r="EB133" s="21">
        <f>EXP(-LN(2)/25)*EB132+(1-EXP(-LN(2)/25))/(LN(2)/25)*Calculateur!DW133*Calculateur!DY133*VLOOKUP('Données projet'!$B$14,Paramètres!$A$1:$I$89,3,0)*0.475*44/12</f>
        <v>21.066911933620272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25.964186823895023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7.1129999999999995</v>
      </c>
      <c r="EJ133" s="12">
        <f>IF('Données projet'!$A$192&gt;35,EJ132+EI133-ER132,IF(A133&lt;'Données projet'!$A$192,$EG$205^A133,IF(A133='Données projet'!$A$192,'Données projet'!$B$192,EJ132+EI133-ER132)))</f>
        <v>326.34400000000005</v>
      </c>
      <c r="EK133" s="17">
        <f>EJ133*VLOOKUP('Données projet'!$B$15,Paramètres!$A$1:$I$89,3,0)*VLOOKUP('Données projet'!$B$15,Paramètres!$A$1:$I$89,5,0)</f>
        <v>325.82184960000006</v>
      </c>
      <c r="EL133" s="13">
        <f t="shared" ref="EL133:EL153" si="153">EXP(-1.0587+0.8836*LN(EK133)+0.284)</f>
        <v>76.563428659905611</v>
      </c>
      <c r="EM133" s="20">
        <f t="shared" si="127"/>
        <v>700.82102630266911</v>
      </c>
      <c r="EN133" s="59">
        <f t="shared" si="128"/>
        <v>994.15435963600248</v>
      </c>
      <c r="EO133" s="59">
        <f ca="1">AVERAGE(OFFSET($EN$3,0,0,'Données projet'!$E$15+1,1))-AVERAGE(OFFSET($H$3,0,0,'Données projet'!$E$15+1,1))</f>
        <v>525.74725170626471</v>
      </c>
      <c r="EP133" s="59">
        <f t="shared" ref="EP133:EP196" si="154">$EP$3</f>
        <v>259.19103598192197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21.461241405942829</v>
      </c>
      <c r="EW133" s="21">
        <f>EXP(-LN(2)/25)*EW132+(1-EXP(-LN(2)/25))/(LN(2)/25)*Calculateur!ER133*Calculateur!ET133*VLOOKUP('Données projet'!$B$15,Paramètres!$A$1:$I$89,3,0)*0.475*44/12</f>
        <v>20.152563872157526</v>
      </c>
      <c r="EX133" s="21">
        <f>EXP(-LN(2)/2)*EX132+(1-EXP(-LN(2)/2))/(LN(2)/2)*ER133*EU133*VLOOKUP('Données projet'!$B$15,Paramètres!$A$1:$I$89,3,0)*0.475*44/12</f>
        <v>0.28113914764355558</v>
      </c>
      <c r="EY133" s="22">
        <f t="shared" si="129"/>
        <v>41.894944425743915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7.1129999999999995</v>
      </c>
      <c r="N134" s="13">
        <f>IF('Données projet'!$A$36&gt;35,N133+M134-V133,IF(A134&lt;'Données projet'!$A$36,$K$205^A134,IF(A134='Données projet'!$A$36,'Données projet'!$B$36,N133+M134-V133)))</f>
        <v>333.45700000000005</v>
      </c>
      <c r="O134" s="13">
        <f>N134*VLOOKUP('Données projet'!$B$9,Paramètres!$A$1:$I$89,3,0)*VLOOKUP('Données projet'!$B$9,Paramètres!$A$1:$I$89,5,0)</f>
        <v>338.12539800000008</v>
      </c>
      <c r="P134" s="13">
        <f t="shared" si="141"/>
        <v>79.112517242778139</v>
      </c>
      <c r="Q134" s="20">
        <f t="shared" si="108"/>
        <v>726.68936904783868</v>
      </c>
      <c r="R134" s="59">
        <f t="shared" si="109"/>
        <v>1020.0227023811719</v>
      </c>
      <c r="S134" s="59">
        <f ca="1">AVERAGE(OFFSET($R$3,0,0,'Données projet'!$E$9+1,1))-AVERAGE(OFFSET($H$3,0,0,'Données projet'!$E$9+1,1))</f>
        <v>533.26035274112917</v>
      </c>
      <c r="T134" s="59">
        <f t="shared" si="142"/>
        <v>262.58149402282521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21.369155795037585</v>
      </c>
      <c r="AA134" s="21">
        <f>EXP(-LN(2)/25)*AA133+(1-EXP(-LN(2)/25))/(LN(2)/25)*Calculateur!V134*Calculateur!X134*VLOOKUP('Données projet'!$B$9,Paramètres!$A$1:$I$89,3,0)*0.475*44/12</f>
        <v>19.907764249441353</v>
      </c>
      <c r="AB134" s="21">
        <f>EXP(-LN(2)/2)*AB133+(1-EXP(-LN(2)/2))/(LN(2)/2)*V134*Y134*VLOOKUP('Données projet'!$B$9,Paramètres!$A$1:$I$89,3,0)*0.475*44/12</f>
        <v>0.20190157584569793</v>
      </c>
      <c r="AC134" s="22">
        <f t="shared" si="111"/>
        <v>41.478821620324638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7.7849999999999966</v>
      </c>
      <c r="AI134" s="13">
        <f>IF('Données projet'!$A$62&gt;35,AI133+AH134-AQ133,IF(A134&lt;'Données projet'!$A$62,$AF$205^A134,IF(A134='Données projet'!$A$62,'Données projet'!$B$62,AI133+AH134-AQ133)))</f>
        <v>381.32000000000039</v>
      </c>
      <c r="AJ134" s="13">
        <f>AI134*VLOOKUP('Données projet'!$B$10,Paramètres!$A$1:$I$89,3,0)*VLOOKUP('Données projet'!$B$10,Paramètres!$A$1:$I$89,5,0)</f>
        <v>345.01833600000032</v>
      </c>
      <c r="AK134" s="13">
        <f t="shared" si="143"/>
        <v>80.535880616180918</v>
      </c>
      <c r="AL134" s="20">
        <f t="shared" si="112"/>
        <v>741.17359393984896</v>
      </c>
      <c r="AM134" s="59">
        <f t="shared" si="113"/>
        <v>1034.5069272731823</v>
      </c>
      <c r="AN134" s="59">
        <f ca="1">AVERAGE(OFFSET($AM$3,0,0,'Données projet'!$E$10+1,1))-AVERAGE(OFFSET($H$3,0,0,'Données projet'!$E$10+1,1))</f>
        <v>482.62991869403385</v>
      </c>
      <c r="AO134" s="59">
        <f t="shared" si="144"/>
        <v>310.43914804089906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37.072669733517976</v>
      </c>
      <c r="AV134" s="21">
        <f>EXP(-LN(2)/25)*AV133+(1-EXP(-LN(2)/25))/(LN(2)/25)*Calculateur!AQ134*Calculateur!AS134*VLOOKUP('Données projet'!$B$10,Paramètres!$A$1:$I$89,3,0)*0.475*44/12</f>
        <v>18.345566165424941</v>
      </c>
      <c r="AW134" s="21">
        <f>EXP(-LN(2)/2)*AW133+(1-EXP(-LN(2)/2))/(LN(2)/2)*AQ134*AT134*VLOOKUP('Données projet'!$B$10,Paramètres!$A$1:$I$89,3,0)*0.475*44/12</f>
        <v>3.032686662380982E-4</v>
      </c>
      <c r="AX134" s="21">
        <f t="shared" si="114"/>
        <v>55.418539167609154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384.34044781465661</v>
      </c>
      <c r="BJ134" s="59">
        <f t="shared" si="146"/>
        <v>374.99493809709708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20.788725458823318</v>
      </c>
      <c r="BQ134" s="21">
        <f>EXP(-LN(2)/25)*BQ133+(1-EXP(-LN(2)/25))/(LN(2)/25)*Calculateur!BL134*Calculateur!BN134*VLOOKUP('Données projet'!$B$11,Paramètres!$A$1:$I$89,3,0)*0.475*44/12</f>
        <v>13.703610745554037</v>
      </c>
      <c r="BR134" s="21">
        <f>EXP(-LN(2)/2)*BR133+(1-EXP(-LN(2)/2))/(LN(2)/2)*BL134*BO134*VLOOKUP('Données projet'!$B$11,Paramètres!$A$1:$I$89,3,0)*0.475*44/12</f>
        <v>1.4443948063186086E-6</v>
      </c>
      <c r="BS134" s="22">
        <f t="shared" si="117"/>
        <v>34.492337648772157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7.7849999999999966</v>
      </c>
      <c r="BY134" s="12">
        <f>IF('Données projet'!$A$114&gt;35,BY133+BX134-CG133,IF(A134&lt;'Données projet'!$A$114,$BV$205^A134,IF(A134='Données projet'!$A$114,'Données projet'!$B$114,BY133+BX134-CG133)))</f>
        <v>381.32000000000039</v>
      </c>
      <c r="BZ134" s="13">
        <f>BY134*VLOOKUP('Données projet'!$B$12,Paramètres!$A$1:$I$89,3,0)*VLOOKUP('Données projet'!$B$12,Paramètres!$A$1:$I$89,5,0)</f>
        <v>362.86411200000038</v>
      </c>
      <c r="CA134" s="13">
        <f t="shared" si="147"/>
        <v>84.205775314104358</v>
      </c>
      <c r="CB134" s="20">
        <f t="shared" si="118"/>
        <v>778.64672040539892</v>
      </c>
      <c r="CC134" s="59">
        <f t="shared" si="119"/>
        <v>1071.9800537387323</v>
      </c>
      <c r="CD134" s="59">
        <f ca="1">AVERAGE(OFFSET($CC$3,0,0,'Données projet'!$E$12+1,1))-AVERAGE(OFFSET($H$3,0,0,'Données projet'!$E$12+1,1))</f>
        <v>513.14430745499283</v>
      </c>
      <c r="CE134" s="59">
        <f t="shared" si="148"/>
        <v>324.2490378019823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38.990221616286163</v>
      </c>
      <c r="CL134" s="21">
        <f>EXP(-LN(2)/25)*CL133+(1-EXP(-LN(2)/25))/(LN(2)/25)*Calculateur!CG134*Calculateur!CI134*VLOOKUP('Données projet'!$B$12,Paramètres!$A$1:$I$89,3,0)*0.475*44/12</f>
        <v>19.294474760188301</v>
      </c>
      <c r="CM134" s="21">
        <f>EXP(-LN(2)/2)*CM133+(1-EXP(-LN(2)/2))/(LN(2)/2)*CG134*CJ134*VLOOKUP('Données projet'!$B$12,Paramètres!$A$1:$I$89,3,0)*0.475*44/12</f>
        <v>3.1895497656075808E-4</v>
      </c>
      <c r="CN134" s="22">
        <f t="shared" si="120"/>
        <v>58.285015331451028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-1.1368683772161603E-13</v>
      </c>
      <c r="CU134" s="17">
        <f>CT134*VLOOKUP('Données projet'!$B$13,Paramètres!$A$1:$I$89,3,0)*VLOOKUP('Données projet'!$B$13,Paramètres!$A$1:$I$89,5,0)</f>
        <v>-8.8675733422860506E-14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197.51452239559433</v>
      </c>
      <c r="CZ134" s="59">
        <f t="shared" si="150"/>
        <v>196.65166921588821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8.0737701436920002</v>
      </c>
      <c r="DG134" s="21">
        <f>EXP(-LN(2)/25)*DG133+(1-EXP(-LN(2)/25))/(LN(2)/25)*Calculateur!DB134*Calculateur!DD134*VLOOKUP('Données projet'!$B$13,Paramètres!$A$1:$I$89,3,0)*0.475*44/12</f>
        <v>4.8643234206710106</v>
      </c>
      <c r="DH134" s="21">
        <f>EXP(-LN(2)/2)*DH133+(1-EXP(-LN(2)/2))/(LN(2)/2)*DB134*DE134*VLOOKUP('Données projet'!$B$13,Paramètres!$A$1:$I$89,3,0)*0.475*44/12</f>
        <v>1.8135722599208228E-8</v>
      </c>
      <c r="DI134" s="22">
        <f t="shared" si="123"/>
        <v>12.938093582498734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>
        <f>DO134*VLOOKUP('Données projet'!$B$14,Paramètres!$A$1:$I$89,3,0)*VLOOKUP('Données projet'!$B$14,Paramètres!$A$1:$I$89,5,0)</f>
        <v>0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239.26156489359892</v>
      </c>
      <c r="DU134" s="59">
        <f t="shared" si="152"/>
        <v>213.97034450798111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4.8012423167192013</v>
      </c>
      <c r="EB134" s="21">
        <f>EXP(-LN(2)/25)*EB133+(1-EXP(-LN(2)/25))/(LN(2)/25)*Calculateur!DW134*Calculateur!DY134*VLOOKUP('Données projet'!$B$14,Paramètres!$A$1:$I$89,3,0)*0.475*44/12</f>
        <v>20.490836118934677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25.292078435653877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7.1129999999999995</v>
      </c>
      <c r="EJ134" s="12">
        <f>IF('Données projet'!$A$192&gt;35,EJ133+EI134-ER133,IF(A134&lt;'Données projet'!$A$192,$EG$205^A134,IF(A134='Données projet'!$A$192,'Données projet'!$B$192,EJ133+EI134-ER133)))</f>
        <v>333.45700000000005</v>
      </c>
      <c r="EK134" s="17">
        <f>EJ134*VLOOKUP('Données projet'!$B$15,Paramètres!$A$1:$I$89,3,0)*VLOOKUP('Données projet'!$B$15,Paramètres!$A$1:$I$89,5,0)</f>
        <v>332.92346880000008</v>
      </c>
      <c r="EL134" s="13">
        <f t="shared" si="153"/>
        <v>78.036105360832607</v>
      </c>
      <c r="EM134" s="20">
        <f t="shared" si="127"/>
        <v>715.75459166345024</v>
      </c>
      <c r="EN134" s="59">
        <f t="shared" si="128"/>
        <v>1009.0879249967836</v>
      </c>
      <c r="EO134" s="59">
        <f ca="1">AVERAGE(OFFSET($EN$3,0,0,'Données projet'!$E$15+1,1))-AVERAGE(OFFSET($H$3,0,0,'Données projet'!$E$15+1,1))</f>
        <v>525.74725170626471</v>
      </c>
      <c r="EP134" s="59">
        <f t="shared" si="154"/>
        <v>259.19103598192197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21.040399552037012</v>
      </c>
      <c r="EW134" s="21">
        <f>EXP(-LN(2)/25)*EW133+(1-EXP(-LN(2)/25))/(LN(2)/25)*Calculateur!ER134*Calculateur!ET134*VLOOKUP('Données projet'!$B$15,Paramètres!$A$1:$I$89,3,0)*0.475*44/12</f>
        <v>19.601490953296103</v>
      </c>
      <c r="EX134" s="21">
        <f>EXP(-LN(2)/2)*EX133+(1-EXP(-LN(2)/2))/(LN(2)/2)*ER134*EU134*VLOOKUP('Données projet'!$B$15,Paramètres!$A$1:$I$89,3,0)*0.475*44/12</f>
        <v>0.19879539775576413</v>
      </c>
      <c r="EY134" s="22">
        <f t="shared" si="129"/>
        <v>40.840685903088882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>
        <f>VLOOKUP(A135,'Données projet'!$A$35:$I$55,2,0)</f>
        <v>340.57</v>
      </c>
      <c r="L135" s="12">
        <f>VLOOKUP(A135,'Données projet'!$A$35:$I$55,9,0)</f>
        <v>7.1129999999999995</v>
      </c>
      <c r="M135" s="12">
        <f t="array" ref="M135">INDEX(L:L,MIN(IF(ISNUMBER(L135:L331),ROW(L135:L331),"")))</f>
        <v>7.1129999999999995</v>
      </c>
      <c r="N135" s="13">
        <f>IF('Données projet'!$A$36&gt;35,N134+M135-V134,IF(A135&lt;'Données projet'!$A$36,$K$205^A135,IF(A135='Données projet'!$A$36,'Données projet'!$B$36,N134+M135-V134)))</f>
        <v>340.57000000000005</v>
      </c>
      <c r="O135" s="13">
        <f>N135*VLOOKUP('Données projet'!$B$9,Paramètres!$A$1:$I$89,3,0)*VLOOKUP('Données projet'!$B$9,Paramètres!$A$1:$I$89,5,0)</f>
        <v>345.33798000000007</v>
      </c>
      <c r="P135" s="13">
        <f t="shared" si="141"/>
        <v>80.601805001623404</v>
      </c>
      <c r="Q135" s="20">
        <f t="shared" si="108"/>
        <v>741.84512554449418</v>
      </c>
      <c r="R135" s="59">
        <f t="shared" si="109"/>
        <v>1035.1784588778276</v>
      </c>
      <c r="S135" s="59">
        <f ca="1">AVERAGE(OFFSET($R$3,0,0,'Données projet'!$E$9+1,1))-AVERAGE(OFFSET($H$3,0,0,'Données projet'!$E$9+1,1))</f>
        <v>533.26035274112917</v>
      </c>
      <c r="T135" s="59">
        <f t="shared" si="142"/>
        <v>262.58149402282521</v>
      </c>
      <c r="U135" s="15">
        <f>IF(ISNA(VLOOKUP(A135,'Données projet'!$A$35:$I$55,3,0)),0,VLOOKUP(A135,'Données projet'!$A$35:$I$55,3,0))</f>
        <v>9</v>
      </c>
      <c r="V135" s="15">
        <f>IF(ISNA(VLOOKUP(A135,'Données projet'!$A$35:$I$55,4,0)),0,VLOOKUP(A135,'Données projet'!$A$35:$I$55,4,0))</f>
        <v>48.699999999999989</v>
      </c>
      <c r="W135" s="16">
        <f>IF(ISNA(VLOOKUP(A135,'Données projet'!$A$35:$I$55,5,0)),0%,VLOOKUP(A135,'Données projet'!$A$35:$I$55,5,0)*VLOOKUP('Données projet'!$B$9,Paramètres!$A$1:$I$89,7,0))</f>
        <v>0.15049999999999999</v>
      </c>
      <c r="X135" s="16">
        <f>IF(ISNA(VLOOKUP(A135,'Données projet'!$A$35:$I$55,6,0)),0%,VLOOKUP(A135,'Données projet'!$A$35:$I$55,6,0)*VLOOKUP('Données projet'!$B$9,Paramètres!$A$1:$I$89,7,0))</f>
        <v>8.6000000000000007E-2</v>
      </c>
      <c r="Y135" s="16">
        <f>IF(ISNA(VLOOKUP(A135,'Données projet'!$A$35:$I$55,7,0)),0%,VLOOKUP(A135,'Données projet'!$A$35:$I$55,7,0))</f>
        <v>0.1</v>
      </c>
      <c r="Z135" s="21">
        <f>EXP(-LN(2)/35)*Z134+(1-EXP(-LN(2)/35))/(LN(2)/35)*V135*W135*VLOOKUP('Données projet'!$B$9,Paramètres!$A$1:$I$89,3,0)*0.475*44/12</f>
        <v>29.165932320591985</v>
      </c>
      <c r="AA135" s="21">
        <f>EXP(-LN(2)/25)*AA134+(1-EXP(-LN(2)/25))/(LN(2)/25)*Calculateur!V135*Calculateur!X135*VLOOKUP('Données projet'!$B$9,Paramètres!$A$1:$I$89,3,0)*0.475*44/12</f>
        <v>24.039650447408519</v>
      </c>
      <c r="AB135" s="21">
        <f>EXP(-LN(2)/2)*AB134+(1-EXP(-LN(2)/2))/(LN(2)/2)*V135*Y135*VLOOKUP('Données projet'!$B$9,Paramètres!$A$1:$I$89,3,0)*0.475*44/12</f>
        <v>4.802071712578778</v>
      </c>
      <c r="AC135" s="22">
        <f t="shared" si="111"/>
        <v>58.007654480579284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7.7849999999999966</v>
      </c>
      <c r="AI135" s="13">
        <f>IF('Données projet'!$A$62&gt;35,AI134+AH135-AQ134,IF(A135&lt;'Données projet'!$A$62,$AF$205^A135,IF(A135='Données projet'!$A$62,'Données projet'!$B$62,AI134+AH135-AQ134)))</f>
        <v>389.10500000000036</v>
      </c>
      <c r="AJ135" s="13">
        <f>AI135*VLOOKUP('Données projet'!$B$10,Paramètres!$A$1:$I$89,3,0)*VLOOKUP('Données projet'!$B$10,Paramètres!$A$1:$I$89,5,0)</f>
        <v>352.06220400000029</v>
      </c>
      <c r="AK135" s="13">
        <f t="shared" si="143"/>
        <v>81.986995165225665</v>
      </c>
      <c r="AL135" s="20">
        <f t="shared" si="112"/>
        <v>755.96902187943522</v>
      </c>
      <c r="AM135" s="59">
        <f t="shared" si="113"/>
        <v>1049.3023552127686</v>
      </c>
      <c r="AN135" s="59">
        <f ca="1">AVERAGE(OFFSET($AM$3,0,0,'Données projet'!$E$10+1,1))-AVERAGE(OFFSET($H$3,0,0,'Données projet'!$E$10+1,1))</f>
        <v>482.62991869403385</v>
      </c>
      <c r="AO135" s="59">
        <f t="shared" si="144"/>
        <v>310.43914804089906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36.345697292139469</v>
      </c>
      <c r="AV135" s="21">
        <f>EXP(-LN(2)/25)*AV134+(1-EXP(-LN(2)/25))/(LN(2)/25)*Calculateur!AQ135*Calculateur!AS135*VLOOKUP('Données projet'!$B$10,Paramètres!$A$1:$I$89,3,0)*0.475*44/12</f>
        <v>17.84390569388</v>
      </c>
      <c r="AW135" s="21">
        <f>EXP(-LN(2)/2)*AW134+(1-EXP(-LN(2)/2))/(LN(2)/2)*AQ135*AT135*VLOOKUP('Données projet'!$B$10,Paramètres!$A$1:$I$89,3,0)*0.475*44/12</f>
        <v>2.1444333041835902E-4</v>
      </c>
      <c r="AX135" s="21">
        <f t="shared" si="114"/>
        <v>54.189817429349887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384.34044781465661</v>
      </c>
      <c r="BJ135" s="59">
        <f t="shared" si="146"/>
        <v>374.99493809709708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20.381071232446288</v>
      </c>
      <c r="BQ135" s="21">
        <f>EXP(-LN(2)/25)*BQ134+(1-EXP(-LN(2)/25))/(LN(2)/25)*Calculateur!BL135*Calculateur!BN135*VLOOKUP('Données projet'!$B$11,Paramètres!$A$1:$I$89,3,0)*0.475*44/12</f>
        <v>13.328884789075293</v>
      </c>
      <c r="BR135" s="21">
        <f>EXP(-LN(2)/2)*BR134+(1-EXP(-LN(2)/2))/(LN(2)/2)*BL135*BO135*VLOOKUP('Données projet'!$B$11,Paramètres!$A$1:$I$89,3,0)*0.475*44/12</f>
        <v>1.021341362258518E-6</v>
      </c>
      <c r="BS135" s="22">
        <f t="shared" si="117"/>
        <v>33.709957042862939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7.7849999999999966</v>
      </c>
      <c r="BY135" s="12">
        <f>IF('Données projet'!$A$114&gt;35,BY134+BX135-CG134,IF(A135&lt;'Données projet'!$A$114,$BV$205^A135,IF(A135='Données projet'!$A$114,'Données projet'!$B$114,BY134+BX135-CG134)))</f>
        <v>389.10500000000036</v>
      </c>
      <c r="BZ135" s="13">
        <f>BY135*VLOOKUP('Données projet'!$B$12,Paramètres!$A$1:$I$89,3,0)*VLOOKUP('Données projet'!$B$12,Paramètres!$A$1:$I$89,5,0)</f>
        <v>370.27231800000033</v>
      </c>
      <c r="CA135" s="13">
        <f t="shared" si="147"/>
        <v>85.723014893990864</v>
      </c>
      <c r="CB135" s="20">
        <f t="shared" si="118"/>
        <v>794.19187145703472</v>
      </c>
      <c r="CC135" s="59">
        <f t="shared" si="119"/>
        <v>1087.525204790368</v>
      </c>
      <c r="CD135" s="59">
        <f ca="1">AVERAGE(OFFSET($CC$3,0,0,'Données projet'!$E$12+1,1))-AVERAGE(OFFSET($H$3,0,0,'Données projet'!$E$12+1,1))</f>
        <v>513.14430745499283</v>
      </c>
      <c r="CE135" s="59">
        <f t="shared" si="148"/>
        <v>324.2490378019823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38.225647152077734</v>
      </c>
      <c r="CL135" s="21">
        <f>EXP(-LN(2)/25)*CL134+(1-EXP(-LN(2)/25))/(LN(2)/25)*Calculateur!CG135*Calculateur!CI135*VLOOKUP('Données projet'!$B$12,Paramètres!$A$1:$I$89,3,0)*0.475*44/12</f>
        <v>18.766866333218623</v>
      </c>
      <c r="CM135" s="21">
        <f>EXP(-LN(2)/2)*CM134+(1-EXP(-LN(2)/2))/(LN(2)/2)*CG135*CJ135*VLOOKUP('Données projet'!$B$12,Paramètres!$A$1:$I$89,3,0)*0.475*44/12</f>
        <v>2.2553522681930836E-4</v>
      </c>
      <c r="CN135" s="22">
        <f t="shared" si="120"/>
        <v>56.992739020523175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-1.1368683772161603E-13</v>
      </c>
      <c r="CU135" s="17">
        <f>CT135*VLOOKUP('Données projet'!$B$13,Paramètres!$A$1:$I$89,3,0)*VLOOKUP('Données projet'!$B$13,Paramètres!$A$1:$I$89,5,0)</f>
        <v>-8.8675733422860506E-14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197.51452239559433</v>
      </c>
      <c r="CZ135" s="59">
        <f t="shared" si="150"/>
        <v>196.65166921588821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7.9154484356877326</v>
      </c>
      <c r="DG135" s="21">
        <f>EXP(-LN(2)/25)*DG134+(1-EXP(-LN(2)/25))/(LN(2)/25)*Calculateur!DB135*Calculateur!DD135*VLOOKUP('Données projet'!$B$13,Paramètres!$A$1:$I$89,3,0)*0.475*44/12</f>
        <v>4.7313082409291107</v>
      </c>
      <c r="DH135" s="21">
        <f>EXP(-LN(2)/2)*DH134+(1-EXP(-LN(2)/2))/(LN(2)/2)*DB135*DE135*VLOOKUP('Données projet'!$B$13,Paramètres!$A$1:$I$89,3,0)*0.475*44/12</f>
        <v>1.2823892431618258E-8</v>
      </c>
      <c r="DI135" s="22">
        <f t="shared" si="123"/>
        <v>12.646756689440735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>
        <f>DO135*VLOOKUP('Données projet'!$B$14,Paramètres!$A$1:$I$89,3,0)*VLOOKUP('Données projet'!$B$14,Paramètres!$A$1:$I$89,5,0)</f>
        <v>0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239.26156489359892</v>
      </c>
      <c r="DU135" s="59">
        <f t="shared" si="152"/>
        <v>213.97034450798111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4.7070928833569887</v>
      </c>
      <c r="EB135" s="21">
        <f>EXP(-LN(2)/25)*EB134+(1-EXP(-LN(2)/25))/(LN(2)/25)*Calculateur!DW135*Calculateur!DY135*VLOOKUP('Données projet'!$B$14,Paramètres!$A$1:$I$89,3,0)*0.475*44/12</f>
        <v>19.93051312769617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24.637606011053158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>
        <f>VLOOKUP(A135,'Données projet'!$A$191:$I$211,2,0)</f>
        <v>340.57</v>
      </c>
      <c r="EH135" s="12">
        <f>VLOOKUP(A135,'Données projet'!$A$191:$I$211,9,0)</f>
        <v>7.1129999999999995</v>
      </c>
      <c r="EI135" s="12">
        <f t="array" ref="EI135">INDEX(EH:EH,MIN(IF(ISNUMBER(EH135:EH331),ROW(EH135:EH331),"")))</f>
        <v>7.1129999999999995</v>
      </c>
      <c r="EJ135" s="12">
        <f>IF('Données projet'!$A$192&gt;35,EJ134+EI135-ER134,IF(A135&lt;'Données projet'!$A$192,$EG$205^A135,IF(A135='Données projet'!$A$192,'Données projet'!$B$192,EJ134+EI135-ER134)))</f>
        <v>340.57000000000005</v>
      </c>
      <c r="EK135" s="17">
        <f>EJ135*VLOOKUP('Données projet'!$B$15,Paramètres!$A$1:$I$89,3,0)*VLOOKUP('Données projet'!$B$15,Paramètres!$A$1:$I$89,5,0)</f>
        <v>340.02508800000004</v>
      </c>
      <c r="EL135" s="13">
        <f t="shared" si="153"/>
        <v>79.505129739177207</v>
      </c>
      <c r="EM135" s="20">
        <f t="shared" si="127"/>
        <v>730.68179589573367</v>
      </c>
      <c r="EN135" s="59">
        <f t="shared" si="128"/>
        <v>1024.015129229067</v>
      </c>
      <c r="EO135" s="59">
        <f ca="1">AVERAGE(OFFSET($EN$3,0,0,'Données projet'!$E$15+1,1))-AVERAGE(OFFSET($H$3,0,0,'Données projet'!$E$15+1,1))</f>
        <v>525.74725170626471</v>
      </c>
      <c r="EP135" s="59">
        <f t="shared" si="154"/>
        <v>259.19103598192197</v>
      </c>
      <c r="EQ135" s="15">
        <f>IF(ISNA(VLOOKUP(A135,'Données projet'!$A$191:$I$211,3,0)),0,VLOOKUP(A135,'Données projet'!$A$191:$I$211,3,0))</f>
        <v>9</v>
      </c>
      <c r="ER135" s="15">
        <f>IF(ISNA(VLOOKUP(A135,'Données projet'!$A$191:$I$211,4,0)),0,VLOOKUP(A135,'Données projet'!$A$191:$I$211,4,0))</f>
        <v>48.699999999999989</v>
      </c>
      <c r="ES135" s="16">
        <f>IF(ISNA(VLOOKUP(A135,'Données projet'!$A$191:$I$211,5,0)),0%,VLOOKUP(A135,'Données projet'!$A$191:$I$211,5,0)*VLOOKUP('Données projet'!$B$15,Paramètres!$A$1:$I$89,7,0))</f>
        <v>0.15049999999999999</v>
      </c>
      <c r="ET135" s="16">
        <f>IF(ISNA(VLOOKUP(A135,'Données projet'!$A$191:$I$211,6,0)),0%,VLOOKUP(A135,'Données projet'!$A$191:$I$211,6,0)*VLOOKUP('Données projet'!$B$15,Paramètres!$A$1:$I$89,7,0))</f>
        <v>8.6000000000000007E-2</v>
      </c>
      <c r="EU135" s="16">
        <f>IF(ISNA(VLOOKUP(A135,'Données projet'!$A$191:$I$211,7,0)),0%,VLOOKUP(A135,'Données projet'!$A$191:$I$211,7,0))</f>
        <v>0.1</v>
      </c>
      <c r="EV135" s="21">
        <f>EXP(-LN(2)/35)*EV134+(1-EXP(-LN(2)/35))/(LN(2)/35)*ER135*ES135*VLOOKUP('Données projet'!$B$15,Paramètres!$A$1:$I$89,3,0)*0.475*44/12</f>
        <v>28.717225669505957</v>
      </c>
      <c r="EW135" s="21">
        <f>EXP(-LN(2)/25)*EW134+(1-EXP(-LN(2)/25))/(LN(2)/25)*Calculateur!ER135*Calculateur!ET135*VLOOKUP('Données projet'!$B$15,Paramètres!$A$1:$I$89,3,0)*0.475*44/12</f>
        <v>23.669809671294544</v>
      </c>
      <c r="EX135" s="21">
        <f>EXP(-LN(2)/2)*EX134+(1-EXP(-LN(2)/2))/(LN(2)/2)*ER135*EU135*VLOOKUP('Données projet'!$B$15,Paramètres!$A$1:$I$89,3,0)*0.475*44/12</f>
        <v>4.7281936862314122</v>
      </c>
      <c r="EY135" s="22">
        <f t="shared" si="129"/>
        <v>57.115229027031916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7.3375000000000012</v>
      </c>
      <c r="N136" s="13">
        <f>IF('Données projet'!$A$36&gt;35,N135+M136-V135,IF(A136&lt;'Données projet'!$A$36,$K$205^A136,IF(A136='Données projet'!$A$36,'Données projet'!$B$36,N135+M136-V135)))</f>
        <v>299.20750000000004</v>
      </c>
      <c r="O136" s="13">
        <f>N136*VLOOKUP('Données projet'!$B$9,Paramètres!$A$1:$I$89,3,0)*VLOOKUP('Données projet'!$B$9,Paramètres!$A$1:$I$89,5,0)</f>
        <v>303.39640500000007</v>
      </c>
      <c r="P136" s="13">
        <f t="shared" si="141"/>
        <v>71.888013236043776</v>
      </c>
      <c r="Q136" s="20">
        <f t="shared" si="108"/>
        <v>653.62036176110962</v>
      </c>
      <c r="R136" s="59">
        <f t="shared" si="109"/>
        <v>946.95369509444299</v>
      </c>
      <c r="S136" s="59">
        <f ca="1">AVERAGE(OFFSET($R$3,0,0,'Données projet'!$E$9+1,1))-AVERAGE(OFFSET($H$3,0,0,'Données projet'!$E$9+1,1))</f>
        <v>533.26035274112917</v>
      </c>
      <c r="T136" s="59">
        <f t="shared" si="142"/>
        <v>262.58149402282521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28.594006177247326</v>
      </c>
      <c r="AA136" s="21">
        <f>EXP(-LN(2)/25)*AA135+(1-EXP(-LN(2)/25))/(LN(2)/25)*Calculateur!V136*Calculateur!X136*VLOOKUP('Données projet'!$B$9,Paramètres!$A$1:$I$89,3,0)*0.475*44/12</f>
        <v>23.382284941733861</v>
      </c>
      <c r="AB136" s="21">
        <f>EXP(-LN(2)/2)*AB135+(1-EXP(-LN(2)/2))/(LN(2)/2)*V136*Y136*VLOOKUP('Données projet'!$B$9,Paramètres!$A$1:$I$89,3,0)*0.475*44/12</f>
        <v>3.3955774717085516</v>
      </c>
      <c r="AC136" s="22">
        <f t="shared" si="111"/>
        <v>55.371868590689736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7.7849999999999966</v>
      </c>
      <c r="AI136" s="13">
        <f>IF('Données projet'!$A$62&gt;35,AI135+AH136-AQ135,IF(A136&lt;'Données projet'!$A$62,$AF$205^A136,IF(A136='Données projet'!$A$62,'Données projet'!$B$62,AI135+AH136-AQ135)))</f>
        <v>396.89000000000033</v>
      </c>
      <c r="AJ136" s="13">
        <f>AI136*VLOOKUP('Données projet'!$B$10,Paramètres!$A$1:$I$89,3,0)*VLOOKUP('Données projet'!$B$10,Paramètres!$A$1:$I$89,5,0)</f>
        <v>359.10607200000027</v>
      </c>
      <c r="AK136" s="13">
        <f t="shared" si="143"/>
        <v>83.434733954740693</v>
      </c>
      <c r="AL136" s="20">
        <f t="shared" si="112"/>
        <v>770.75857037117385</v>
      </c>
      <c r="AM136" s="59">
        <f t="shared" si="113"/>
        <v>1064.0919037045071</v>
      </c>
      <c r="AN136" s="59">
        <f ca="1">AVERAGE(OFFSET($AM$3,0,0,'Données projet'!$E$10+1,1))-AVERAGE(OFFSET($H$3,0,0,'Données projet'!$E$10+1,1))</f>
        <v>482.62991869403385</v>
      </c>
      <c r="AO136" s="59">
        <f t="shared" si="144"/>
        <v>310.43914804089906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35.632980336926984</v>
      </c>
      <c r="AV136" s="21">
        <f>EXP(-LN(2)/25)*AV135+(1-EXP(-LN(2)/25))/(LN(2)/25)*Calculateur!AQ136*Calculateur!AS136*VLOOKUP('Données projet'!$B$10,Paramètres!$A$1:$I$89,3,0)*0.475*44/12</f>
        <v>17.355963154310633</v>
      </c>
      <c r="AW136" s="21">
        <f>EXP(-LN(2)/2)*AW135+(1-EXP(-LN(2)/2))/(LN(2)/2)*AQ136*AT136*VLOOKUP('Données projet'!$B$10,Paramètres!$A$1:$I$89,3,0)*0.475*44/12</f>
        <v>1.516343331190491E-4</v>
      </c>
      <c r="AX136" s="21">
        <f t="shared" si="114"/>
        <v>52.989095125570742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384.34044781465661</v>
      </c>
      <c r="BJ136" s="59">
        <f t="shared" si="146"/>
        <v>374.99493809709708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19.981410856803986</v>
      </c>
      <c r="BQ136" s="21">
        <f>EXP(-LN(2)/25)*BQ135+(1-EXP(-LN(2)/25))/(LN(2)/25)*Calculateur!BL136*Calculateur!BN136*VLOOKUP('Données projet'!$B$11,Paramètres!$A$1:$I$89,3,0)*0.475*44/12</f>
        <v>12.964405733582442</v>
      </c>
      <c r="BR136" s="21">
        <f>EXP(-LN(2)/2)*BR135+(1-EXP(-LN(2)/2))/(LN(2)/2)*BL136*BO136*VLOOKUP('Données projet'!$B$11,Paramètres!$A$1:$I$89,3,0)*0.475*44/12</f>
        <v>7.2219740315930429E-7</v>
      </c>
      <c r="BS136" s="22">
        <f t="shared" si="117"/>
        <v>32.945817312583834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7.7849999999999966</v>
      </c>
      <c r="BY136" s="12">
        <f>IF('Données projet'!$A$114&gt;35,BY135+BX136-CG135,IF(A136&lt;'Données projet'!$A$114,$BV$205^A136,IF(A136='Données projet'!$A$114,'Données projet'!$B$114,BY135+BX136-CG135)))</f>
        <v>396.89000000000033</v>
      </c>
      <c r="BZ136" s="13">
        <f>BY136*VLOOKUP('Données projet'!$B$12,Paramètres!$A$1:$I$89,3,0)*VLOOKUP('Données projet'!$B$12,Paramètres!$A$1:$I$89,5,0)</f>
        <v>377.68052400000033</v>
      </c>
      <c r="CA136" s="13">
        <f t="shared" si="147"/>
        <v>87.236724886241561</v>
      </c>
      <c r="CB136" s="20">
        <f t="shared" si="118"/>
        <v>809.7308751435379</v>
      </c>
      <c r="CC136" s="59">
        <f t="shared" si="119"/>
        <v>1103.0642084768713</v>
      </c>
      <c r="CD136" s="59">
        <f ca="1">AVERAGE(OFFSET($CC$3,0,0,'Données projet'!$E$12+1,1))-AVERAGE(OFFSET($H$3,0,0,'Données projet'!$E$12+1,1))</f>
        <v>513.14430745499283</v>
      </c>
      <c r="CE136" s="59">
        <f t="shared" si="148"/>
        <v>324.2490378019823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37.476065526768053</v>
      </c>
      <c r="CL136" s="21">
        <f>EXP(-LN(2)/25)*CL135+(1-EXP(-LN(2)/25))/(LN(2)/25)*Calculateur!CG136*Calculateur!CI136*VLOOKUP('Données projet'!$B$12,Paramètres!$A$1:$I$89,3,0)*0.475*44/12</f>
        <v>18.253685386430153</v>
      </c>
      <c r="CM136" s="21">
        <f>EXP(-LN(2)/2)*CM135+(1-EXP(-LN(2)/2))/(LN(2)/2)*CG136*CJ136*VLOOKUP('Données projet'!$B$12,Paramètres!$A$1:$I$89,3,0)*0.475*44/12</f>
        <v>1.5947748828037904E-4</v>
      </c>
      <c r="CN136" s="22">
        <f t="shared" si="120"/>
        <v>55.729910390686484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-1.1368683772161603E-13</v>
      </c>
      <c r="CU136" s="17">
        <f>CT136*VLOOKUP('Données projet'!$B$13,Paramètres!$A$1:$I$89,3,0)*VLOOKUP('Données projet'!$B$13,Paramètres!$A$1:$I$89,5,0)</f>
        <v>-8.8675733422860506E-14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197.51452239559433</v>
      </c>
      <c r="CZ136" s="59">
        <f t="shared" si="150"/>
        <v>196.65166921588821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7.760231319810722</v>
      </c>
      <c r="DG136" s="21">
        <f>EXP(-LN(2)/25)*DG135+(1-EXP(-LN(2)/25))/(LN(2)/25)*Calculateur!DB136*Calculateur!DD136*VLOOKUP('Données projet'!$B$13,Paramètres!$A$1:$I$89,3,0)*0.475*44/12</f>
        <v>4.6019303682722175</v>
      </c>
      <c r="DH136" s="21">
        <f>EXP(-LN(2)/2)*DH135+(1-EXP(-LN(2)/2))/(LN(2)/2)*DB136*DE136*VLOOKUP('Données projet'!$B$13,Paramètres!$A$1:$I$89,3,0)*0.475*44/12</f>
        <v>9.067861299604114E-9</v>
      </c>
      <c r="DI136" s="22">
        <f t="shared" si="123"/>
        <v>12.3621616971508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>
        <f>DO136*VLOOKUP('Données projet'!$B$14,Paramètres!$A$1:$I$89,3,0)*VLOOKUP('Données projet'!$B$14,Paramètres!$A$1:$I$89,5,0)</f>
        <v>0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239.26156489359892</v>
      </c>
      <c r="DU136" s="59">
        <f t="shared" si="152"/>
        <v>213.97034450798111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4.6147896629575254</v>
      </c>
      <c r="EB136" s="21">
        <f>EXP(-LN(2)/25)*EB135+(1-EXP(-LN(2)/25))/(LN(2)/25)*Calculateur!DW136*Calculateur!DY136*VLOOKUP('Données projet'!$B$14,Paramètres!$A$1:$I$89,3,0)*0.475*44/12</f>
        <v>19.385512198119184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24.000301861076707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7.3375000000000012</v>
      </c>
      <c r="EJ136" s="12">
        <f>IF('Données projet'!$A$192&gt;35,EJ135+EI136-ER135,IF(A136&lt;'Données projet'!$A$192,$EG$205^A136,IF(A136='Données projet'!$A$192,'Données projet'!$B$192,EJ135+EI136-ER135)))</f>
        <v>299.20750000000004</v>
      </c>
      <c r="EK136" s="17">
        <f>EJ136*VLOOKUP('Données projet'!$B$15,Paramètres!$A$1:$I$89,3,0)*VLOOKUP('Données projet'!$B$15,Paramètres!$A$1:$I$89,5,0)</f>
        <v>298.72876800000006</v>
      </c>
      <c r="EL136" s="13">
        <f t="shared" si="153"/>
        <v>70.909898592323501</v>
      </c>
      <c r="EM136" s="20">
        <f t="shared" si="127"/>
        <v>643.78734431496343</v>
      </c>
      <c r="EN136" s="59">
        <f t="shared" si="128"/>
        <v>937.12067764829681</v>
      </c>
      <c r="EO136" s="59">
        <f ca="1">AVERAGE(OFFSET($EN$3,0,0,'Données projet'!$E$15+1,1))-AVERAGE(OFFSET($H$3,0,0,'Données projet'!$E$15+1,1))</f>
        <v>525.74725170626471</v>
      </c>
      <c r="EP136" s="59">
        <f t="shared" si="154"/>
        <v>259.19103598192197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28.154098389905066</v>
      </c>
      <c r="EW136" s="21">
        <f>EXP(-LN(2)/25)*EW135+(1-EXP(-LN(2)/25))/(LN(2)/25)*Calculateur!ER136*Calculateur!ET136*VLOOKUP('Données projet'!$B$15,Paramètres!$A$1:$I$89,3,0)*0.475*44/12</f>
        <v>23.022557481091802</v>
      </c>
      <c r="EX136" s="21">
        <f>EXP(-LN(2)/2)*EX135+(1-EXP(-LN(2)/2))/(LN(2)/2)*ER136*EU136*VLOOKUP('Données projet'!$B$15,Paramètres!$A$1:$I$89,3,0)*0.475*44/12</f>
        <v>3.343337818297651</v>
      </c>
      <c r="EY136" s="22">
        <f t="shared" si="129"/>
        <v>54.519993689294516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7.3375000000000012</v>
      </c>
      <c r="N137" s="13">
        <f>IF('Données projet'!$A$36&gt;35,N136+M137-V136,IF(A137&lt;'Données projet'!$A$36,$K$205^A137,IF(A137='Données projet'!$A$36,'Données projet'!$B$36,N136+M137-V136)))</f>
        <v>306.54500000000002</v>
      </c>
      <c r="O137" s="13">
        <f>N137*VLOOKUP('Données projet'!$B$9,Paramètres!$A$1:$I$89,3,0)*VLOOKUP('Données projet'!$B$9,Paramètres!$A$1:$I$89,5,0)</f>
        <v>310.83663000000001</v>
      </c>
      <c r="P137" s="13">
        <f t="shared" si="141"/>
        <v>73.443524398472576</v>
      </c>
      <c r="Q137" s="20">
        <f t="shared" si="108"/>
        <v>669.28793557733968</v>
      </c>
      <c r="R137" s="59">
        <f t="shared" si="109"/>
        <v>962.62126891067305</v>
      </c>
      <c r="S137" s="59">
        <f ca="1">AVERAGE(OFFSET($R$3,0,0,'Données projet'!$E$9+1,1))-AVERAGE(OFFSET($H$3,0,0,'Données projet'!$E$9+1,1))</f>
        <v>533.26035274112917</v>
      </c>
      <c r="T137" s="59">
        <f t="shared" si="142"/>
        <v>262.58149402282521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28.033295156733157</v>
      </c>
      <c r="AA137" s="21">
        <f>EXP(-LN(2)/25)*AA136+(1-EXP(-LN(2)/25))/(LN(2)/25)*Calculateur!V137*Calculateur!X137*VLOOKUP('Données projet'!$B$9,Paramètres!$A$1:$I$89,3,0)*0.475*44/12</f>
        <v>22.742895130381225</v>
      </c>
      <c r="AB137" s="21">
        <f>EXP(-LN(2)/2)*AB136+(1-EXP(-LN(2)/2))/(LN(2)/2)*V137*Y137*VLOOKUP('Données projet'!$B$9,Paramètres!$A$1:$I$89,3,0)*0.475*44/12</f>
        <v>2.4010358562893894</v>
      </c>
      <c r="AC137" s="22">
        <f t="shared" si="111"/>
        <v>53.177226143403772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7.7849999999999966</v>
      </c>
      <c r="AI137" s="13">
        <f>IF('Données projet'!$A$62&gt;35,AI136+AH137-AQ136,IF(A137&lt;'Données projet'!$A$62,$AF$205^A137,IF(A137='Données projet'!$A$62,'Données projet'!$B$62,AI136+AH137-AQ136)))</f>
        <v>404.6750000000003</v>
      </c>
      <c r="AJ137" s="13">
        <f>AI137*VLOOKUP('Données projet'!$B$10,Paramètres!$A$1:$I$89,3,0)*VLOOKUP('Données projet'!$B$10,Paramètres!$A$1:$I$89,5,0)</f>
        <v>366.14994000000024</v>
      </c>
      <c r="AK137" s="13">
        <f t="shared" si="143"/>
        <v>84.879170832991178</v>
      </c>
      <c r="AL137" s="20">
        <f t="shared" si="112"/>
        <v>785.54236803412675</v>
      </c>
      <c r="AM137" s="59">
        <f t="shared" si="113"/>
        <v>1078.8757013674601</v>
      </c>
      <c r="AN137" s="59">
        <f ca="1">AVERAGE(OFFSET($AM$3,0,0,'Données projet'!$E$10+1,1))-AVERAGE(OFFSET($H$3,0,0,'Données projet'!$E$10+1,1))</f>
        <v>482.62991869403385</v>
      </c>
      <c r="AO137" s="59">
        <f t="shared" si="144"/>
        <v>310.43914804089906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34.934239326491799</v>
      </c>
      <c r="AV137" s="21">
        <f>EXP(-LN(2)/25)*AV136+(1-EXP(-LN(2)/25))/(LN(2)/25)*Calculateur!AQ137*Calculateur!AS137*VLOOKUP('Données projet'!$B$10,Paramètres!$A$1:$I$89,3,0)*0.475*44/12</f>
        <v>16.881363429145573</v>
      </c>
      <c r="AW137" s="21">
        <f>EXP(-LN(2)/2)*AW136+(1-EXP(-LN(2)/2))/(LN(2)/2)*AQ137*AT137*VLOOKUP('Données projet'!$B$10,Paramètres!$A$1:$I$89,3,0)*0.475*44/12</f>
        <v>1.0722166520917951E-4</v>
      </c>
      <c r="AX137" s="21">
        <f t="shared" si="114"/>
        <v>51.815709977302582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384.34044781465661</v>
      </c>
      <c r="BJ137" s="59">
        <f t="shared" si="146"/>
        <v>374.99493809709708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19.589587577359271</v>
      </c>
      <c r="BQ137" s="21">
        <f>EXP(-LN(2)/25)*BQ136+(1-EXP(-LN(2)/25))/(LN(2)/25)*Calculateur!BL137*Calculateur!BN137*VLOOKUP('Données projet'!$B$11,Paramètres!$A$1:$I$89,3,0)*0.475*44/12</f>
        <v>12.609893377029163</v>
      </c>
      <c r="BR137" s="21">
        <f>EXP(-LN(2)/2)*BR136+(1-EXP(-LN(2)/2))/(LN(2)/2)*BL137*BO137*VLOOKUP('Données projet'!$B$11,Paramètres!$A$1:$I$89,3,0)*0.475*44/12</f>
        <v>5.1067068112925902E-7</v>
      </c>
      <c r="BS137" s="22">
        <f t="shared" si="117"/>
        <v>32.199481465059115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7.7849999999999966</v>
      </c>
      <c r="BY137" s="12">
        <f>IF('Données projet'!$A$114&gt;35,BY136+BX137-CG136,IF(A137&lt;'Données projet'!$A$114,$BV$205^A137,IF(A137='Données projet'!$A$114,'Données projet'!$B$114,BY136+BX137-CG136)))</f>
        <v>404.6750000000003</v>
      </c>
      <c r="BZ137" s="13">
        <f>BY137*VLOOKUP('Données projet'!$B$12,Paramètres!$A$1:$I$89,3,0)*VLOOKUP('Données projet'!$B$12,Paramètres!$A$1:$I$89,5,0)</f>
        <v>385.08873000000028</v>
      </c>
      <c r="CA137" s="13">
        <f t="shared" si="147"/>
        <v>88.746982504271941</v>
      </c>
      <c r="CB137" s="20">
        <f t="shared" si="118"/>
        <v>825.26386594494079</v>
      </c>
      <c r="CC137" s="59">
        <f t="shared" si="119"/>
        <v>1118.597199278274</v>
      </c>
      <c r="CD137" s="59">
        <f ca="1">AVERAGE(OFFSET($CC$3,0,0,'Données projet'!$E$12+1,1))-AVERAGE(OFFSET($H$3,0,0,'Données projet'!$E$12+1,1))</f>
        <v>513.14430745499283</v>
      </c>
      <c r="CE137" s="59">
        <f t="shared" si="148"/>
        <v>324.2490378019823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36.741182739931048</v>
      </c>
      <c r="CL137" s="21">
        <f>EXP(-LN(2)/25)*CL136+(1-EXP(-LN(2)/25))/(LN(2)/25)*Calculateur!CG137*Calculateur!CI137*VLOOKUP('Données projet'!$B$12,Paramètres!$A$1:$I$89,3,0)*0.475*44/12</f>
        <v>17.754537399618624</v>
      </c>
      <c r="CM137" s="21">
        <f>EXP(-LN(2)/2)*CM136+(1-EXP(-LN(2)/2))/(LN(2)/2)*CG137*CJ137*VLOOKUP('Données projet'!$B$12,Paramètres!$A$1:$I$89,3,0)*0.475*44/12</f>
        <v>1.1276761340965418E-4</v>
      </c>
      <c r="CN137" s="22">
        <f t="shared" si="120"/>
        <v>54.495832907163084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-1.1368683772161603E-13</v>
      </c>
      <c r="CU137" s="17">
        <f>CT137*VLOOKUP('Données projet'!$B$13,Paramètres!$A$1:$I$89,3,0)*VLOOKUP('Données projet'!$B$13,Paramètres!$A$1:$I$89,5,0)</f>
        <v>-8.8675733422860506E-14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197.51452239559433</v>
      </c>
      <c r="CZ137" s="59">
        <f t="shared" si="150"/>
        <v>196.65166921588821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7.6080579169029665</v>
      </c>
      <c r="DG137" s="21">
        <f>EXP(-LN(2)/25)*DG136+(1-EXP(-LN(2)/25))/(LN(2)/25)*Calculateur!DB137*Calculateur!DD137*VLOOKUP('Données projet'!$B$13,Paramètres!$A$1:$I$89,3,0)*0.475*44/12</f>
        <v>4.4760903403468131</v>
      </c>
      <c r="DH137" s="21">
        <f>EXP(-LN(2)/2)*DH136+(1-EXP(-LN(2)/2))/(LN(2)/2)*DB137*DE137*VLOOKUP('Données projet'!$B$13,Paramètres!$A$1:$I$89,3,0)*0.475*44/12</f>
        <v>6.4119462158091288E-9</v>
      </c>
      <c r="DI137" s="22">
        <f t="shared" si="123"/>
        <v>12.084148263661726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>
        <f>DO137*VLOOKUP('Données projet'!$B$14,Paramètres!$A$1:$I$89,3,0)*VLOOKUP('Données projet'!$B$14,Paramètres!$A$1:$I$89,5,0)</f>
        <v>0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239.26156489359892</v>
      </c>
      <c r="DU137" s="59">
        <f t="shared" si="152"/>
        <v>213.97034450798111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4.5242964524106899</v>
      </c>
      <c r="EB137" s="21">
        <f>EXP(-LN(2)/25)*EB136+(1-EXP(-LN(2)/25))/(LN(2)/25)*Calculateur!DW137*Calculateur!DY137*VLOOKUP('Données projet'!$B$14,Paramètres!$A$1:$I$89,3,0)*0.475*44/12</f>
        <v>18.855414347621835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23.379710800032527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7.3375000000000012</v>
      </c>
      <c r="EJ137" s="12">
        <f>IF('Données projet'!$A$192&gt;35,EJ136+EI137-ER136,IF(A137&lt;'Données projet'!$A$192,$EG$205^A137,IF(A137='Données projet'!$A$192,'Données projet'!$B$192,EJ136+EI137-ER136)))</f>
        <v>306.54500000000002</v>
      </c>
      <c r="EK137" s="17">
        <f>EJ137*VLOOKUP('Données projet'!$B$15,Paramètres!$A$1:$I$89,3,0)*VLOOKUP('Données projet'!$B$15,Paramètres!$A$1:$I$89,5,0)</f>
        <v>306.05452800000006</v>
      </c>
      <c r="EL137" s="13">
        <f t="shared" si="153"/>
        <v>72.444245332786068</v>
      </c>
      <c r="EM137" s="20">
        <f t="shared" si="127"/>
        <v>659.21869688793583</v>
      </c>
      <c r="EN137" s="59">
        <f t="shared" si="128"/>
        <v>952.55203022126921</v>
      </c>
      <c r="EO137" s="59">
        <f ca="1">AVERAGE(OFFSET($EN$3,0,0,'Données projet'!$E$15+1,1))-AVERAGE(OFFSET($H$3,0,0,'Données projet'!$E$15+1,1))</f>
        <v>525.74725170626471</v>
      </c>
      <c r="EP137" s="59">
        <f t="shared" si="154"/>
        <v>259.19103598192197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27.602013692783419</v>
      </c>
      <c r="EW137" s="21">
        <f>EXP(-LN(2)/25)*EW136+(1-EXP(-LN(2)/25))/(LN(2)/25)*Calculateur!ER137*Calculateur!ET137*VLOOKUP('Données projet'!$B$15,Paramètres!$A$1:$I$89,3,0)*0.475*44/12</f>
        <v>22.393004436067667</v>
      </c>
      <c r="EX137" s="21">
        <f>EXP(-LN(2)/2)*EX136+(1-EXP(-LN(2)/2))/(LN(2)/2)*ER137*EU137*VLOOKUP('Données projet'!$B$15,Paramètres!$A$1:$I$89,3,0)*0.475*44/12</f>
        <v>2.3640968431157066</v>
      </c>
      <c r="EY137" s="22">
        <f t="shared" si="129"/>
        <v>52.35911497196679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7.3375000000000012</v>
      </c>
      <c r="N138" s="13">
        <f>IF('Données projet'!$A$36&gt;35,N137+M138-V137,IF(A138&lt;'Données projet'!$A$36,$K$205^A138,IF(A138='Données projet'!$A$36,'Données projet'!$B$36,N137+M138-V137)))</f>
        <v>313.88249999999999</v>
      </c>
      <c r="O138" s="13">
        <f>N138*VLOOKUP('Données projet'!$B$9,Paramètres!$A$1:$I$89,3,0)*VLOOKUP('Données projet'!$B$9,Paramètres!$A$1:$I$89,5,0)</f>
        <v>318.27685500000001</v>
      </c>
      <c r="P138" s="13">
        <f t="shared" si="141"/>
        <v>74.994707244966222</v>
      </c>
      <c r="Q138" s="20">
        <f t="shared" si="108"/>
        <v>684.94797090998281</v>
      </c>
      <c r="R138" s="59">
        <f t="shared" si="109"/>
        <v>978.28130424331607</v>
      </c>
      <c r="S138" s="59">
        <f ca="1">AVERAGE(OFFSET($R$3,0,0,'Données projet'!$E$9+1,1))-AVERAGE(OFFSET($H$3,0,0,'Données projet'!$E$9+1,1))</f>
        <v>533.26035274112917</v>
      </c>
      <c r="T138" s="59">
        <f t="shared" si="142"/>
        <v>262.58149402282521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27.483579337331317</v>
      </c>
      <c r="AA138" s="21">
        <f>EXP(-LN(2)/25)*AA137+(1-EXP(-LN(2)/25))/(LN(2)/25)*Calculateur!V138*Calculateur!X138*VLOOKUP('Données projet'!$B$9,Paramètres!$A$1:$I$89,3,0)*0.475*44/12</f>
        <v>22.120989467044076</v>
      </c>
      <c r="AB138" s="21">
        <f>EXP(-LN(2)/2)*AB137+(1-EXP(-LN(2)/2))/(LN(2)/2)*V138*Y138*VLOOKUP('Données projet'!$B$9,Paramètres!$A$1:$I$89,3,0)*0.475*44/12</f>
        <v>1.6977887358542763</v>
      </c>
      <c r="AC138" s="22">
        <f t="shared" si="111"/>
        <v>51.302357540229664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7.7849999999999966</v>
      </c>
      <c r="AI138" s="13">
        <f>IF('Données projet'!$A$62&gt;35,AI137+AH138-AQ137,IF(A138&lt;'Données projet'!$A$62,$AF$205^A138,IF(A138='Données projet'!$A$62,'Données projet'!$B$62,AI137+AH138-AQ137)))</f>
        <v>412.46000000000026</v>
      </c>
      <c r="AJ138" s="13">
        <f>AI138*VLOOKUP('Données projet'!$B$10,Paramètres!$A$1:$I$89,3,0)*VLOOKUP('Données projet'!$B$10,Paramètres!$A$1:$I$89,5,0)</f>
        <v>373.19380800000022</v>
      </c>
      <c r="AK138" s="13">
        <f t="shared" si="143"/>
        <v>86.320376644349466</v>
      </c>
      <c r="AL138" s="20">
        <f t="shared" si="112"/>
        <v>800.32053825557568</v>
      </c>
      <c r="AM138" s="59">
        <f t="shared" si="113"/>
        <v>1093.6538715889089</v>
      </c>
      <c r="AN138" s="59">
        <f ca="1">AVERAGE(OFFSET($AM$3,0,0,'Données projet'!$E$10+1,1))-AVERAGE(OFFSET($H$3,0,0,'Données projet'!$E$10+1,1))</f>
        <v>482.62991869403385</v>
      </c>
      <c r="AO138" s="59">
        <f t="shared" si="144"/>
        <v>310.43914804089906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34.249200201081315</v>
      </c>
      <c r="AV138" s="21">
        <f>EXP(-LN(2)/25)*AV137+(1-EXP(-LN(2)/25))/(LN(2)/25)*Calculateur!AQ138*Calculateur!AS138*VLOOKUP('Données projet'!$B$10,Paramètres!$A$1:$I$89,3,0)*0.475*44/12</f>
        <v>16.419741658423266</v>
      </c>
      <c r="AW138" s="21">
        <f>EXP(-LN(2)/2)*AW137+(1-EXP(-LN(2)/2))/(LN(2)/2)*AQ138*AT138*VLOOKUP('Données projet'!$B$10,Paramètres!$A$1:$I$89,3,0)*0.475*44/12</f>
        <v>7.5817166559524551E-5</v>
      </c>
      <c r="AX138" s="21">
        <f t="shared" si="114"/>
        <v>50.669017676671146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384.34044781465661</v>
      </c>
      <c r="BJ138" s="59">
        <f t="shared" si="146"/>
        <v>374.99493809709708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19.205447713435866</v>
      </c>
      <c r="BQ138" s="21">
        <f>EXP(-LN(2)/25)*BQ137+(1-EXP(-LN(2)/25))/(LN(2)/25)*Calculateur!BL138*Calculateur!BN138*VLOOKUP('Données projet'!$B$11,Paramètres!$A$1:$I$89,3,0)*0.475*44/12</f>
        <v>12.265075179508829</v>
      </c>
      <c r="BR138" s="21">
        <f>EXP(-LN(2)/2)*BR137+(1-EXP(-LN(2)/2))/(LN(2)/2)*BL138*BO138*VLOOKUP('Données projet'!$B$11,Paramètres!$A$1:$I$89,3,0)*0.475*44/12</f>
        <v>3.6109870157965214E-7</v>
      </c>
      <c r="BS138" s="22">
        <f t="shared" si="117"/>
        <v>31.470523254043396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7.7849999999999966</v>
      </c>
      <c r="BY138" s="12">
        <f>IF('Données projet'!$A$114&gt;35,BY137+BX138-CG137,IF(A138&lt;'Données projet'!$A$114,$BV$205^A138,IF(A138='Données projet'!$A$114,'Données projet'!$B$114,BY137+BX138-CG137)))</f>
        <v>412.46000000000026</v>
      </c>
      <c r="BZ138" s="13">
        <f>BY138*VLOOKUP('Données projet'!$B$12,Paramètres!$A$1:$I$89,3,0)*VLOOKUP('Données projet'!$B$12,Paramètres!$A$1:$I$89,5,0)</f>
        <v>392.49693600000023</v>
      </c>
      <c r="CA138" s="13">
        <f t="shared" si="147"/>
        <v>90.253861820721966</v>
      </c>
      <c r="CB138" s="20">
        <f t="shared" si="118"/>
        <v>840.79097287109118</v>
      </c>
      <c r="CC138" s="59">
        <f t="shared" si="119"/>
        <v>1134.1243062044246</v>
      </c>
      <c r="CD138" s="59">
        <f ca="1">AVERAGE(OFFSET($CC$3,0,0,'Données projet'!$E$12+1,1))-AVERAGE(OFFSET($H$3,0,0,'Données projet'!$E$12+1,1))</f>
        <v>513.14430745499283</v>
      </c>
      <c r="CE138" s="59">
        <f t="shared" si="148"/>
        <v>324.2490378019823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36.02071055630968</v>
      </c>
      <c r="CL138" s="21">
        <f>EXP(-LN(2)/25)*CL137+(1-EXP(-LN(2)/25))/(LN(2)/25)*Calculateur!CG138*Calculateur!CI138*VLOOKUP('Données projet'!$B$12,Paramètres!$A$1:$I$89,3,0)*0.475*44/12</f>
        <v>17.269038640755507</v>
      </c>
      <c r="CM138" s="21">
        <f>EXP(-LN(2)/2)*CM137+(1-EXP(-LN(2)/2))/(LN(2)/2)*CG138*CJ138*VLOOKUP('Données projet'!$B$12,Paramètres!$A$1:$I$89,3,0)*0.475*44/12</f>
        <v>7.9738744140189519E-5</v>
      </c>
      <c r="CN138" s="22">
        <f t="shared" si="120"/>
        <v>53.289828935809332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-1.1368683772161603E-13</v>
      </c>
      <c r="CU138" s="17">
        <f>CT138*VLOOKUP('Données projet'!$B$13,Paramètres!$A$1:$I$89,3,0)*VLOOKUP('Données projet'!$B$13,Paramètres!$A$1:$I$89,5,0)</f>
        <v>-8.8675733422860506E-14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197.51452239559433</v>
      </c>
      <c r="CZ138" s="59">
        <f t="shared" si="150"/>
        <v>196.65166921588821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7.4588685416096219</v>
      </c>
      <c r="DG138" s="21">
        <f>EXP(-LN(2)/25)*DG137+(1-EXP(-LN(2)/25))/(LN(2)/25)*Calculateur!DB138*Calculateur!DD138*VLOOKUP('Données projet'!$B$13,Paramètres!$A$1:$I$89,3,0)*0.475*44/12</f>
        <v>4.3536914146026691</v>
      </c>
      <c r="DH138" s="21">
        <f>EXP(-LN(2)/2)*DH137+(1-EXP(-LN(2)/2))/(LN(2)/2)*DB138*DE138*VLOOKUP('Données projet'!$B$13,Paramètres!$A$1:$I$89,3,0)*0.475*44/12</f>
        <v>4.533930649802057E-9</v>
      </c>
      <c r="DI138" s="22">
        <f t="shared" si="123"/>
        <v>11.812559960746221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>
        <f>DO138*VLOOKUP('Données projet'!$B$14,Paramètres!$A$1:$I$89,3,0)*VLOOKUP('Données projet'!$B$14,Paramètres!$A$1:$I$89,5,0)</f>
        <v>0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239.26156489359892</v>
      </c>
      <c r="DU138" s="59">
        <f t="shared" si="152"/>
        <v>213.97034450798111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4.4355777585272698</v>
      </c>
      <c r="EB138" s="21">
        <f>EXP(-LN(2)/25)*EB137+(1-EXP(-LN(2)/25))/(LN(2)/25)*Calculateur!DW138*Calculateur!DY138*VLOOKUP('Données projet'!$B$14,Paramètres!$A$1:$I$89,3,0)*0.475*44/12</f>
        <v>18.339812050722969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22.775389809250239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7.3375000000000012</v>
      </c>
      <c r="EJ138" s="12">
        <f>IF('Données projet'!$A$192&gt;35,EJ137+EI138-ER137,IF(A138&lt;'Données projet'!$A$192,$EG$205^A138,IF(A138='Données projet'!$A$192,'Données projet'!$B$192,EJ137+EI138-ER137)))</f>
        <v>313.88249999999999</v>
      </c>
      <c r="EK138" s="17">
        <f>EJ138*VLOOKUP('Données projet'!$B$15,Paramètres!$A$1:$I$89,3,0)*VLOOKUP('Données projet'!$B$15,Paramètres!$A$1:$I$89,5,0)</f>
        <v>313.38028800000001</v>
      </c>
      <c r="EL138" s="13">
        <f t="shared" si="153"/>
        <v>73.974322648761543</v>
      </c>
      <c r="EM138" s="20">
        <f t="shared" si="127"/>
        <v>674.642613546593</v>
      </c>
      <c r="EN138" s="59">
        <f t="shared" si="128"/>
        <v>967.97594687992637</v>
      </c>
      <c r="EO138" s="59">
        <f ca="1">AVERAGE(OFFSET($EN$3,0,0,'Données projet'!$E$15+1,1))-AVERAGE(OFFSET($H$3,0,0,'Données projet'!$E$15+1,1))</f>
        <v>525.74725170626471</v>
      </c>
      <c r="EP138" s="59">
        <f t="shared" si="154"/>
        <v>259.19103598192197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27.060755039833914</v>
      </c>
      <c r="EW138" s="21">
        <f>EXP(-LN(2)/25)*EW137+(1-EXP(-LN(2)/25))/(LN(2)/25)*Calculateur!ER138*Calculateur!ET138*VLOOKUP('Données projet'!$B$15,Paramètres!$A$1:$I$89,3,0)*0.475*44/12</f>
        <v>21.780666552166473</v>
      </c>
      <c r="EX138" s="21">
        <f>EXP(-LN(2)/2)*EX137+(1-EXP(-LN(2)/2))/(LN(2)/2)*ER138*EU138*VLOOKUP('Données projet'!$B$15,Paramètres!$A$1:$I$89,3,0)*0.475*44/12</f>
        <v>1.6716689091488257</v>
      </c>
      <c r="EY138" s="22">
        <f t="shared" si="129"/>
        <v>50.513090501149215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7.3375000000000012</v>
      </c>
      <c r="N139" s="13">
        <f>IF('Données projet'!$A$36&gt;35,N138+M139-V138,IF(A139&lt;'Données projet'!$A$36,$K$205^A139,IF(A139='Données projet'!$A$36,'Données projet'!$B$36,N138+M139-V138)))</f>
        <v>321.21999999999997</v>
      </c>
      <c r="O139" s="13">
        <f>N139*VLOOKUP('Données projet'!$B$9,Paramètres!$A$1:$I$89,3,0)*VLOOKUP('Données projet'!$B$9,Paramètres!$A$1:$I$89,5,0)</f>
        <v>325.71707999999995</v>
      </c>
      <c r="P139" s="13">
        <f t="shared" si="141"/>
        <v>76.54167460148193</v>
      </c>
      <c r="Q139" s="20">
        <f t="shared" si="108"/>
        <v>700.60066426424748</v>
      </c>
      <c r="R139" s="59">
        <f t="shared" si="109"/>
        <v>993.93399759758086</v>
      </c>
      <c r="S139" s="59">
        <f ca="1">AVERAGE(OFFSET($R$3,0,0,'Données projet'!$E$9+1,1))-AVERAGE(OFFSET($H$3,0,0,'Données projet'!$E$9+1,1))</f>
        <v>533.26035274112917</v>
      </c>
      <c r="T139" s="59">
        <f t="shared" si="142"/>
        <v>262.58149402282521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26.944643109854404</v>
      </c>
      <c r="AA139" s="21">
        <f>EXP(-LN(2)/25)*AA138+(1-EXP(-LN(2)/25))/(LN(2)/25)*Calculateur!V139*Calculateur!X139*VLOOKUP('Données projet'!$B$9,Paramètres!$A$1:$I$89,3,0)*0.475*44/12</f>
        <v>21.516089846775479</v>
      </c>
      <c r="AB139" s="21">
        <f>EXP(-LN(2)/2)*AB138+(1-EXP(-LN(2)/2))/(LN(2)/2)*V139*Y139*VLOOKUP('Données projet'!$B$9,Paramètres!$A$1:$I$89,3,0)*0.475*44/12</f>
        <v>1.2005179281446949</v>
      </c>
      <c r="AC139" s="22">
        <f t="shared" si="111"/>
        <v>49.661250884774574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7.7849999999999966</v>
      </c>
      <c r="AI139" s="13">
        <f>IF('Données projet'!$A$62&gt;35,AI138+AH139-AQ138,IF(A139&lt;'Données projet'!$A$62,$AF$205^A139,IF(A139='Données projet'!$A$62,'Données projet'!$B$62,AI138+AH139-AQ138)))</f>
        <v>420.24500000000023</v>
      </c>
      <c r="AJ139" s="13">
        <f>AI139*VLOOKUP('Données projet'!$B$10,Paramètres!$A$1:$I$89,3,0)*VLOOKUP('Données projet'!$B$10,Paramètres!$A$1:$I$89,5,0)</f>
        <v>380.23767600000019</v>
      </c>
      <c r="AK139" s="13">
        <f t="shared" si="143"/>
        <v>87.758419405833862</v>
      </c>
      <c r="AL139" s="20">
        <f t="shared" si="112"/>
        <v>815.0931994984943</v>
      </c>
      <c r="AM139" s="59">
        <f t="shared" si="113"/>
        <v>1108.4265328318277</v>
      </c>
      <c r="AN139" s="59">
        <f ca="1">AVERAGE(OFFSET($AM$3,0,0,'Données projet'!$E$10+1,1))-AVERAGE(OFFSET($H$3,0,0,'Données projet'!$E$10+1,1))</f>
        <v>482.62991869403385</v>
      </c>
      <c r="AO139" s="59">
        <f t="shared" si="144"/>
        <v>310.43914804089906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33.57759427508752</v>
      </c>
      <c r="AV139" s="21">
        <f>EXP(-LN(2)/25)*AV138+(1-EXP(-LN(2)/25))/(LN(2)/25)*Calculateur!AQ139*Calculateur!AS139*VLOOKUP('Données projet'!$B$10,Paramètres!$A$1:$I$89,3,0)*0.475*44/12</f>
        <v>15.970742959296997</v>
      </c>
      <c r="AW139" s="21">
        <f>EXP(-LN(2)/2)*AW138+(1-EXP(-LN(2)/2))/(LN(2)/2)*AQ139*AT139*VLOOKUP('Données projet'!$B$10,Paramètres!$A$1:$I$89,3,0)*0.475*44/12</f>
        <v>5.3610832604589755E-5</v>
      </c>
      <c r="AX139" s="21">
        <f t="shared" si="114"/>
        <v>49.548390845217121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384.34044781465661</v>
      </c>
      <c r="BJ139" s="59">
        <f t="shared" si="146"/>
        <v>374.99493809709708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18.828840597941817</v>
      </c>
      <c r="BQ139" s="21">
        <f>EXP(-LN(2)/25)*BQ138+(1-EXP(-LN(2)/25))/(LN(2)/25)*Calculateur!BL139*Calculateur!BN139*VLOOKUP('Données projet'!$B$11,Paramètres!$A$1:$I$89,3,0)*0.475*44/12</f>
        <v>11.929686053732889</v>
      </c>
      <c r="BR139" s="21">
        <f>EXP(-LN(2)/2)*BR138+(1-EXP(-LN(2)/2))/(LN(2)/2)*BL139*BO139*VLOOKUP('Données projet'!$B$11,Paramètres!$A$1:$I$89,3,0)*0.475*44/12</f>
        <v>2.5533534056462951E-7</v>
      </c>
      <c r="BS139" s="22">
        <f t="shared" si="117"/>
        <v>30.758526907010047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7.7849999999999966</v>
      </c>
      <c r="BY139" s="12">
        <f>IF('Données projet'!$A$114&gt;35,BY138+BX139-CG138,IF(A139&lt;'Données projet'!$A$114,$BV$205^A139,IF(A139='Données projet'!$A$114,'Données projet'!$B$114,BY138+BX139-CG138)))</f>
        <v>420.24500000000023</v>
      </c>
      <c r="BZ139" s="13">
        <f>BY139*VLOOKUP('Données projet'!$B$12,Paramètres!$A$1:$I$89,3,0)*VLOOKUP('Données projet'!$B$12,Paramètres!$A$1:$I$89,5,0)</f>
        <v>399.90514200000024</v>
      </c>
      <c r="CA139" s="13">
        <f t="shared" si="147"/>
        <v>91.75743395203979</v>
      </c>
      <c r="CB139" s="20">
        <f t="shared" si="118"/>
        <v>856.31231978313633</v>
      </c>
      <c r="CC139" s="59">
        <f t="shared" si="119"/>
        <v>1149.6456531164697</v>
      </c>
      <c r="CD139" s="59">
        <f ca="1">AVERAGE(OFFSET($CC$3,0,0,'Données projet'!$E$12+1,1))-AVERAGE(OFFSET($H$3,0,0,'Données projet'!$E$12+1,1))</f>
        <v>513.14430745499283</v>
      </c>
      <c r="CE139" s="59">
        <f t="shared" si="148"/>
        <v>324.2490378019823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35.314366392764484</v>
      </c>
      <c r="CL139" s="21">
        <f>EXP(-LN(2)/25)*CL138+(1-EXP(-LN(2)/25))/(LN(2)/25)*Calculateur!CG139*Calculateur!CI139*VLOOKUP('Données projet'!$B$12,Paramètres!$A$1:$I$89,3,0)*0.475*44/12</f>
        <v>16.796815870984776</v>
      </c>
      <c r="CM139" s="21">
        <f>EXP(-LN(2)/2)*CM138+(1-EXP(-LN(2)/2))/(LN(2)/2)*CG139*CJ139*VLOOKUP('Données projet'!$B$12,Paramètres!$A$1:$I$89,3,0)*0.475*44/12</f>
        <v>5.638380670482709E-5</v>
      </c>
      <c r="CN139" s="22">
        <f t="shared" si="120"/>
        <v>52.111238647555965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-1.1368683772161603E-13</v>
      </c>
      <c r="CU139" s="17">
        <f>CT139*VLOOKUP('Données projet'!$B$13,Paramètres!$A$1:$I$89,3,0)*VLOOKUP('Données projet'!$B$13,Paramètres!$A$1:$I$89,5,0)</f>
        <v>-8.8675733422860506E-14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197.51452239559433</v>
      </c>
      <c r="CZ139" s="59">
        <f t="shared" si="150"/>
        <v>196.65166921588821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7.3126046789692456</v>
      </c>
      <c r="DG139" s="21">
        <f>EXP(-LN(2)/25)*DG138+(1-EXP(-LN(2)/25))/(LN(2)/25)*Calculateur!DB139*Calculateur!DD139*VLOOKUP('Données projet'!$B$13,Paramètres!$A$1:$I$89,3,0)*0.475*44/12</f>
        <v>4.2346394939196781</v>
      </c>
      <c r="DH139" s="21">
        <f>EXP(-LN(2)/2)*DH138+(1-EXP(-LN(2)/2))/(LN(2)/2)*DB139*DE139*VLOOKUP('Données projet'!$B$13,Paramètres!$A$1:$I$89,3,0)*0.475*44/12</f>
        <v>3.2059731079045644E-9</v>
      </c>
      <c r="DI139" s="22">
        <f t="shared" si="123"/>
        <v>11.547244176094896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>
        <f>DO139*VLOOKUP('Données projet'!$B$14,Paramètres!$A$1:$I$89,3,0)*VLOOKUP('Données projet'!$B$14,Paramètres!$A$1:$I$89,5,0)</f>
        <v>0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239.26156489359892</v>
      </c>
      <c r="DU139" s="59">
        <f t="shared" si="152"/>
        <v>213.97034450798111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4.3485987841178435</v>
      </c>
      <c r="EB139" s="21">
        <f>EXP(-LN(2)/25)*EB138+(1-EXP(-LN(2)/25))/(LN(2)/25)*Calculateur!DW139*Calculateur!DY139*VLOOKUP('Données projet'!$B$14,Paramètres!$A$1:$I$89,3,0)*0.475*44/12</f>
        <v>17.83830892574715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22.186907709864993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7.3375000000000012</v>
      </c>
      <c r="EJ139" s="12">
        <f>IF('Données projet'!$A$192&gt;35,EJ138+EI139-ER138,IF(A139&lt;'Données projet'!$A$192,$EG$205^A139,IF(A139='Données projet'!$A$192,'Données projet'!$B$192,EJ138+EI139-ER138)))</f>
        <v>321.21999999999997</v>
      </c>
      <c r="EK139" s="17">
        <f>EJ139*VLOOKUP('Données projet'!$B$15,Paramètres!$A$1:$I$89,3,0)*VLOOKUP('Données projet'!$B$15,Paramètres!$A$1:$I$89,5,0)</f>
        <v>320.70604800000001</v>
      </c>
      <c r="EL139" s="13">
        <f t="shared" si="153"/>
        <v>75.500241831087322</v>
      </c>
      <c r="EM139" s="20">
        <f t="shared" si="127"/>
        <v>690.05928812247714</v>
      </c>
      <c r="EN139" s="59">
        <f t="shared" si="128"/>
        <v>983.39262145581051</v>
      </c>
      <c r="EO139" s="59">
        <f ca="1">AVERAGE(OFFSET($EN$3,0,0,'Données projet'!$E$15+1,1))-AVERAGE(OFFSET($H$3,0,0,'Données projet'!$E$15+1,1))</f>
        <v>525.74725170626471</v>
      </c>
      <c r="EP139" s="59">
        <f t="shared" si="154"/>
        <v>259.19103598192197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26.530110138933569</v>
      </c>
      <c r="EW139" s="21">
        <f>EXP(-LN(2)/25)*EW138+(1-EXP(-LN(2)/25))/(LN(2)/25)*Calculateur!ER139*Calculateur!ET139*VLOOKUP('Données projet'!$B$15,Paramètres!$A$1:$I$89,3,0)*0.475*44/12</f>
        <v>21.185073079902008</v>
      </c>
      <c r="EX139" s="21">
        <f>EXP(-LN(2)/2)*EX138+(1-EXP(-LN(2)/2))/(LN(2)/2)*ER139*EU139*VLOOKUP('Données projet'!$B$15,Paramètres!$A$1:$I$89,3,0)*0.475*44/12</f>
        <v>1.1820484215578533</v>
      </c>
      <c r="EY139" s="22">
        <f t="shared" si="129"/>
        <v>48.897231640393429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7.3375000000000012</v>
      </c>
      <c r="N140" s="13">
        <f>IF('Données projet'!$A$36&gt;35,N139+M140-V139,IF(A140&lt;'Données projet'!$A$36,$K$205^A140,IF(A140='Données projet'!$A$36,'Données projet'!$B$36,N139+M140-V139)))</f>
        <v>328.55749999999995</v>
      </c>
      <c r="O140" s="13">
        <f>N140*VLOOKUP('Données projet'!$B$9,Paramètres!$A$1:$I$89,3,0)*VLOOKUP('Données projet'!$B$9,Paramètres!$A$1:$I$89,5,0)</f>
        <v>333.15730499999995</v>
      </c>
      <c r="P140" s="13">
        <f t="shared" si="141"/>
        <v>78.084533845329503</v>
      </c>
      <c r="Q140" s="20">
        <f t="shared" si="108"/>
        <v>716.24620265561543</v>
      </c>
      <c r="R140" s="59">
        <f t="shared" si="109"/>
        <v>1009.5795359889487</v>
      </c>
      <c r="S140" s="59">
        <f ca="1">AVERAGE(OFFSET($R$3,0,0,'Données projet'!$E$9+1,1))-AVERAGE(OFFSET($H$3,0,0,'Données projet'!$E$9+1,1))</f>
        <v>533.26035274112917</v>
      </c>
      <c r="T140" s="59">
        <f t="shared" si="142"/>
        <v>262.58149402282521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26.416275093079673</v>
      </c>
      <c r="AA140" s="21">
        <f>EXP(-LN(2)/25)*AA139+(1-EXP(-LN(2)/25))/(LN(2)/25)*Calculateur!V140*Calculateur!X140*VLOOKUP('Données projet'!$B$9,Paramètres!$A$1:$I$89,3,0)*0.475*44/12</f>
        <v>20.927731238433413</v>
      </c>
      <c r="AB140" s="21">
        <f>EXP(-LN(2)/2)*AB139+(1-EXP(-LN(2)/2))/(LN(2)/2)*V140*Y140*VLOOKUP('Données projet'!$B$9,Paramètres!$A$1:$I$89,3,0)*0.475*44/12</f>
        <v>0.84889436792713824</v>
      </c>
      <c r="AC140" s="22">
        <f t="shared" si="111"/>
        <v>48.192900699440223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>
        <f>VLOOKUP(A140,'Données projet'!$A$61:$I$81,2,0)</f>
        <v>428.03</v>
      </c>
      <c r="AG140" s="12">
        <f>VLOOKUP(A140,'Données projet'!$A$61:$I$81,9,0)</f>
        <v>7.7849999999999966</v>
      </c>
      <c r="AH140" s="12">
        <f t="array" ref="AH140">INDEX(AG:AG,MIN(IF(ISNUMBER(AG140:AG336),ROW(AG140:AG336),"")))</f>
        <v>7.7849999999999966</v>
      </c>
      <c r="AI140" s="13">
        <f>IF('Données projet'!$A$62&gt;35,AI139+AH140-AQ139,IF(A140&lt;'Données projet'!$A$62,$AF$205^A140,IF(A140='Données projet'!$A$62,'Données projet'!$B$62,AI139+AH140-AQ139)))</f>
        <v>428.0300000000002</v>
      </c>
      <c r="AJ140" s="13">
        <f>AI140*VLOOKUP('Données projet'!$B$10,Paramètres!$A$1:$I$89,3,0)*VLOOKUP('Données projet'!$B$10,Paramètres!$A$1:$I$89,5,0)</f>
        <v>387.28154400000017</v>
      </c>
      <c r="AK140" s="13">
        <f t="shared" si="143"/>
        <v>89.193364470196371</v>
      </c>
      <c r="AL140" s="20">
        <f t="shared" si="112"/>
        <v>829.86046558559235</v>
      </c>
      <c r="AM140" s="59">
        <f t="shared" si="113"/>
        <v>1123.1937989189257</v>
      </c>
      <c r="AN140" s="59">
        <f ca="1">AVERAGE(OFFSET($AM$3,0,0,'Données projet'!$E$10+1,1))-AVERAGE(OFFSET($H$3,0,0,'Données projet'!$E$10+1,1))</f>
        <v>482.62991869403385</v>
      </c>
      <c r="AO140" s="59">
        <f t="shared" si="144"/>
        <v>310.43914804089906</v>
      </c>
      <c r="AP140" s="15">
        <f>IF(ISNA(VLOOKUP(A140,'Données projet'!$A$61:$I$81,3,0)),0,VLOOKUP(A140,'Données projet'!$A$61:$I$81,3,0))</f>
        <v>11</v>
      </c>
      <c r="AQ140" s="15">
        <f>IF(ISNA(VLOOKUP(A140,'Données projet'!$A$61:$I$81,4,0)),0,VLOOKUP(A140,'Données projet'!$A$61:$I$81,4,0))</f>
        <v>74.669999999999959</v>
      </c>
      <c r="AR140" s="16">
        <f>IF(ISNA(VLOOKUP(A140,'Données projet'!$A$61:$I$81,5,0)),0%,VLOOKUP(A140,'Données projet'!$A$61:$I$81,5,0)*VLOOKUP('Données projet'!$B$10,Paramètres!$A$1:$I$89,7,0))</f>
        <v>0.215</v>
      </c>
      <c r="AS140" s="16">
        <f>IF(ISNA(VLOOKUP(A140,'Données projet'!$A$61:$I$81,6,0)),0%,VLOOKUP(A140,'Données projet'!$A$61:$I$81,6,0)*VLOOKUP('Données projet'!$B$10,Paramètres!$A$1:$I$89,7,0))</f>
        <v>8.6000000000000007E-2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48.976894131933548</v>
      </c>
      <c r="AV140" s="21">
        <f>EXP(-LN(2)/25)*AV139+(1-EXP(-LN(2)/25))/(LN(2)/25)*Calculateur!AQ140*Calculateur!AS140*VLOOKUP('Données projet'!$B$10,Paramètres!$A$1:$I$89,3,0)*0.475*44/12</f>
        <v>21.931826383274185</v>
      </c>
      <c r="AW140" s="21">
        <f>EXP(-LN(2)/2)*AW139+(1-EXP(-LN(2)/2))/(LN(2)/2)*AQ140*AT140*VLOOKUP('Données projet'!$B$10,Paramètres!$A$1:$I$89,3,0)*0.475*44/12</f>
        <v>3.7908583279762275E-5</v>
      </c>
      <c r="AX140" s="21">
        <f t="shared" si="114"/>
        <v>70.908758423791014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384.34044781465661</v>
      </c>
      <c r="BJ140" s="59">
        <f t="shared" si="146"/>
        <v>374.99493809709708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18.459618518274947</v>
      </c>
      <c r="BQ140" s="21">
        <f>EXP(-LN(2)/25)*BQ139+(1-EXP(-LN(2)/25))/(LN(2)/25)*Calculateur!BL140*Calculateur!BN140*VLOOKUP('Données projet'!$B$11,Paramètres!$A$1:$I$89,3,0)*0.475*44/12</f>
        <v>11.60346816123864</v>
      </c>
      <c r="BR140" s="21">
        <f>EXP(-LN(2)/2)*BR139+(1-EXP(-LN(2)/2))/(LN(2)/2)*BL140*BO140*VLOOKUP('Données projet'!$B$11,Paramètres!$A$1:$I$89,3,0)*0.475*44/12</f>
        <v>1.8054935078982607E-7</v>
      </c>
      <c r="BS140" s="22">
        <f t="shared" si="117"/>
        <v>30.063086860062938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>
        <f>VLOOKUP(A140,'Données projet'!$A$113:$I$133,2,0)</f>
        <v>428.03</v>
      </c>
      <c r="BW140" s="12">
        <f>VLOOKUP(A140,'Données projet'!$A$113:$I$133,9,0)</f>
        <v>7.7849999999999966</v>
      </c>
      <c r="BX140" s="12">
        <f t="array" ref="BX140">INDEX(BW:BW,MIN(IF(ISNUMBER(BW140:BW336),ROW(BW140:BW336),"")))</f>
        <v>7.7849999999999966</v>
      </c>
      <c r="BY140" s="12">
        <f>IF('Données projet'!$A$114&gt;35,BY139+BX140-CG139,IF(A140&lt;'Données projet'!$A$114,$BV$205^A140,IF(A140='Données projet'!$A$114,'Données projet'!$B$114,BY139+BX140-CG139)))</f>
        <v>428.0300000000002</v>
      </c>
      <c r="BZ140" s="13">
        <f>BY140*VLOOKUP('Données projet'!$B$12,Paramètres!$A$1:$I$89,3,0)*VLOOKUP('Données projet'!$B$12,Paramètres!$A$1:$I$89,5,0)</f>
        <v>407.31334800000019</v>
      </c>
      <c r="CA140" s="13">
        <f t="shared" si="147"/>
        <v>93.257767229000507</v>
      </c>
      <c r="CB140" s="20">
        <f t="shared" si="118"/>
        <v>871.82802569050955</v>
      </c>
      <c r="CC140" s="59">
        <f t="shared" si="119"/>
        <v>1165.1613590238428</v>
      </c>
      <c r="CD140" s="59">
        <f ca="1">AVERAGE(OFFSET($CC$3,0,0,'Données projet'!$E$12+1,1))-AVERAGE(OFFSET($H$3,0,0,'Données projet'!$E$12+1,1))</f>
        <v>513.14430745499283</v>
      </c>
      <c r="CE140" s="59">
        <f t="shared" si="148"/>
        <v>324.2490378019823</v>
      </c>
      <c r="CF140" s="15">
        <f>IF(ISNA(VLOOKUP(A140,'Données projet'!$A$113:$I$133,3,0)),0,VLOOKUP(A140,'Données projet'!$A$113:$I$133,3,0))</f>
        <v>11</v>
      </c>
      <c r="CG140" s="15">
        <f>IF(ISNA(VLOOKUP(A140,'Données projet'!$A$113:$I$133,4,0)),0,VLOOKUP(A140,'Données projet'!$A$113:$I$133,4,0))</f>
        <v>74.669999999999959</v>
      </c>
      <c r="CH140" s="16">
        <f>IF(ISNA(VLOOKUP(A140,'Données projet'!$A$113:$I$133,5,0)),0%,VLOOKUP(A140,'Données projet'!$A$113:$I$133,5,0)*VLOOKUP('Données projet'!$B$12,Paramètres!$A$1:$I$89,7,0))</f>
        <v>0.215</v>
      </c>
      <c r="CI140" s="16">
        <f>IF(ISNA(VLOOKUP(A140,'Données projet'!$A$113:$I$133,6,0)),0%,VLOOKUP(A140,'Données projet'!$A$113:$I$133,6,0)*VLOOKUP('Données projet'!$B$12,Paramètres!$A$1:$I$89,7,0))</f>
        <v>8.6000000000000007E-2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51.510181759447377</v>
      </c>
      <c r="CL140" s="21">
        <f>EXP(-LN(2)/25)*CL139+(1-EXP(-LN(2)/25))/(LN(2)/25)*Calculateur!CG140*Calculateur!CI140*VLOOKUP('Données projet'!$B$12,Paramètres!$A$1:$I$89,3,0)*0.475*44/12</f>
        <v>23.066231196202164</v>
      </c>
      <c r="CM140" s="21">
        <f>EXP(-LN(2)/2)*CM139+(1-EXP(-LN(2)/2))/(LN(2)/2)*CG140*CJ140*VLOOKUP('Données projet'!$B$12,Paramètres!$A$1:$I$89,3,0)*0.475*44/12</f>
        <v>3.986937207009476E-5</v>
      </c>
      <c r="CN140" s="22">
        <f t="shared" si="120"/>
        <v>74.576452825021619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-1.1368683772161603E-13</v>
      </c>
      <c r="CU140" s="17">
        <f>CT140*VLOOKUP('Données projet'!$B$13,Paramètres!$A$1:$I$89,3,0)*VLOOKUP('Données projet'!$B$13,Paramètres!$A$1:$I$89,5,0)</f>
        <v>-8.8675733422860506E-14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197.51452239559433</v>
      </c>
      <c r="CZ140" s="59">
        <f t="shared" si="150"/>
        <v>196.65166921588821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7.1692089614630996</v>
      </c>
      <c r="DG140" s="21">
        <f>EXP(-LN(2)/25)*DG139+(1-EXP(-LN(2)/25))/(LN(2)/25)*Calculateur!DB140*Calculateur!DD140*VLOOKUP('Données projet'!$B$13,Paramètres!$A$1:$I$89,3,0)*0.475*44/12</f>
        <v>4.1188430542684316</v>
      </c>
      <c r="DH140" s="21">
        <f>EXP(-LN(2)/2)*DH139+(1-EXP(-LN(2)/2))/(LN(2)/2)*DB140*DE140*VLOOKUP('Données projet'!$B$13,Paramètres!$A$1:$I$89,3,0)*0.475*44/12</f>
        <v>2.2669653249010285E-9</v>
      </c>
      <c r="DI140" s="22">
        <f t="shared" si="123"/>
        <v>11.288052017998496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>
        <f>DO140*VLOOKUP('Données projet'!$B$14,Paramètres!$A$1:$I$89,3,0)*VLOOKUP('Données projet'!$B$14,Paramètres!$A$1:$I$89,5,0)</f>
        <v>0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239.26156489359892</v>
      </c>
      <c r="DU140" s="59">
        <f t="shared" si="152"/>
        <v>213.97034450798111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4.2633254143446502</v>
      </c>
      <c r="EB140" s="21">
        <f>EXP(-LN(2)/25)*EB139+(1-EXP(-LN(2)/25))/(LN(2)/25)*Calculateur!DW140*Calculateur!DY140*VLOOKUP('Données projet'!$B$14,Paramètres!$A$1:$I$89,3,0)*0.475*44/12</f>
        <v>17.350519430096696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21.613844844441346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7.3375000000000012</v>
      </c>
      <c r="EJ140" s="12">
        <f>IF('Données projet'!$A$192&gt;35,EJ139+EI140-ER139,IF(A140&lt;'Données projet'!$A$192,$EG$205^A140,IF(A140='Données projet'!$A$192,'Données projet'!$B$192,EJ139+EI140-ER139)))</f>
        <v>328.55749999999995</v>
      </c>
      <c r="EK140" s="17">
        <f>EJ140*VLOOKUP('Données projet'!$B$15,Paramètres!$A$1:$I$89,3,0)*VLOOKUP('Données projet'!$B$15,Paramètres!$A$1:$I$89,5,0)</f>
        <v>328.03180799999996</v>
      </c>
      <c r="EL140" s="13">
        <f t="shared" si="153"/>
        <v>77.022108796087849</v>
      </c>
      <c r="EM140" s="20">
        <f t="shared" si="127"/>
        <v>705.46890508651961</v>
      </c>
      <c r="EN140" s="59">
        <f t="shared" si="128"/>
        <v>998.80223841985298</v>
      </c>
      <c r="EO140" s="59">
        <f ca="1">AVERAGE(OFFSET($EN$3,0,0,'Données projet'!$E$15+1,1))-AVERAGE(OFFSET($H$3,0,0,'Données projet'!$E$15+1,1))</f>
        <v>525.74725170626471</v>
      </c>
      <c r="EP140" s="59">
        <f t="shared" si="154"/>
        <v>259.19103598192197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26.009870860878451</v>
      </c>
      <c r="EW140" s="21">
        <f>EXP(-LN(2)/25)*EW139+(1-EXP(-LN(2)/25))/(LN(2)/25)*Calculateur!ER140*Calculateur!ET140*VLOOKUP('Données projet'!$B$15,Paramètres!$A$1:$I$89,3,0)*0.475*44/12</f>
        <v>20.605766142457512</v>
      </c>
      <c r="EX140" s="21">
        <f>EXP(-LN(2)/2)*EX139+(1-EXP(-LN(2)/2))/(LN(2)/2)*ER140*EU140*VLOOKUP('Données projet'!$B$15,Paramètres!$A$1:$I$89,3,0)*0.475*44/12</f>
        <v>0.83583445457441286</v>
      </c>
      <c r="EY140" s="22">
        <f t="shared" si="129"/>
        <v>47.451471457910372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7.3375000000000012</v>
      </c>
      <c r="N141" s="13">
        <f>IF('Données projet'!$A$36&gt;35,N140+M141-V140,IF(A141&lt;'Données projet'!$A$36,$K$205^A141,IF(A141='Données projet'!$A$36,'Données projet'!$B$36,N140+M141-V140)))</f>
        <v>335.89499999999992</v>
      </c>
      <c r="O141" s="13">
        <f>N141*VLOOKUP('Données projet'!$B$9,Paramètres!$A$1:$I$89,3,0)*VLOOKUP('Données projet'!$B$9,Paramètres!$A$1:$I$89,5,0)</f>
        <v>340.59752999999995</v>
      </c>
      <c r="P141" s="13">
        <f t="shared" si="141"/>
        <v>79.623387284014498</v>
      </c>
      <c r="Q141" s="20">
        <f t="shared" si="108"/>
        <v>731.88476426965838</v>
      </c>
      <c r="R141" s="59">
        <f t="shared" si="109"/>
        <v>1025.2180976029917</v>
      </c>
      <c r="S141" s="59">
        <f ca="1">AVERAGE(OFFSET($R$3,0,0,'Données projet'!$E$9+1,1))-AVERAGE(OFFSET($H$3,0,0,'Données projet'!$E$9+1,1))</f>
        <v>533.26035274112917</v>
      </c>
      <c r="T141" s="59">
        <f t="shared" si="142"/>
        <v>262.58149402282521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25.898268050841224</v>
      </c>
      <c r="AA141" s="21">
        <f>EXP(-LN(2)/25)*AA140+(1-EXP(-LN(2)/25))/(LN(2)/25)*Calculateur!V141*Calculateur!X141*VLOOKUP('Données projet'!$B$9,Paramètres!$A$1:$I$89,3,0)*0.475*44/12</f>
        <v>20.355461327176897</v>
      </c>
      <c r="AB141" s="21">
        <f>EXP(-LN(2)/2)*AB140+(1-EXP(-LN(2)/2))/(LN(2)/2)*V141*Y141*VLOOKUP('Données projet'!$B$9,Paramètres!$A$1:$I$89,3,0)*0.475*44/12</f>
        <v>0.60025896407234758</v>
      </c>
      <c r="AC141" s="22">
        <f t="shared" si="111"/>
        <v>46.853988342090467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7.5999999999999988</v>
      </c>
      <c r="AI141" s="13">
        <f>IF('Données projet'!$A$62&gt;35,AI140+AH141-AQ140,IF(A141&lt;'Données projet'!$A$62,$AF$205^A141,IF(A141='Données projet'!$A$62,'Données projet'!$B$62,AI140+AH141-AQ140)))</f>
        <v>360.96000000000026</v>
      </c>
      <c r="AJ141" s="13">
        <f>AI141*VLOOKUP('Données projet'!$B$10,Paramètres!$A$1:$I$89,3,0)*VLOOKUP('Données projet'!$B$10,Paramètres!$A$1:$I$89,5,0)</f>
        <v>326.59660800000023</v>
      </c>
      <c r="AK141" s="13">
        <f t="shared" si="143"/>
        <v>76.724272012237279</v>
      </c>
      <c r="AL141" s="20">
        <f t="shared" si="112"/>
        <v>702.45053268798029</v>
      </c>
      <c r="AM141" s="59">
        <f t="shared" si="113"/>
        <v>995.78386602131354</v>
      </c>
      <c r="AN141" s="59">
        <f ca="1">AVERAGE(OFFSET($AM$3,0,0,'Données projet'!$E$10+1,1))-AVERAGE(OFFSET($H$3,0,0,'Données projet'!$E$10+1,1))</f>
        <v>482.62991869403385</v>
      </c>
      <c r="AO141" s="59">
        <f t="shared" si="144"/>
        <v>310.43914804089906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48.016487110962039</v>
      </c>
      <c r="AV141" s="21">
        <f>EXP(-LN(2)/25)*AV140+(1-EXP(-LN(2)/25))/(LN(2)/25)*Calculateur!AQ141*Calculateur!AS141*VLOOKUP('Données projet'!$B$10,Paramètres!$A$1:$I$89,3,0)*0.475*44/12</f>
        <v>21.332099437478927</v>
      </c>
      <c r="AW141" s="21">
        <f>EXP(-LN(2)/2)*AW140+(1-EXP(-LN(2)/2))/(LN(2)/2)*AQ141*AT141*VLOOKUP('Données projet'!$B$10,Paramètres!$A$1:$I$89,3,0)*0.475*44/12</f>
        <v>2.6805416302294878E-5</v>
      </c>
      <c r="AX141" s="21">
        <f t="shared" si="114"/>
        <v>69.34861335385726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384.34044781465661</v>
      </c>
      <c r="BJ141" s="59">
        <f t="shared" si="146"/>
        <v>374.99493809709708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18.097636658387113</v>
      </c>
      <c r="BQ141" s="21">
        <f>EXP(-LN(2)/25)*BQ140+(1-EXP(-LN(2)/25))/(LN(2)/25)*Calculateur!BL141*Calculateur!BN141*VLOOKUP('Données projet'!$B$11,Paramètres!$A$1:$I$89,3,0)*0.475*44/12</f>
        <v>11.286170714169698</v>
      </c>
      <c r="BR141" s="21">
        <f>EXP(-LN(2)/2)*BR140+(1-EXP(-LN(2)/2))/(LN(2)/2)*BL141*BO141*VLOOKUP('Données projet'!$B$11,Paramètres!$A$1:$I$89,3,0)*0.475*44/12</f>
        <v>1.2766767028231475E-7</v>
      </c>
      <c r="BS141" s="22">
        <f t="shared" si="117"/>
        <v>29.383807500224481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7.5999999999999988</v>
      </c>
      <c r="BY141" s="12">
        <f>IF('Données projet'!$A$114&gt;35,BY140+BX141-CG140,IF(A141&lt;'Données projet'!$A$114,$BV$205^A141,IF(A141='Données projet'!$A$114,'Données projet'!$B$114,BY140+BX141-CG140)))</f>
        <v>360.96000000000026</v>
      </c>
      <c r="BZ141" s="13">
        <f>BY141*VLOOKUP('Données projet'!$B$12,Paramètres!$A$1:$I$89,3,0)*VLOOKUP('Données projet'!$B$12,Paramètres!$A$1:$I$89,5,0)</f>
        <v>343.48953600000027</v>
      </c>
      <c r="CA141" s="13">
        <f t="shared" si="147"/>
        <v>80.220477640156716</v>
      </c>
      <c r="CB141" s="20">
        <f t="shared" si="118"/>
        <v>737.96160708994012</v>
      </c>
      <c r="CC141" s="59">
        <f t="shared" si="119"/>
        <v>1031.2949404232734</v>
      </c>
      <c r="CD141" s="59">
        <f ca="1">AVERAGE(OFFSET($CC$3,0,0,'Données projet'!$E$12+1,1))-AVERAGE(OFFSET($H$3,0,0,'Données projet'!$E$12+1,1))</f>
        <v>513.14430745499283</v>
      </c>
      <c r="CE141" s="59">
        <f t="shared" si="148"/>
        <v>324.2490378019823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50.500098513253207</v>
      </c>
      <c r="CL141" s="21">
        <f>EXP(-LN(2)/25)*CL140+(1-EXP(-LN(2)/25))/(LN(2)/25)*Calculateur!CG141*Calculateur!CI141*VLOOKUP('Données projet'!$B$12,Paramètres!$A$1:$I$89,3,0)*0.475*44/12</f>
        <v>22.435483891141637</v>
      </c>
      <c r="CM141" s="21">
        <f>EXP(-LN(2)/2)*CM140+(1-EXP(-LN(2)/2))/(LN(2)/2)*CG141*CJ141*VLOOKUP('Données projet'!$B$12,Paramètres!$A$1:$I$89,3,0)*0.475*44/12</f>
        <v>2.8191903352413545E-5</v>
      </c>
      <c r="CN141" s="22">
        <f t="shared" si="120"/>
        <v>72.93561059629819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-1.1368683772161603E-13</v>
      </c>
      <c r="CU141" s="17">
        <f>CT141*VLOOKUP('Données projet'!$B$13,Paramètres!$A$1:$I$89,3,0)*VLOOKUP('Données projet'!$B$13,Paramètres!$A$1:$I$89,5,0)</f>
        <v>-8.8675733422860506E-14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197.51452239559433</v>
      </c>
      <c r="CZ141" s="59">
        <f t="shared" si="150"/>
        <v>196.65166921588821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7.0286251465144982</v>
      </c>
      <c r="DG141" s="21">
        <f>EXP(-LN(2)/25)*DG140+(1-EXP(-LN(2)/25))/(LN(2)/25)*Calculateur!DB141*Calculateur!DD141*VLOOKUP('Données projet'!$B$13,Paramètres!$A$1:$I$89,3,0)*0.475*44/12</f>
        <v>4.0062130743489188</v>
      </c>
      <c r="DH141" s="21">
        <f>EXP(-LN(2)/2)*DH140+(1-EXP(-LN(2)/2))/(LN(2)/2)*DB141*DE141*VLOOKUP('Données projet'!$B$13,Paramètres!$A$1:$I$89,3,0)*0.475*44/12</f>
        <v>1.6029865539522822E-9</v>
      </c>
      <c r="DI141" s="22">
        <f t="shared" si="123"/>
        <v>11.034838222466403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>
        <f>DO141*VLOOKUP('Données projet'!$B$14,Paramètres!$A$1:$I$89,3,0)*VLOOKUP('Données projet'!$B$14,Paramètres!$A$1:$I$89,5,0)</f>
        <v>0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239.26156489359892</v>
      </c>
      <c r="DU141" s="59">
        <f t="shared" si="152"/>
        <v>213.97034450798111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4.1797242033410891</v>
      </c>
      <c r="EB141" s="21">
        <f>EXP(-LN(2)/25)*EB140+(1-EXP(-LN(2)/25))/(LN(2)/25)*Calculateur!DW141*Calculateur!DY141*VLOOKUP('Données projet'!$B$14,Paramètres!$A$1:$I$89,3,0)*0.475*44/12</f>
        <v>16.876068563856542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21.05579276719763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7.3375000000000012</v>
      </c>
      <c r="EJ141" s="12">
        <f>IF('Données projet'!$A$192&gt;35,EJ140+EI141-ER140,IF(A141&lt;'Données projet'!$A$192,$EG$205^A141,IF(A141='Données projet'!$A$192,'Données projet'!$B$192,EJ140+EI141-ER140)))</f>
        <v>335.89499999999992</v>
      </c>
      <c r="EK141" s="17">
        <f>EJ141*VLOOKUP('Données projet'!$B$15,Paramètres!$A$1:$I$89,3,0)*VLOOKUP('Données projet'!$B$15,Paramètres!$A$1:$I$89,5,0)</f>
        <v>335.35756799999996</v>
      </c>
      <c r="EL141" s="13">
        <f t="shared" si="153"/>
        <v>78.540024459263932</v>
      </c>
      <c r="EM141" s="20">
        <f t="shared" si="127"/>
        <v>720.87164019988461</v>
      </c>
      <c r="EN141" s="59">
        <f t="shared" si="128"/>
        <v>1014.204973533218</v>
      </c>
      <c r="EO141" s="59">
        <f ca="1">AVERAGE(OFFSET($EN$3,0,0,'Données projet'!$E$15+1,1))-AVERAGE(OFFSET($H$3,0,0,'Données projet'!$E$15+1,1))</f>
        <v>525.74725170626471</v>
      </c>
      <c r="EP141" s="59">
        <f t="shared" si="154"/>
        <v>259.19103598192197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25.499833157751365</v>
      </c>
      <c r="EW141" s="21">
        <f>EXP(-LN(2)/25)*EW140+(1-EXP(-LN(2)/25))/(LN(2)/25)*Calculateur!ER141*Calculateur!ET141*VLOOKUP('Données projet'!$B$15,Paramètres!$A$1:$I$89,3,0)*0.475*44/12</f>
        <v>20.042300383681866</v>
      </c>
      <c r="EX141" s="21">
        <f>EXP(-LN(2)/2)*EX140+(1-EXP(-LN(2)/2))/(LN(2)/2)*ER141*EU141*VLOOKUP('Données projet'!$B$15,Paramètres!$A$1:$I$89,3,0)*0.475*44/12</f>
        <v>0.59102421077892664</v>
      </c>
      <c r="EY141" s="22">
        <f t="shared" si="129"/>
        <v>46.133157752212156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7.3375000000000012</v>
      </c>
      <c r="N142" s="13">
        <f>IF('Données projet'!$A$36&gt;35,N141+M142-V141,IF(A142&lt;'Données projet'!$A$36,$K$205^A142,IF(A142='Données projet'!$A$36,'Données projet'!$B$36,N141+M142-V141)))</f>
        <v>343.2324999999999</v>
      </c>
      <c r="O142" s="13">
        <f>N142*VLOOKUP('Données projet'!$B$9,Paramètres!$A$1:$I$89,3,0)*VLOOKUP('Données projet'!$B$9,Paramètres!$A$1:$I$89,5,0)</f>
        <v>348.03775499999989</v>
      </c>
      <c r="P142" s="13">
        <f t="shared" si="141"/>
        <v>81.158332500044466</v>
      </c>
      <c r="Q142" s="20">
        <f t="shared" si="108"/>
        <v>747.51651906257723</v>
      </c>
      <c r="R142" s="59">
        <f t="shared" si="109"/>
        <v>1040.8498523959106</v>
      </c>
      <c r="S142" s="59">
        <f ca="1">AVERAGE(OFFSET($R$3,0,0,'Données projet'!$E$9+1,1))-AVERAGE(OFFSET($H$3,0,0,'Données projet'!$E$9+1,1))</f>
        <v>533.26035274112917</v>
      </c>
      <c r="T142" s="59">
        <f t="shared" si="142"/>
        <v>262.58149402282521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25.390418810747974</v>
      </c>
      <c r="AA142" s="21">
        <f>EXP(-LN(2)/25)*AA141+(1-EXP(-LN(2)/25))/(LN(2)/25)*Calculateur!V142*Calculateur!X142*VLOOKUP('Données projet'!$B$9,Paramètres!$A$1:$I$89,3,0)*0.475*44/12</f>
        <v>19.798840166738056</v>
      </c>
      <c r="AB142" s="21">
        <f>EXP(-LN(2)/2)*AB141+(1-EXP(-LN(2)/2))/(LN(2)/2)*V142*Y142*VLOOKUP('Données projet'!$B$9,Paramètres!$A$1:$I$89,3,0)*0.475*44/12</f>
        <v>0.42444718396356917</v>
      </c>
      <c r="AC142" s="22">
        <f t="shared" si="111"/>
        <v>45.613706161449606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7.5999999999999988</v>
      </c>
      <c r="AI142" s="13">
        <f>IF('Données projet'!$A$62&gt;35,AI141+AH142-AQ141,IF(A142&lt;'Données projet'!$A$62,$AF$205^A142,IF(A142='Données projet'!$A$62,'Données projet'!$B$62,AI141+AH142-AQ141)))</f>
        <v>368.56000000000029</v>
      </c>
      <c r="AJ142" s="13">
        <f>AI142*VLOOKUP('Données projet'!$B$10,Paramètres!$A$1:$I$89,3,0)*VLOOKUP('Données projet'!$B$10,Paramètres!$A$1:$I$89,5,0)</f>
        <v>333.47308800000025</v>
      </c>
      <c r="AK142" s="13">
        <f t="shared" si="143"/>
        <v>78.149927586670955</v>
      </c>
      <c r="AL142" s="20">
        <f t="shared" si="112"/>
        <v>716.91008548011894</v>
      </c>
      <c r="AM142" s="59">
        <f t="shared" si="113"/>
        <v>1010.2434188134523</v>
      </c>
      <c r="AN142" s="59">
        <f ca="1">AVERAGE(OFFSET($AM$3,0,0,'Données projet'!$E$10+1,1))-AVERAGE(OFFSET($H$3,0,0,'Données projet'!$E$10+1,1))</f>
        <v>482.62991869403385</v>
      </c>
      <c r="AO142" s="59">
        <f t="shared" si="144"/>
        <v>310.43914804089906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47.074913085881342</v>
      </c>
      <c r="AV142" s="21">
        <f>EXP(-LN(2)/25)*AV141+(1-EXP(-LN(2)/25))/(LN(2)/25)*Calculateur!AQ142*Calculateur!AS142*VLOOKUP('Données projet'!$B$10,Paramètres!$A$1:$I$89,3,0)*0.475*44/12</f>
        <v>20.74877205655471</v>
      </c>
      <c r="AW142" s="21">
        <f>EXP(-LN(2)/2)*AW141+(1-EXP(-LN(2)/2))/(LN(2)/2)*AQ142*AT142*VLOOKUP('Données projet'!$B$10,Paramètres!$A$1:$I$89,3,0)*0.475*44/12</f>
        <v>1.8954291639881138E-5</v>
      </c>
      <c r="AX142" s="21">
        <f t="shared" si="114"/>
        <v>67.823704096727681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384.34044781465661</v>
      </c>
      <c r="BJ142" s="59">
        <f t="shared" si="146"/>
        <v>374.99493809709708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17.742753041984546</v>
      </c>
      <c r="BQ142" s="21">
        <f>EXP(-LN(2)/25)*BQ141+(1-EXP(-LN(2)/25))/(LN(2)/25)*Calculateur!BL142*Calculateur!BN142*VLOOKUP('Données projet'!$B$11,Paramètres!$A$1:$I$89,3,0)*0.475*44/12</f>
        <v>10.977549782476805</v>
      </c>
      <c r="BR142" s="21">
        <f>EXP(-LN(2)/2)*BR141+(1-EXP(-LN(2)/2))/(LN(2)/2)*BL142*BO142*VLOOKUP('Données projet'!$B$11,Paramètres!$A$1:$I$89,3,0)*0.475*44/12</f>
        <v>9.0274675394913036E-8</v>
      </c>
      <c r="BS142" s="22">
        <f t="shared" si="117"/>
        <v>28.720302914736024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7.5999999999999988</v>
      </c>
      <c r="BY142" s="12">
        <f>IF('Données projet'!$A$114&gt;35,BY141+BX142-CG141,IF(A142&lt;'Données projet'!$A$114,$BV$205^A142,IF(A142='Données projet'!$A$114,'Données projet'!$B$114,BY141+BX142-CG141)))</f>
        <v>368.56000000000029</v>
      </c>
      <c r="BZ142" s="13">
        <f>BY142*VLOOKUP('Données projet'!$B$12,Paramètres!$A$1:$I$89,3,0)*VLOOKUP('Données projet'!$B$12,Paramètres!$A$1:$I$89,5,0)</f>
        <v>350.72169600000024</v>
      </c>
      <c r="CA142" s="13">
        <f t="shared" si="147"/>
        <v>81.711098119594908</v>
      </c>
      <c r="CB142" s="20">
        <f t="shared" si="118"/>
        <v>753.15378309162816</v>
      </c>
      <c r="CC142" s="59">
        <f t="shared" si="119"/>
        <v>1046.4871164249614</v>
      </c>
      <c r="CD142" s="59">
        <f ca="1">AVERAGE(OFFSET($CC$3,0,0,'Données projet'!$E$12+1,1))-AVERAGE(OFFSET($H$3,0,0,'Données projet'!$E$12+1,1))</f>
        <v>513.14430745499283</v>
      </c>
      <c r="CE142" s="59">
        <f t="shared" si="148"/>
        <v>324.2490378019823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49.509822383426958</v>
      </c>
      <c r="CL142" s="21">
        <f>EXP(-LN(2)/25)*CL141+(1-EXP(-LN(2)/25))/(LN(2)/25)*Calculateur!CG142*Calculateur!CI142*VLOOKUP('Données projet'!$B$12,Paramètres!$A$1:$I$89,3,0)*0.475*44/12</f>
        <v>21.821984404307546</v>
      </c>
      <c r="CM142" s="21">
        <f>EXP(-LN(2)/2)*CM141+(1-EXP(-LN(2)/2))/(LN(2)/2)*CG142*CJ142*VLOOKUP('Données projet'!$B$12,Paramètres!$A$1:$I$89,3,0)*0.475*44/12</f>
        <v>1.993468603504738E-5</v>
      </c>
      <c r="CN142" s="22">
        <f t="shared" si="120"/>
        <v>71.331826722420544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-1.1368683772161603E-13</v>
      </c>
      <c r="CU142" s="17">
        <f>CT142*VLOOKUP('Données projet'!$B$13,Paramètres!$A$1:$I$89,3,0)*VLOOKUP('Données projet'!$B$13,Paramètres!$A$1:$I$89,5,0)</f>
        <v>-8.8675733422860506E-14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197.51452239559433</v>
      </c>
      <c r="CZ142" s="59">
        <f t="shared" si="150"/>
        <v>196.65166921588821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6.8907980944293783</v>
      </c>
      <c r="DG142" s="21">
        <f>EXP(-LN(2)/25)*DG141+(1-EXP(-LN(2)/25))/(LN(2)/25)*Calculateur!DB142*Calculateur!DD142*VLOOKUP('Données projet'!$B$13,Paramètres!$A$1:$I$89,3,0)*0.475*44/12</f>
        <v>3.8966629671532584</v>
      </c>
      <c r="DH142" s="21">
        <f>EXP(-LN(2)/2)*DH141+(1-EXP(-LN(2)/2))/(LN(2)/2)*DB142*DE142*VLOOKUP('Données projet'!$B$13,Paramètres!$A$1:$I$89,3,0)*0.475*44/12</f>
        <v>1.1334826624505142E-9</v>
      </c>
      <c r="DI142" s="22">
        <f t="shared" si="123"/>
        <v>10.787461062716119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>
        <f>DO142*VLOOKUP('Données projet'!$B$14,Paramètres!$A$1:$I$89,3,0)*VLOOKUP('Données projet'!$B$14,Paramètres!$A$1:$I$89,5,0)</f>
        <v>0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239.26156489359892</v>
      </c>
      <c r="DU142" s="59">
        <f t="shared" si="152"/>
        <v>213.97034450798111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4.0977623610936043</v>
      </c>
      <c r="EB142" s="21">
        <f>EXP(-LN(2)/25)*EB141+(1-EXP(-LN(2)/25))/(LN(2)/25)*Calculateur!DW142*Calculateur!DY142*VLOOKUP('Données projet'!$B$14,Paramètres!$A$1:$I$89,3,0)*0.475*44/12</f>
        <v>16.414591581504009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20.512353942597613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7.3375000000000012</v>
      </c>
      <c r="EJ142" s="12">
        <f>IF('Données projet'!$A$192&gt;35,EJ141+EI142-ER141,IF(A142&lt;'Données projet'!$A$192,$EG$205^A142,IF(A142='Données projet'!$A$192,'Données projet'!$B$192,EJ141+EI142-ER141)))</f>
        <v>343.2324999999999</v>
      </c>
      <c r="EK142" s="17">
        <f>EJ142*VLOOKUP('Données projet'!$B$15,Paramètres!$A$1:$I$89,3,0)*VLOOKUP('Données projet'!$B$15,Paramètres!$A$1:$I$89,5,0)</f>
        <v>342.6833279999999</v>
      </c>
      <c r="EL142" s="13">
        <f t="shared" si="153"/>
        <v>80.054085075406888</v>
      </c>
      <c r="EM142" s="20">
        <f t="shared" si="127"/>
        <v>736.26766110633343</v>
      </c>
      <c r="EN142" s="59">
        <f t="shared" si="128"/>
        <v>1029.6009944396667</v>
      </c>
      <c r="EO142" s="59">
        <f ca="1">AVERAGE(OFFSET($EN$3,0,0,'Données projet'!$E$15+1,1))-AVERAGE(OFFSET($H$3,0,0,'Données projet'!$E$15+1,1))</f>
        <v>525.74725170626471</v>
      </c>
      <c r="EP142" s="59">
        <f t="shared" si="154"/>
        <v>259.19103598192197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24.99979698289032</v>
      </c>
      <c r="EW142" s="21">
        <f>EXP(-LN(2)/25)*EW141+(1-EXP(-LN(2)/25))/(LN(2)/25)*Calculateur!ER142*Calculateur!ET142*VLOOKUP('Données projet'!$B$15,Paramètres!$A$1:$I$89,3,0)*0.475*44/12</f>
        <v>19.494242625711315</v>
      </c>
      <c r="EX142" s="21">
        <f>EXP(-LN(2)/2)*EX141+(1-EXP(-LN(2)/2))/(LN(2)/2)*ER142*EU142*VLOOKUP('Données projet'!$B$15,Paramètres!$A$1:$I$89,3,0)*0.475*44/12</f>
        <v>0.41791722728720643</v>
      </c>
      <c r="EY142" s="22">
        <f t="shared" si="129"/>
        <v>44.911956835888844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7.3375000000000012</v>
      </c>
      <c r="N143" s="13">
        <f>IF('Données projet'!$A$36&gt;35,N142+M143-V142,IF(A143&lt;'Données projet'!$A$36,$K$205^A143,IF(A143='Données projet'!$A$36,'Données projet'!$B$36,N142+M143-V142)))</f>
        <v>350.56999999999988</v>
      </c>
      <c r="O143" s="13">
        <f>N143*VLOOKUP('Données projet'!$B$9,Paramètres!$A$1:$I$89,3,0)*VLOOKUP('Données projet'!$B$9,Paramètres!$A$1:$I$89,5,0)</f>
        <v>355.47797999999989</v>
      </c>
      <c r="P143" s="13">
        <f t="shared" si="141"/>
        <v>82.689462665419711</v>
      </c>
      <c r="Q143" s="20">
        <f t="shared" si="108"/>
        <v>763.14162930893906</v>
      </c>
      <c r="R143" s="59">
        <f t="shared" si="109"/>
        <v>1056.4749626422724</v>
      </c>
      <c r="S143" s="59">
        <f ca="1">AVERAGE(OFFSET($R$3,0,0,'Données projet'!$E$9+1,1))-AVERAGE(OFFSET($H$3,0,0,'Données projet'!$E$9+1,1))</f>
        <v>533.26035274112917</v>
      </c>
      <c r="T143" s="59">
        <f t="shared" si="142"/>
        <v>262.58149402282521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24.892528184495504</v>
      </c>
      <c r="AA143" s="21">
        <f>EXP(-LN(2)/25)*AA142+(1-EXP(-LN(2)/25))/(LN(2)/25)*Calculateur!V143*Calculateur!X143*VLOOKUP('Données projet'!$B$9,Paramètres!$A$1:$I$89,3,0)*0.475*44/12</f>
        <v>19.257439841202849</v>
      </c>
      <c r="AB143" s="21">
        <f>EXP(-LN(2)/2)*AB142+(1-EXP(-LN(2)/2))/(LN(2)/2)*V143*Y143*VLOOKUP('Données projet'!$B$9,Paramètres!$A$1:$I$89,3,0)*0.475*44/12</f>
        <v>0.30012948203617379</v>
      </c>
      <c r="AC143" s="22">
        <f t="shared" si="111"/>
        <v>44.450097507734533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7.5999999999999988</v>
      </c>
      <c r="AI143" s="13">
        <f>IF('Données projet'!$A$62&gt;35,AI142+AH143-AQ142,IF(A143&lt;'Données projet'!$A$62,$AF$205^A143,IF(A143='Données projet'!$A$62,'Données projet'!$B$62,AI142+AH143-AQ142)))</f>
        <v>376.16000000000031</v>
      </c>
      <c r="AJ143" s="13">
        <f>AI143*VLOOKUP('Données projet'!$B$10,Paramètres!$A$1:$I$89,3,0)*VLOOKUP('Données projet'!$B$10,Paramètres!$A$1:$I$89,5,0)</f>
        <v>340.34956800000026</v>
      </c>
      <c r="AK143" s="13">
        <f t="shared" si="143"/>
        <v>79.572165063820393</v>
      </c>
      <c r="AL143" s="20">
        <f t="shared" si="112"/>
        <v>731.36368508615408</v>
      </c>
      <c r="AM143" s="59">
        <f t="shared" si="113"/>
        <v>1024.6970184194874</v>
      </c>
      <c r="AN143" s="59">
        <f ca="1">AVERAGE(OFFSET($AM$3,0,0,'Données projet'!$E$10+1,1))-AVERAGE(OFFSET($H$3,0,0,'Données projet'!$E$10+1,1))</f>
        <v>482.62991869403385</v>
      </c>
      <c r="AO143" s="59">
        <f t="shared" si="144"/>
        <v>310.43914804089906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46.151802753129033</v>
      </c>
      <c r="AV143" s="21">
        <f>EXP(-LN(2)/25)*AV142+(1-EXP(-LN(2)/25))/(LN(2)/25)*Calculateur!AQ143*Calculateur!AS143*VLOOKUP('Données projet'!$B$10,Paramètres!$A$1:$I$89,3,0)*0.475*44/12</f>
        <v>20.181395793537721</v>
      </c>
      <c r="AW143" s="21">
        <f>EXP(-LN(2)/2)*AW142+(1-EXP(-LN(2)/2))/(LN(2)/2)*AQ143*AT143*VLOOKUP('Données projet'!$B$10,Paramètres!$A$1:$I$89,3,0)*0.475*44/12</f>
        <v>1.3402708151147439E-5</v>
      </c>
      <c r="AX143" s="21">
        <f t="shared" si="114"/>
        <v>66.333211949374899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384.34044781465661</v>
      </c>
      <c r="BJ143" s="59">
        <f t="shared" si="146"/>
        <v>374.99493809709708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17.394828476842001</v>
      </c>
      <c r="BQ143" s="21">
        <f>EXP(-LN(2)/25)*BQ142+(1-EXP(-LN(2)/25))/(LN(2)/25)*Calculateur!BL143*Calculateur!BN143*VLOOKUP('Données projet'!$B$11,Paramètres!$A$1:$I$89,3,0)*0.475*44/12</f>
        <v>10.677368106390723</v>
      </c>
      <c r="BR143" s="21">
        <f>EXP(-LN(2)/2)*BR142+(1-EXP(-LN(2)/2))/(LN(2)/2)*BL143*BO143*VLOOKUP('Données projet'!$B$11,Paramètres!$A$1:$I$89,3,0)*0.475*44/12</f>
        <v>6.3833835141157377E-8</v>
      </c>
      <c r="BS143" s="22">
        <f t="shared" si="117"/>
        <v>28.072196647066558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7.5999999999999988</v>
      </c>
      <c r="BY143" s="12">
        <f>IF('Données projet'!$A$114&gt;35,BY142+BX143-CG142,IF(A143&lt;'Données projet'!$A$114,$BV$205^A143,IF(A143='Données projet'!$A$114,'Données projet'!$B$114,BY142+BX143-CG142)))</f>
        <v>376.16000000000031</v>
      </c>
      <c r="BZ143" s="13">
        <f>BY143*VLOOKUP('Données projet'!$B$12,Paramètres!$A$1:$I$89,3,0)*VLOOKUP('Données projet'!$B$12,Paramètres!$A$1:$I$89,5,0)</f>
        <v>357.95385600000031</v>
      </c>
      <c r="CA143" s="13">
        <f t="shared" si="147"/>
        <v>83.198144744376989</v>
      </c>
      <c r="CB143" s="20">
        <f t="shared" si="118"/>
        <v>768.33973462979031</v>
      </c>
      <c r="CC143" s="59">
        <f t="shared" si="119"/>
        <v>1061.6730679631237</v>
      </c>
      <c r="CD143" s="59">
        <f ca="1">AVERAGE(OFFSET($CC$3,0,0,'Données projet'!$E$12+1,1))-AVERAGE(OFFSET($H$3,0,0,'Données projet'!$E$12+1,1))</f>
        <v>513.14430745499283</v>
      </c>
      <c r="CE143" s="59">
        <f t="shared" si="148"/>
        <v>324.2490378019823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48.538964964497801</v>
      </c>
      <c r="CL143" s="21">
        <f>EXP(-LN(2)/25)*CL142+(1-EXP(-LN(2)/25))/(LN(2)/25)*Calculateur!CG143*Calculateur!CI143*VLOOKUP('Données projet'!$B$12,Paramètres!$A$1:$I$89,3,0)*0.475*44/12</f>
        <v>21.225261093203471</v>
      </c>
      <c r="CM143" s="21">
        <f>EXP(-LN(2)/2)*CM142+(1-EXP(-LN(2)/2))/(LN(2)/2)*CG143*CJ143*VLOOKUP('Données projet'!$B$12,Paramètres!$A$1:$I$89,3,0)*0.475*44/12</f>
        <v>1.4095951676206772E-5</v>
      </c>
      <c r="CN143" s="22">
        <f t="shared" si="120"/>
        <v>69.764240153652949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-1.1368683772161603E-13</v>
      </c>
      <c r="CU143" s="17">
        <f>CT143*VLOOKUP('Données projet'!$B$13,Paramètres!$A$1:$I$89,3,0)*VLOOKUP('Données projet'!$B$13,Paramètres!$A$1:$I$89,5,0)</f>
        <v>-8.8675733422860506E-14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197.51452239559433</v>
      </c>
      <c r="CZ143" s="59">
        <f t="shared" si="150"/>
        <v>196.65166921588821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6.755673746769447</v>
      </c>
      <c r="DG143" s="21">
        <f>EXP(-LN(2)/25)*DG142+(1-EXP(-LN(2)/25))/(LN(2)/25)*Calculateur!DB143*Calculateur!DD143*VLOOKUP('Données projet'!$B$13,Paramètres!$A$1:$I$89,3,0)*0.475*44/12</f>
        <v>3.7901085133998529</v>
      </c>
      <c r="DH143" s="21">
        <f>EXP(-LN(2)/2)*DH142+(1-EXP(-LN(2)/2))/(LN(2)/2)*DB143*DE143*VLOOKUP('Données projet'!$B$13,Paramètres!$A$1:$I$89,3,0)*0.475*44/12</f>
        <v>8.014932769761411E-10</v>
      </c>
      <c r="DI143" s="22">
        <f t="shared" si="123"/>
        <v>10.545782260970794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>
        <f>DO143*VLOOKUP('Données projet'!$B$14,Paramètres!$A$1:$I$89,3,0)*VLOOKUP('Données projet'!$B$14,Paramètres!$A$1:$I$89,5,0)</f>
        <v>0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239.26156489359892</v>
      </c>
      <c r="DU143" s="59">
        <f t="shared" si="152"/>
        <v>213.97034450798111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4.0174077405808051</v>
      </c>
      <c r="EB143" s="21">
        <f>EXP(-LN(2)/25)*EB142+(1-EXP(-LN(2)/25))/(LN(2)/25)*Calculateur!DW143*Calculateur!DY143*VLOOKUP('Données projet'!$B$14,Paramètres!$A$1:$I$89,3,0)*0.475*44/12</f>
        <v>15.965733711501926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19.98314145208273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7.3375000000000012</v>
      </c>
      <c r="EJ143" s="12">
        <f>IF('Données projet'!$A$192&gt;35,EJ142+EI143-ER142,IF(A143&lt;'Données projet'!$A$192,$EG$205^A143,IF(A143='Données projet'!$A$192,'Données projet'!$B$192,EJ142+EI143-ER142)))</f>
        <v>350.56999999999988</v>
      </c>
      <c r="EK143" s="17">
        <f>EJ143*VLOOKUP('Données projet'!$B$15,Paramètres!$A$1:$I$89,3,0)*VLOOKUP('Données projet'!$B$15,Paramètres!$A$1:$I$89,5,0)</f>
        <v>350.00908799999991</v>
      </c>
      <c r="EL143" s="13">
        <f t="shared" si="153"/>
        <v>81.56438254881057</v>
      </c>
      <c r="EM143" s="20">
        <f t="shared" si="127"/>
        <v>751.65712787251152</v>
      </c>
      <c r="EN143" s="59">
        <f t="shared" si="128"/>
        <v>1044.9904612058449</v>
      </c>
      <c r="EO143" s="59">
        <f ca="1">AVERAGE(OFFSET($EN$3,0,0,'Données projet'!$E$15+1,1))-AVERAGE(OFFSET($H$3,0,0,'Données projet'!$E$15+1,1))</f>
        <v>525.74725170626471</v>
      </c>
      <c r="EP143" s="59">
        <f t="shared" si="154"/>
        <v>259.19103598192197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24.50956621242635</v>
      </c>
      <c r="EW143" s="21">
        <f>EXP(-LN(2)/25)*EW142+(1-EXP(-LN(2)/25))/(LN(2)/25)*Calculateur!ER143*Calculateur!ET143*VLOOKUP('Données projet'!$B$15,Paramètres!$A$1:$I$89,3,0)*0.475*44/12</f>
        <v>18.961171535953575</v>
      </c>
      <c r="EX143" s="21">
        <f>EXP(-LN(2)/2)*EX142+(1-EXP(-LN(2)/2))/(LN(2)/2)*ER143*EU143*VLOOKUP('Données projet'!$B$15,Paramètres!$A$1:$I$89,3,0)*0.475*44/12</f>
        <v>0.29551210538946332</v>
      </c>
      <c r="EY143" s="22">
        <f t="shared" si="129"/>
        <v>43.766249853769388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7.3375000000000012</v>
      </c>
      <c r="N144" s="13">
        <f>IF('Données projet'!$A$36&gt;35,N143+M144-V143,IF(A144&lt;'Données projet'!$A$36,$K$205^A144,IF(A144='Données projet'!$A$36,'Données projet'!$B$36,N143+M144-V143)))</f>
        <v>357.90749999999986</v>
      </c>
      <c r="O144" s="13">
        <f>N144*VLOOKUP('Données projet'!$B$9,Paramètres!$A$1:$I$89,3,0)*VLOOKUP('Données projet'!$B$9,Paramètres!$A$1:$I$89,5,0)</f>
        <v>362.91820499999989</v>
      </c>
      <c r="P144" s="13">
        <f t="shared" si="141"/>
        <v>84.216866829050204</v>
      </c>
      <c r="Q144" s="20">
        <f t="shared" si="108"/>
        <v>778.76025010226238</v>
      </c>
      <c r="R144" s="59">
        <f t="shared" si="109"/>
        <v>1072.0935834355957</v>
      </c>
      <c r="S144" s="59">
        <f ca="1">AVERAGE(OFFSET($R$3,0,0,'Données projet'!$E$9+1,1))-AVERAGE(OFFSET($H$3,0,0,'Données projet'!$E$9+1,1))</f>
        <v>533.26035274112917</v>
      </c>
      <c r="T144" s="59">
        <f t="shared" si="142"/>
        <v>262.58149402282521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24.404400889740547</v>
      </c>
      <c r="AA144" s="21">
        <f>EXP(-LN(2)/25)*AA143+(1-EXP(-LN(2)/25))/(LN(2)/25)*Calculateur!V144*Calculateur!X144*VLOOKUP('Données projet'!$B$9,Paramètres!$A$1:$I$89,3,0)*0.475*44/12</f>
        <v>18.73084413604041</v>
      </c>
      <c r="AB144" s="21">
        <f>EXP(-LN(2)/2)*AB143+(1-EXP(-LN(2)/2))/(LN(2)/2)*V144*Y144*VLOOKUP('Données projet'!$B$9,Paramètres!$A$1:$I$89,3,0)*0.475*44/12</f>
        <v>0.21222359198178459</v>
      </c>
      <c r="AC144" s="22">
        <f t="shared" si="111"/>
        <v>43.347468617762743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7.5999999999999988</v>
      </c>
      <c r="AI144" s="13">
        <f>IF('Données projet'!$A$62&gt;35,AI143+AH144-AQ143,IF(A144&lt;'Données projet'!$A$62,$AF$205^A144,IF(A144='Données projet'!$A$62,'Données projet'!$B$62,AI143+AH144-AQ143)))</f>
        <v>383.76000000000033</v>
      </c>
      <c r="AJ144" s="13">
        <f>AI144*VLOOKUP('Données projet'!$B$10,Paramètres!$A$1:$I$89,3,0)*VLOOKUP('Données projet'!$B$10,Paramètres!$A$1:$I$89,5,0)</f>
        <v>347.22604800000028</v>
      </c>
      <c r="AK144" s="13">
        <f t="shared" si="143"/>
        <v>80.991061462049885</v>
      </c>
      <c r="AL144" s="20">
        <f t="shared" si="112"/>
        <v>745.81146564640403</v>
      </c>
      <c r="AM144" s="59">
        <f t="shared" si="113"/>
        <v>1039.1447989797373</v>
      </c>
      <c r="AN144" s="59">
        <f ca="1">AVERAGE(OFFSET($AM$3,0,0,'Données projet'!$E$10+1,1))-AVERAGE(OFFSET($H$3,0,0,'Données projet'!$E$10+1,1))</f>
        <v>482.62991869403385</v>
      </c>
      <c r="AO144" s="59">
        <f t="shared" si="144"/>
        <v>310.43914804089906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45.24679405096029</v>
      </c>
      <c r="AV144" s="21">
        <f>EXP(-LN(2)/25)*AV143+(1-EXP(-LN(2)/25))/(LN(2)/25)*Calculateur!AQ144*Calculateur!AS144*VLOOKUP('Données projet'!$B$10,Paramètres!$A$1:$I$89,3,0)*0.475*44/12</f>
        <v>19.629534464269952</v>
      </c>
      <c r="AW144" s="21">
        <f>EXP(-LN(2)/2)*AW143+(1-EXP(-LN(2)/2))/(LN(2)/2)*AQ144*AT144*VLOOKUP('Données projet'!$B$10,Paramètres!$A$1:$I$89,3,0)*0.475*44/12</f>
        <v>9.4771458199405688E-6</v>
      </c>
      <c r="AX144" s="21">
        <f t="shared" si="114"/>
        <v>64.876337992376065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384.34044781465661</v>
      </c>
      <c r="BJ144" s="59">
        <f t="shared" si="146"/>
        <v>374.99493809709708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17.053726500208871</v>
      </c>
      <c r="BQ144" s="21">
        <f>EXP(-LN(2)/25)*BQ143+(1-EXP(-LN(2)/25))/(LN(2)/25)*Calculateur!BL144*Calculateur!BN144*VLOOKUP('Données projet'!$B$11,Paramètres!$A$1:$I$89,3,0)*0.475*44/12</f>
        <v>10.385394914023085</v>
      </c>
      <c r="BR144" s="21">
        <f>EXP(-LN(2)/2)*BR143+(1-EXP(-LN(2)/2))/(LN(2)/2)*BL144*BO144*VLOOKUP('Données projet'!$B$11,Paramètres!$A$1:$I$89,3,0)*0.475*44/12</f>
        <v>4.5137337697456518E-8</v>
      </c>
      <c r="BS144" s="22">
        <f t="shared" si="117"/>
        <v>27.439121459369293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7.5999999999999988</v>
      </c>
      <c r="BY144" s="12">
        <f>IF('Données projet'!$A$114&gt;35,BY143+BX144-CG143,IF(A144&lt;'Données projet'!$A$114,$BV$205^A144,IF(A144='Données projet'!$A$114,'Données projet'!$B$114,BY143+BX144-CG143)))</f>
        <v>383.76000000000033</v>
      </c>
      <c r="BZ144" s="13">
        <f>BY144*VLOOKUP('Données projet'!$B$12,Paramètres!$A$1:$I$89,3,0)*VLOOKUP('Données projet'!$B$12,Paramètres!$A$1:$I$89,5,0)</f>
        <v>365.18601600000034</v>
      </c>
      <c r="CA144" s="13">
        <f t="shared" si="147"/>
        <v>84.681698042474352</v>
      </c>
      <c r="CB144" s="20">
        <f t="shared" si="118"/>
        <v>783.51960195730999</v>
      </c>
      <c r="CC144" s="59">
        <f t="shared" si="119"/>
        <v>1076.8529352906432</v>
      </c>
      <c r="CD144" s="59">
        <f ca="1">AVERAGE(OFFSET($CC$3,0,0,'Données projet'!$E$12+1,1))-AVERAGE(OFFSET($H$3,0,0,'Données projet'!$E$12+1,1))</f>
        <v>513.14430745499283</v>
      </c>
      <c r="CE144" s="59">
        <f t="shared" si="148"/>
        <v>324.2490378019823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47.587145467389291</v>
      </c>
      <c r="CL144" s="21">
        <f>EXP(-LN(2)/25)*CL143+(1-EXP(-LN(2)/25))/(LN(2)/25)*Calculateur!CG144*Calculateur!CI144*VLOOKUP('Données projet'!$B$12,Paramètres!$A$1:$I$89,3,0)*0.475*44/12</f>
        <v>20.644855212421852</v>
      </c>
      <c r="CM144" s="21">
        <f>EXP(-LN(2)/2)*CM143+(1-EXP(-LN(2)/2))/(LN(2)/2)*CG144*CJ144*VLOOKUP('Données projet'!$B$12,Paramètres!$A$1:$I$89,3,0)*0.475*44/12</f>
        <v>9.9673430175236899E-6</v>
      </c>
      <c r="CN144" s="22">
        <f t="shared" si="120"/>
        <v>68.232010647154155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-1.1368683772161603E-13</v>
      </c>
      <c r="CU144" s="17">
        <f>CT144*VLOOKUP('Données projet'!$B$13,Paramètres!$A$1:$I$89,3,0)*VLOOKUP('Données projet'!$B$13,Paramètres!$A$1:$I$89,5,0)</f>
        <v>-8.8675733422860506E-14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197.51452239559433</v>
      </c>
      <c r="CZ144" s="59">
        <f t="shared" si="150"/>
        <v>196.65166921588821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6.6231991051494123</v>
      </c>
      <c r="DG144" s="21">
        <f>EXP(-LN(2)/25)*DG143+(1-EXP(-LN(2)/25))/(LN(2)/25)*Calculateur!DB144*Calculateur!DD144*VLOOKUP('Données projet'!$B$13,Paramètres!$A$1:$I$89,3,0)*0.475*44/12</f>
        <v>3.6864677967877895</v>
      </c>
      <c r="DH144" s="21">
        <f>EXP(-LN(2)/2)*DH143+(1-EXP(-LN(2)/2))/(LN(2)/2)*DB144*DE144*VLOOKUP('Données projet'!$B$13,Paramètres!$A$1:$I$89,3,0)*0.475*44/12</f>
        <v>5.6674133122525712E-10</v>
      </c>
      <c r="DI144" s="22">
        <f t="shared" si="123"/>
        <v>10.309666902503944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>
        <f>DO144*VLOOKUP('Données projet'!$B$14,Paramètres!$A$1:$I$89,3,0)*VLOOKUP('Données projet'!$B$14,Paramètres!$A$1:$I$89,5,0)</f>
        <v>0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239.26156489359892</v>
      </c>
      <c r="DU144" s="59">
        <f t="shared" si="152"/>
        <v>213.97034450798111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3.9386288251647827</v>
      </c>
      <c r="EB144" s="21">
        <f>EXP(-LN(2)/25)*EB143+(1-EXP(-LN(2)/25))/(LN(2)/25)*Calculateur!DW144*Calculateur!DY144*VLOOKUP('Données projet'!$B$14,Paramètres!$A$1:$I$89,3,0)*0.475*44/12</f>
        <v>15.529149883559461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19.467778708724243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7.3375000000000012</v>
      </c>
      <c r="EJ144" s="12">
        <f>IF('Données projet'!$A$192&gt;35,EJ143+EI144-ER143,IF(A144&lt;'Données projet'!$A$192,$EG$205^A144,IF(A144='Données projet'!$A$192,'Données projet'!$B$192,EJ143+EI144-ER143)))</f>
        <v>357.90749999999986</v>
      </c>
      <c r="EK144" s="17">
        <f>EJ144*VLOOKUP('Données projet'!$B$15,Paramètres!$A$1:$I$89,3,0)*VLOOKUP('Données projet'!$B$15,Paramètres!$A$1:$I$89,5,0)</f>
        <v>357.33484799999985</v>
      </c>
      <c r="EL144" s="13">
        <f t="shared" si="153"/>
        <v>83.07100471677758</v>
      </c>
      <c r="EM144" s="20">
        <f t="shared" si="127"/>
        <v>767.04019348172062</v>
      </c>
      <c r="EN144" s="59">
        <f t="shared" si="128"/>
        <v>1060.373526815054</v>
      </c>
      <c r="EO144" s="59">
        <f ca="1">AVERAGE(OFFSET($EN$3,0,0,'Données projet'!$E$15+1,1))-AVERAGE(OFFSET($H$3,0,0,'Données projet'!$E$15+1,1))</f>
        <v>525.74725170626471</v>
      </c>
      <c r="EP144" s="59">
        <f t="shared" si="154"/>
        <v>259.19103598192197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24.028948568359933</v>
      </c>
      <c r="EW144" s="21">
        <f>EXP(-LN(2)/25)*EW143+(1-EXP(-LN(2)/25))/(LN(2)/25)*Calculateur!ER144*Calculateur!ET144*VLOOKUP('Données projet'!$B$15,Paramètres!$A$1:$I$89,3,0)*0.475*44/12</f>
        <v>18.44267730317825</v>
      </c>
      <c r="EX144" s="21">
        <f>EXP(-LN(2)/2)*EX143+(1-EXP(-LN(2)/2))/(LN(2)/2)*ER144*EU144*VLOOKUP('Données projet'!$B$15,Paramètres!$A$1:$I$89,3,0)*0.475*44/12</f>
        <v>0.20895861364360321</v>
      </c>
      <c r="EY144" s="22">
        <f t="shared" si="129"/>
        <v>42.680584485181782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7.3375000000000012</v>
      </c>
      <c r="N145" s="13">
        <f>IF('Données projet'!$A$36&gt;35,N144+M145-V144,IF(A145&lt;'Données projet'!$A$36,$K$205^A145,IF(A145='Données projet'!$A$36,'Données projet'!$B$36,N144+M145-V144)))</f>
        <v>365.24499999999983</v>
      </c>
      <c r="O145" s="13">
        <f>N145*VLOOKUP('Données projet'!$B$9,Paramètres!$A$1:$I$89,3,0)*VLOOKUP('Données projet'!$B$9,Paramètres!$A$1:$I$89,5,0)</f>
        <v>370.35842999999988</v>
      </c>
      <c r="P145" s="13">
        <f t="shared" si="141"/>
        <v>85.740630179938449</v>
      </c>
      <c r="Q145" s="20">
        <f t="shared" si="108"/>
        <v>794.37252981339236</v>
      </c>
      <c r="R145" s="59">
        <f t="shared" si="109"/>
        <v>1087.7058631467257</v>
      </c>
      <c r="S145" s="59">
        <f ca="1">AVERAGE(OFFSET($R$3,0,0,'Données projet'!$E$9+1,1))-AVERAGE(OFFSET($H$3,0,0,'Données projet'!$E$9+1,1))</f>
        <v>533.26035274112917</v>
      </c>
      <c r="T145" s="59">
        <f t="shared" si="142"/>
        <v>262.58149402282521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23.925845473507486</v>
      </c>
      <c r="AA145" s="21">
        <f>EXP(-LN(2)/25)*AA144+(1-EXP(-LN(2)/25))/(LN(2)/25)*Calculateur!V145*Calculateur!X145*VLOOKUP('Données projet'!$B$9,Paramètres!$A$1:$I$89,3,0)*0.475*44/12</f>
        <v>18.218648218128102</v>
      </c>
      <c r="AB145" s="21">
        <f>EXP(-LN(2)/2)*AB144+(1-EXP(-LN(2)/2))/(LN(2)/2)*V145*Y145*VLOOKUP('Données projet'!$B$9,Paramètres!$A$1:$I$89,3,0)*0.475*44/12</f>
        <v>0.15006474101808689</v>
      </c>
      <c r="AC145" s="22">
        <f t="shared" si="111"/>
        <v>42.294558432653673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7.5999999999999988</v>
      </c>
      <c r="AI145" s="13">
        <f>IF('Données projet'!$A$62&gt;35,AI144+AH145-AQ144,IF(A145&lt;'Données projet'!$A$62,$AF$205^A145,IF(A145='Données projet'!$A$62,'Données projet'!$B$62,AI144+AH145-AQ144)))</f>
        <v>391.36000000000035</v>
      </c>
      <c r="AJ145" s="13">
        <f>AI145*VLOOKUP('Données projet'!$B$10,Paramètres!$A$1:$I$89,3,0)*VLOOKUP('Données projet'!$B$10,Paramètres!$A$1:$I$89,5,0)</f>
        <v>354.10252800000029</v>
      </c>
      <c r="AK145" s="13">
        <f t="shared" si="143"/>
        <v>82.406690574717359</v>
      </c>
      <c r="AL145" s="20">
        <f t="shared" si="112"/>
        <v>760.25355568429995</v>
      </c>
      <c r="AM145" s="59">
        <f t="shared" si="113"/>
        <v>1053.5868890176332</v>
      </c>
      <c r="AN145" s="59">
        <f ca="1">AVERAGE(OFFSET($AM$3,0,0,'Données projet'!$E$10+1,1))-AVERAGE(OFFSET($H$3,0,0,'Données projet'!$E$10+1,1))</f>
        <v>482.62991869403385</v>
      </c>
      <c r="AO145" s="59">
        <f t="shared" si="144"/>
        <v>310.43914804089906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44.359532017440273</v>
      </c>
      <c r="AV145" s="21">
        <f>EXP(-LN(2)/25)*AV144+(1-EXP(-LN(2)/25))/(LN(2)/25)*Calculateur!AQ145*Calculateur!AS145*VLOOKUP('Données projet'!$B$10,Paramètres!$A$1:$I$89,3,0)*0.475*44/12</f>
        <v>19.092763812072135</v>
      </c>
      <c r="AW145" s="21">
        <f>EXP(-LN(2)/2)*AW144+(1-EXP(-LN(2)/2))/(LN(2)/2)*AQ145*AT145*VLOOKUP('Données projet'!$B$10,Paramètres!$A$1:$I$89,3,0)*0.475*44/12</f>
        <v>6.7013540755737194E-6</v>
      </c>
      <c r="AX145" s="21">
        <f t="shared" si="114"/>
        <v>63.452302530866483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384.34044781465661</v>
      </c>
      <c r="BJ145" s="59">
        <f t="shared" si="146"/>
        <v>374.99493809709708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16.719313325285853</v>
      </c>
      <c r="BQ145" s="21">
        <f>EXP(-LN(2)/25)*BQ144+(1-EXP(-LN(2)/25))/(LN(2)/25)*Calculateur!BL145*Calculateur!BN145*VLOOKUP('Données projet'!$B$11,Paramètres!$A$1:$I$89,3,0)*0.475*44/12</f>
        <v>10.10140574395494</v>
      </c>
      <c r="BR145" s="21">
        <f>EXP(-LN(2)/2)*BR144+(1-EXP(-LN(2)/2))/(LN(2)/2)*BL145*BO145*VLOOKUP('Données projet'!$B$11,Paramètres!$A$1:$I$89,3,0)*0.475*44/12</f>
        <v>3.1916917570578688E-8</v>
      </c>
      <c r="BS145" s="22">
        <f t="shared" si="117"/>
        <v>26.820719101157714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7.5999999999999988</v>
      </c>
      <c r="BY145" s="12">
        <f>IF('Données projet'!$A$114&gt;35,BY144+BX145-CG144,IF(A145&lt;'Données projet'!$A$114,$BV$205^A145,IF(A145='Données projet'!$A$114,'Données projet'!$B$114,BY144+BX145-CG144)))</f>
        <v>391.36000000000035</v>
      </c>
      <c r="BZ145" s="13">
        <f>BY145*VLOOKUP('Données projet'!$B$12,Paramètres!$A$1:$I$89,3,0)*VLOOKUP('Données projet'!$B$12,Paramètres!$A$1:$I$89,5,0)</f>
        <v>372.41817600000036</v>
      </c>
      <c r="CA145" s="13">
        <f t="shared" si="147"/>
        <v>86.161835169893209</v>
      </c>
      <c r="CB145" s="20">
        <f t="shared" si="118"/>
        <v>798.69351945423125</v>
      </c>
      <c r="CC145" s="59">
        <f t="shared" si="119"/>
        <v>1092.0268527875646</v>
      </c>
      <c r="CD145" s="59">
        <f ca="1">AVERAGE(OFFSET($CC$3,0,0,'Données projet'!$E$12+1,1))-AVERAGE(OFFSET($H$3,0,0,'Données projet'!$E$12+1,1))</f>
        <v>513.14430745499283</v>
      </c>
      <c r="CE145" s="59">
        <f t="shared" si="148"/>
        <v>324.2490378019823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46.653990570066512</v>
      </c>
      <c r="CL145" s="21">
        <f>EXP(-LN(2)/25)*CL144+(1-EXP(-LN(2)/25))/(LN(2)/25)*Calculateur!CG145*Calculateur!CI145*VLOOKUP('Données projet'!$B$12,Paramètres!$A$1:$I$89,3,0)*0.475*44/12</f>
        <v>20.080320560972424</v>
      </c>
      <c r="CM145" s="21">
        <f>EXP(-LN(2)/2)*CM144+(1-EXP(-LN(2)/2))/(LN(2)/2)*CG145*CJ145*VLOOKUP('Données projet'!$B$12,Paramètres!$A$1:$I$89,3,0)*0.475*44/12</f>
        <v>7.0479758381033862E-6</v>
      </c>
      <c r="CN145" s="22">
        <f t="shared" si="120"/>
        <v>66.734318179014778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-1.1368683772161603E-13</v>
      </c>
      <c r="CU145" s="17">
        <f>CT145*VLOOKUP('Données projet'!$B$13,Paramètres!$A$1:$I$89,3,0)*VLOOKUP('Données projet'!$B$13,Paramètres!$A$1:$I$89,5,0)</f>
        <v>-8.8675733422860506E-14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197.51452239559433</v>
      </c>
      <c r="CZ145" s="59">
        <f t="shared" si="150"/>
        <v>196.65166921588821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6.4933222104499944</v>
      </c>
      <c r="DG145" s="21">
        <f>EXP(-LN(2)/25)*DG144+(1-EXP(-LN(2)/25))/(LN(2)/25)*Calculateur!DB145*Calculateur!DD145*VLOOKUP('Données projet'!$B$13,Paramètres!$A$1:$I$89,3,0)*0.475*44/12</f>
        <v>3.5856611410217116</v>
      </c>
      <c r="DH145" s="21">
        <f>EXP(-LN(2)/2)*DH144+(1-EXP(-LN(2)/2))/(LN(2)/2)*DB145*DE145*VLOOKUP('Données projet'!$B$13,Paramètres!$A$1:$I$89,3,0)*0.475*44/12</f>
        <v>4.0074663848807055E-10</v>
      </c>
      <c r="DI145" s="22">
        <f t="shared" si="123"/>
        <v>10.078983351872452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>
        <f>DO145*VLOOKUP('Données projet'!$B$14,Paramètres!$A$1:$I$89,3,0)*VLOOKUP('Données projet'!$B$14,Paramètres!$A$1:$I$89,5,0)</f>
        <v>0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239.26156489359892</v>
      </c>
      <c r="DU145" s="59">
        <f t="shared" si="152"/>
        <v>213.97034450798111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3.8613947162296749</v>
      </c>
      <c r="EB145" s="21">
        <f>EXP(-LN(2)/25)*EB144+(1-EXP(-LN(2)/25))/(LN(2)/25)*Calculateur!DW145*Calculateur!DY145*VLOOKUP('Données projet'!$B$14,Paramètres!$A$1:$I$89,3,0)*0.475*44/12</f>
        <v>15.104504463351027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18.965899179580703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7.3375000000000012</v>
      </c>
      <c r="EJ145" s="12">
        <f>IF('Données projet'!$A$192&gt;35,EJ144+EI145-ER144,IF(A145&lt;'Données projet'!$A$192,$EG$205^A145,IF(A145='Données projet'!$A$192,'Données projet'!$B$192,EJ144+EI145-ER144)))</f>
        <v>365.24499999999983</v>
      </c>
      <c r="EK145" s="17">
        <f>EJ145*VLOOKUP('Données projet'!$B$15,Paramètres!$A$1:$I$89,3,0)*VLOOKUP('Données projet'!$B$15,Paramètres!$A$1:$I$89,5,0)</f>
        <v>364.66060799999985</v>
      </c>
      <c r="EL145" s="13">
        <f t="shared" si="153"/>
        <v>84.574035609221411</v>
      </c>
      <c r="EM145" s="20">
        <f t="shared" si="127"/>
        <v>782.41700428606043</v>
      </c>
      <c r="EN145" s="59">
        <f t="shared" si="128"/>
        <v>1075.7503376193938</v>
      </c>
      <c r="EO145" s="59">
        <f ca="1">AVERAGE(OFFSET($EN$3,0,0,'Données projet'!$E$15+1,1))-AVERAGE(OFFSET($H$3,0,0,'Données projet'!$E$15+1,1))</f>
        <v>525.74725170626471</v>
      </c>
      <c r="EP145" s="59">
        <f t="shared" si="154"/>
        <v>259.19103598192197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23.557755543145841</v>
      </c>
      <c r="EW145" s="21">
        <f>EXP(-LN(2)/25)*EW144+(1-EXP(-LN(2)/25))/(LN(2)/25)*Calculateur!ER145*Calculateur!ET145*VLOOKUP('Données projet'!$B$15,Paramètres!$A$1:$I$89,3,0)*0.475*44/12</f>
        <v>17.938361322464594</v>
      </c>
      <c r="EX145" s="21">
        <f>EXP(-LN(2)/2)*EX144+(1-EXP(-LN(2)/2))/(LN(2)/2)*ER145*EU145*VLOOKUP('Données projet'!$B$15,Paramètres!$A$1:$I$89,3,0)*0.475*44/12</f>
        <v>0.14775605269473166</v>
      </c>
      <c r="EY145" s="22">
        <f t="shared" si="129"/>
        <v>41.643872918305163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7.3375000000000012</v>
      </c>
      <c r="N146" s="13">
        <f>IF('Données projet'!$A$36&gt;35,N145+M146-V145,IF(A146&lt;'Données projet'!$A$36,$K$205^A146,IF(A146='Données projet'!$A$36,'Données projet'!$B$36,N145+M146-V145)))</f>
        <v>372.58249999999981</v>
      </c>
      <c r="O146" s="13">
        <f>N146*VLOOKUP('Données projet'!$B$9,Paramètres!$A$1:$I$89,3,0)*VLOOKUP('Données projet'!$B$9,Paramètres!$A$1:$I$89,5,0)</f>
        <v>377.79865499999983</v>
      </c>
      <c r="P146" s="13">
        <f t="shared" si="141"/>
        <v>87.260834288615982</v>
      </c>
      <c r="Q146" s="20">
        <f t="shared" si="108"/>
        <v>809.97861051100574</v>
      </c>
      <c r="R146" s="59">
        <f t="shared" si="109"/>
        <v>1103.3119438443391</v>
      </c>
      <c r="S146" s="59">
        <f ca="1">AVERAGE(OFFSET($R$3,0,0,'Données projet'!$E$9+1,1))-AVERAGE(OFFSET($H$3,0,0,'Données projet'!$E$9+1,1))</f>
        <v>533.26035274112917</v>
      </c>
      <c r="T146" s="59">
        <f t="shared" si="142"/>
        <v>262.58149402282521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23.456674237096774</v>
      </c>
      <c r="AA146" s="21">
        <f>EXP(-LN(2)/25)*AA145+(1-EXP(-LN(2)/25))/(LN(2)/25)*Calculateur!V146*Calculateur!X146*VLOOKUP('Données projet'!$B$9,Paramètres!$A$1:$I$89,3,0)*0.475*44/12</f>
        <v>17.720458324526319</v>
      </c>
      <c r="AB146" s="21">
        <f>EXP(-LN(2)/2)*AB145+(1-EXP(-LN(2)/2))/(LN(2)/2)*V146*Y146*VLOOKUP('Données projet'!$B$9,Paramètres!$A$1:$I$89,3,0)*0.475*44/12</f>
        <v>0.10611179599089229</v>
      </c>
      <c r="AC146" s="22">
        <f t="shared" si="111"/>
        <v>41.283244357613988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7.5999999999999988</v>
      </c>
      <c r="AI146" s="13">
        <f>IF('Données projet'!$A$62&gt;35,AI145+AH146-AQ145,IF(A146&lt;'Données projet'!$A$62,$AF$205^A146,IF(A146='Données projet'!$A$62,'Données projet'!$B$62,AI145+AH146-AQ145)))</f>
        <v>398.96000000000038</v>
      </c>
      <c r="AJ146" s="13">
        <f>AI146*VLOOKUP('Données projet'!$B$10,Paramètres!$A$1:$I$89,3,0)*VLOOKUP('Données projet'!$B$10,Paramètres!$A$1:$I$89,5,0)</f>
        <v>360.97900800000036</v>
      </c>
      <c r="AK146" s="13">
        <f t="shared" si="143"/>
        <v>83.819123165176237</v>
      </c>
      <c r="AL146" s="20">
        <f t="shared" si="112"/>
        <v>774.69007844601583</v>
      </c>
      <c r="AM146" s="59">
        <f t="shared" si="113"/>
        <v>1068.0234117793491</v>
      </c>
      <c r="AN146" s="59">
        <f ca="1">AVERAGE(OFFSET($AM$3,0,0,'Données projet'!$E$10+1,1))-AVERAGE(OFFSET($H$3,0,0,'Données projet'!$E$10+1,1))</f>
        <v>482.62991869403385</v>
      </c>
      <c r="AO146" s="59">
        <f t="shared" si="144"/>
        <v>310.43914804089906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43.48966865122118</v>
      </c>
      <c r="AV146" s="21">
        <f>EXP(-LN(2)/25)*AV145+(1-EXP(-LN(2)/25))/(LN(2)/25)*Calculateur!AQ146*Calculateur!AS146*VLOOKUP('Données projet'!$B$10,Paramètres!$A$1:$I$89,3,0)*0.475*44/12</f>
        <v>18.57067118158621</v>
      </c>
      <c r="AW146" s="21">
        <f>EXP(-LN(2)/2)*AW145+(1-EXP(-LN(2)/2))/(LN(2)/2)*AQ146*AT146*VLOOKUP('Données projet'!$B$10,Paramètres!$A$1:$I$89,3,0)*0.475*44/12</f>
        <v>4.7385729099702844E-6</v>
      </c>
      <c r="AX146" s="21">
        <f t="shared" si="114"/>
        <v>62.060344571380298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384.34044781465661</v>
      </c>
      <c r="BJ146" s="59">
        <f t="shared" si="146"/>
        <v>374.99493809709708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16.391457788751179</v>
      </c>
      <c r="BQ146" s="21">
        <f>EXP(-LN(2)/25)*BQ145+(1-EXP(-LN(2)/25))/(LN(2)/25)*Calculateur!BL146*Calculateur!BN146*VLOOKUP('Données projet'!$B$11,Paramètres!$A$1:$I$89,3,0)*0.475*44/12</f>
        <v>9.8251822726766509</v>
      </c>
      <c r="BR146" s="21">
        <f>EXP(-LN(2)/2)*BR145+(1-EXP(-LN(2)/2))/(LN(2)/2)*BL146*BO146*VLOOKUP('Données projet'!$B$11,Paramètres!$A$1:$I$89,3,0)*0.475*44/12</f>
        <v>2.2568668848728259E-8</v>
      </c>
      <c r="BS146" s="22">
        <f t="shared" si="117"/>
        <v>26.216640083996502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7.5999999999999988</v>
      </c>
      <c r="BY146" s="12">
        <f>IF('Données projet'!$A$114&gt;35,BY145+BX146-CG145,IF(A146&lt;'Données projet'!$A$114,$BV$205^A146,IF(A146='Données projet'!$A$114,'Données projet'!$B$114,BY145+BX146-CG145)))</f>
        <v>398.96000000000038</v>
      </c>
      <c r="BZ146" s="13">
        <f>BY146*VLOOKUP('Données projet'!$B$12,Paramètres!$A$1:$I$89,3,0)*VLOOKUP('Données projet'!$B$12,Paramètres!$A$1:$I$89,5,0)</f>
        <v>379.65033600000038</v>
      </c>
      <c r="CA146" s="13">
        <f t="shared" si="147"/>
        <v>87.638630114562758</v>
      </c>
      <c r="CB146" s="20">
        <f t="shared" si="118"/>
        <v>813.86161598286424</v>
      </c>
      <c r="CC146" s="59">
        <f t="shared" si="119"/>
        <v>1107.1949493161976</v>
      </c>
      <c r="CD146" s="59">
        <f ca="1">AVERAGE(OFFSET($CC$3,0,0,'Données projet'!$E$12+1,1))-AVERAGE(OFFSET($H$3,0,0,'Données projet'!$E$12+1,1))</f>
        <v>513.14430745499283</v>
      </c>
      <c r="CE146" s="59">
        <f t="shared" si="148"/>
        <v>324.2490378019823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45.739134271111944</v>
      </c>
      <c r="CL146" s="21">
        <f>EXP(-LN(2)/25)*CL145+(1-EXP(-LN(2)/25))/(LN(2)/25)*Calculateur!CG146*Calculateur!CI146*VLOOKUP('Données projet'!$B$12,Paramètres!$A$1:$I$89,3,0)*0.475*44/12</f>
        <v>19.531223139254468</v>
      </c>
      <c r="CM146" s="21">
        <f>EXP(-LN(2)/2)*CM145+(1-EXP(-LN(2)/2))/(LN(2)/2)*CG146*CJ146*VLOOKUP('Données projet'!$B$12,Paramètres!$A$1:$I$89,3,0)*0.475*44/12</f>
        <v>4.983671508761845E-6</v>
      </c>
      <c r="CN146" s="22">
        <f t="shared" si="120"/>
        <v>65.270362394037917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-1.1368683772161603E-13</v>
      </c>
      <c r="CU146" s="17">
        <f>CT146*VLOOKUP('Données projet'!$B$13,Paramètres!$A$1:$I$89,3,0)*VLOOKUP('Données projet'!$B$13,Paramètres!$A$1:$I$89,5,0)</f>
        <v>-8.8675733422860506E-14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197.51452239559433</v>
      </c>
      <c r="CZ146" s="59">
        <f t="shared" si="150"/>
        <v>196.65166921588821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6.3659921224385476</v>
      </c>
      <c r="DG146" s="21">
        <f>EXP(-LN(2)/25)*DG145+(1-EXP(-LN(2)/25))/(LN(2)/25)*Calculateur!DB146*Calculateur!DD146*VLOOKUP('Données projet'!$B$13,Paramètres!$A$1:$I$89,3,0)*0.475*44/12</f>
        <v>3.4876110485587488</v>
      </c>
      <c r="DH146" s="21">
        <f>EXP(-LN(2)/2)*DH145+(1-EXP(-LN(2)/2))/(LN(2)/2)*DB146*DE146*VLOOKUP('Données projet'!$B$13,Paramètres!$A$1:$I$89,3,0)*0.475*44/12</f>
        <v>2.8337066561262856E-10</v>
      </c>
      <c r="DI146" s="22">
        <f t="shared" si="123"/>
        <v>9.8536031712806675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>
        <f>DO146*VLOOKUP('Données projet'!$B$14,Paramètres!$A$1:$I$89,3,0)*VLOOKUP('Données projet'!$B$14,Paramètres!$A$1:$I$89,5,0)</f>
        <v>0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239.26156489359892</v>
      </c>
      <c r="DU146" s="59">
        <f t="shared" si="152"/>
        <v>213.97034450798111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3.7856751210626296</v>
      </c>
      <c r="EB146" s="21">
        <f>EXP(-LN(2)/25)*EB145+(1-EXP(-LN(2)/25))/(LN(2)/25)*Calculateur!DW146*Calculateur!DY146*VLOOKUP('Données projet'!$B$14,Paramètres!$A$1:$I$89,3,0)*0.475*44/12</f>
        <v>14.691470994489325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18.477146115551953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7.3375000000000012</v>
      </c>
      <c r="EJ146" s="12">
        <f>IF('Données projet'!$A$192&gt;35,EJ145+EI146-ER145,IF(A146&lt;'Données projet'!$A$192,$EG$205^A146,IF(A146='Données projet'!$A$192,'Données projet'!$B$192,EJ145+EI146-ER145)))</f>
        <v>372.58249999999981</v>
      </c>
      <c r="EK146" s="17">
        <f>EJ146*VLOOKUP('Données projet'!$B$15,Paramètres!$A$1:$I$89,3,0)*VLOOKUP('Données projet'!$B$15,Paramètres!$A$1:$I$89,5,0)</f>
        <v>371.98636799999986</v>
      </c>
      <c r="EL146" s="13">
        <f t="shared" si="153"/>
        <v>86.073555686817727</v>
      </c>
      <c r="EM146" s="20">
        <f t="shared" si="127"/>
        <v>797.78770042120721</v>
      </c>
      <c r="EN146" s="59">
        <f t="shared" si="128"/>
        <v>1091.1210337545406</v>
      </c>
      <c r="EO146" s="59">
        <f ca="1">AVERAGE(OFFSET($EN$3,0,0,'Données projet'!$E$15+1,1))-AVERAGE(OFFSET($H$3,0,0,'Données projet'!$E$15+1,1))</f>
        <v>525.74725170626471</v>
      </c>
      <c r="EP146" s="59">
        <f t="shared" si="154"/>
        <v>259.19103598192197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23.095802325756832</v>
      </c>
      <c r="EW146" s="21">
        <f>EXP(-LN(2)/25)*EW145+(1-EXP(-LN(2)/25))/(LN(2)/25)*Calculateur!ER146*Calculateur!ET146*VLOOKUP('Données projet'!$B$15,Paramètres!$A$1:$I$89,3,0)*0.475*44/12</f>
        <v>17.447835888764377</v>
      </c>
      <c r="EX146" s="21">
        <f>EXP(-LN(2)/2)*EX145+(1-EXP(-LN(2)/2))/(LN(2)/2)*ER146*EU146*VLOOKUP('Données projet'!$B$15,Paramètres!$A$1:$I$89,3,0)*0.475*44/12</f>
        <v>0.10447930682180161</v>
      </c>
      <c r="EY146" s="22">
        <f t="shared" si="129"/>
        <v>40.648117521343011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379.92</v>
      </c>
      <c r="L147" s="12">
        <f>VLOOKUP(A147,'Données projet'!$A$35:$I$55,9,0)</f>
        <v>7.3375000000000012</v>
      </c>
      <c r="M147" s="12">
        <f t="array" ref="M147">INDEX(L:L,MIN(IF(ISNUMBER(L147:L343),ROW(L147:L343),"")))</f>
        <v>7.3375000000000012</v>
      </c>
      <c r="N147" s="13">
        <f>IF('Données projet'!$A$36&gt;35,N146+M147-V146,IF(A147&lt;'Données projet'!$A$36,$K$205^A147,IF(A147='Données projet'!$A$36,'Données projet'!$B$36,N146+M147-V146)))</f>
        <v>379.91999999999979</v>
      </c>
      <c r="O147" s="13">
        <f>N147*VLOOKUP('Données projet'!$B$9,Paramètres!$A$1:$I$89,3,0)*VLOOKUP('Données projet'!$B$9,Paramètres!$A$1:$I$89,5,0)</f>
        <v>385.23887999999982</v>
      </c>
      <c r="P147" s="13">
        <f t="shared" si="141"/>
        <v>88.777557329023793</v>
      </c>
      <c r="Q147" s="20">
        <f t="shared" si="108"/>
        <v>825.57862834804939</v>
      </c>
      <c r="R147" s="59">
        <f t="shared" si="109"/>
        <v>1118.9119616813828</v>
      </c>
      <c r="S147" s="59">
        <f ca="1">AVERAGE(OFFSET($R$3,0,0,'Données projet'!$E$9+1,1))-AVERAGE(OFFSET($H$3,0,0,'Données projet'!$E$9+1,1))</f>
        <v>533.26035274112917</v>
      </c>
      <c r="T147" s="59">
        <f t="shared" si="142"/>
        <v>262.58149402282521</v>
      </c>
      <c r="U147" s="15">
        <f>IF(ISNA(VLOOKUP(A147,'Données projet'!$A$35:$I$55,3,0)),0,VLOOKUP(A147,'Données projet'!$A$35:$I$55,3,0))</f>
        <v>10</v>
      </c>
      <c r="V147" s="15">
        <f>IF(ISNA(VLOOKUP(A147,'Données projet'!$A$35:$I$55,4,0)),0,VLOOKUP(A147,'Données projet'!$A$35:$I$55,4,0))</f>
        <v>60.949999999999989</v>
      </c>
      <c r="W147" s="16">
        <f>IF(ISNA(VLOOKUP(A147,'Données projet'!$A$35:$I$55,5,0)),0%,VLOOKUP(A147,'Données projet'!$A$35:$I$55,5,0)*VLOOKUP('Données projet'!$B$9,Paramètres!$A$1:$I$89,7,0))</f>
        <v>0.15049999999999999</v>
      </c>
      <c r="X147" s="16">
        <f>IF(ISNA(VLOOKUP(A147,'Données projet'!$A$35:$I$55,6,0)),0%,VLOOKUP(A147,'Données projet'!$A$35:$I$55,6,0)*VLOOKUP('Données projet'!$B$9,Paramètres!$A$1:$I$89,7,0))</f>
        <v>8.6000000000000007E-2</v>
      </c>
      <c r="Y147" s="16">
        <f>IF(ISNA(VLOOKUP(A147,'Données projet'!$A$35:$I$55,7,0)),0%,VLOOKUP(A147,'Données projet'!$A$35:$I$55,7,0))</f>
        <v>0.1</v>
      </c>
      <c r="Z147" s="21">
        <f>EXP(-LN(2)/35)*Z146+(1-EXP(-LN(2)/35))/(LN(2)/35)*V147*W147*VLOOKUP('Données projet'!$B$9,Paramètres!$A$1:$I$89,3,0)*0.475*44/12</f>
        <v>33.279121647327884</v>
      </c>
      <c r="AA147" s="21">
        <f>EXP(-LN(2)/25)*AA146+(1-EXP(-LN(2)/25))/(LN(2)/25)*Calculateur!V147*Calculateur!X147*VLOOKUP('Données projet'!$B$9,Paramètres!$A$1:$I$89,3,0)*0.475*44/12</f>
        <v>23.088424422837178</v>
      </c>
      <c r="AB147" s="21">
        <f>EXP(-LN(2)/2)*AB146+(1-EXP(-LN(2)/2))/(LN(2)/2)*V147*Y147*VLOOKUP('Données projet'!$B$9,Paramètres!$A$1:$I$89,3,0)*0.475*44/12</f>
        <v>5.9063400666521613</v>
      </c>
      <c r="AC147" s="22">
        <f t="shared" si="111"/>
        <v>62.273886136817225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7.5999999999999988</v>
      </c>
      <c r="AI147" s="13">
        <f>IF('Données projet'!$A$62&gt;35,AI146+AH147-AQ146,IF(A147&lt;'Données projet'!$A$62,$AF$205^A147,IF(A147='Données projet'!$A$62,'Données projet'!$B$62,AI146+AH147-AQ146)))</f>
        <v>406.5600000000004</v>
      </c>
      <c r="AJ147" s="13">
        <f>AI147*VLOOKUP('Données projet'!$B$10,Paramètres!$A$1:$I$89,3,0)*VLOOKUP('Données projet'!$B$10,Paramètres!$A$1:$I$89,5,0)</f>
        <v>367.85548800000038</v>
      </c>
      <c r="AK147" s="13">
        <f t="shared" si="143"/>
        <v>85.228427146498575</v>
      </c>
      <c r="AL147" s="20">
        <f t="shared" si="112"/>
        <v>789.12115221348574</v>
      </c>
      <c r="AM147" s="59">
        <f t="shared" si="113"/>
        <v>1082.4544855468191</v>
      </c>
      <c r="AN147" s="59">
        <f ca="1">AVERAGE(OFFSET($AM$3,0,0,'Données projet'!$E$10+1,1))-AVERAGE(OFFSET($H$3,0,0,'Données projet'!$E$10+1,1))</f>
        <v>482.62991869403385</v>
      </c>
      <c r="AO147" s="59">
        <f t="shared" si="144"/>
        <v>310.43914804089906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42.63686277504938</v>
      </c>
      <c r="AV147" s="21">
        <f>EXP(-LN(2)/25)*AV146+(1-EXP(-LN(2)/25))/(LN(2)/25)*Calculateur!AQ147*Calculateur!AS147*VLOOKUP('Données projet'!$B$10,Paramètres!$A$1:$I$89,3,0)*0.475*44/12</f>
        <v>18.062855201536582</v>
      </c>
      <c r="AW147" s="21">
        <f>EXP(-LN(2)/2)*AW146+(1-EXP(-LN(2)/2))/(LN(2)/2)*AQ147*AT147*VLOOKUP('Données projet'!$B$10,Paramètres!$A$1:$I$89,3,0)*0.475*44/12</f>
        <v>3.3506770377868597E-6</v>
      </c>
      <c r="AX147" s="21">
        <f t="shared" si="114"/>
        <v>60.699721327262999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384.34044781465661</v>
      </c>
      <c r="BJ147" s="59">
        <f t="shared" si="146"/>
        <v>374.99493809709708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16.070031299315819</v>
      </c>
      <c r="BQ147" s="21">
        <f>EXP(-LN(2)/25)*BQ146+(1-EXP(-LN(2)/25))/(LN(2)/25)*Calculateur!BL147*Calculateur!BN147*VLOOKUP('Données projet'!$B$11,Paramètres!$A$1:$I$89,3,0)*0.475*44/12</f>
        <v>9.556512146746428</v>
      </c>
      <c r="BR147" s="21">
        <f>EXP(-LN(2)/2)*BR146+(1-EXP(-LN(2)/2))/(LN(2)/2)*BL147*BO147*VLOOKUP('Données projet'!$B$11,Paramètres!$A$1:$I$89,3,0)*0.475*44/12</f>
        <v>1.5958458785289344E-8</v>
      </c>
      <c r="BS147" s="22">
        <f t="shared" si="117"/>
        <v>25.626543462020706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7.5999999999999988</v>
      </c>
      <c r="BY147" s="12">
        <f>IF('Données projet'!$A$114&gt;35,BY146+BX147-CG146,IF(A147&lt;'Données projet'!$A$114,$BV$205^A147,IF(A147='Données projet'!$A$114,'Données projet'!$B$114,BY146+BX147-CG146)))</f>
        <v>406.5600000000004</v>
      </c>
      <c r="BZ147" s="13">
        <f>BY147*VLOOKUP('Données projet'!$B$12,Paramètres!$A$1:$I$89,3,0)*VLOOKUP('Données projet'!$B$12,Paramètres!$A$1:$I$89,5,0)</f>
        <v>386.8824960000004</v>
      </c>
      <c r="CA147" s="13">
        <f t="shared" si="147"/>
        <v>89.1121538842484</v>
      </c>
      <c r="CB147" s="20">
        <f t="shared" si="118"/>
        <v>829.0240152150667</v>
      </c>
      <c r="CC147" s="59">
        <f t="shared" si="119"/>
        <v>1122.3573485484001</v>
      </c>
      <c r="CD147" s="59">
        <f ca="1">AVERAGE(OFFSET($CC$3,0,0,'Données projet'!$E$12+1,1))-AVERAGE(OFFSET($H$3,0,0,'Données projet'!$E$12+1,1))</f>
        <v>513.14430745499283</v>
      </c>
      <c r="CE147" s="59">
        <f t="shared" si="148"/>
        <v>324.2490378019823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44.842217746172636</v>
      </c>
      <c r="CL147" s="21">
        <f>EXP(-LN(2)/25)*CL146+(1-EXP(-LN(2)/25))/(LN(2)/25)*Calculateur!CG147*Calculateur!CI147*VLOOKUP('Données projet'!$B$12,Paramètres!$A$1:$I$89,3,0)*0.475*44/12</f>
        <v>18.997140815409168</v>
      </c>
      <c r="CM147" s="21">
        <f>EXP(-LN(2)/2)*CM146+(1-EXP(-LN(2)/2))/(LN(2)/2)*CG147*CJ147*VLOOKUP('Données projet'!$B$12,Paramètres!$A$1:$I$89,3,0)*0.475*44/12</f>
        <v>3.5239879190516931E-6</v>
      </c>
      <c r="CN147" s="22">
        <f t="shared" si="120"/>
        <v>63.839362085569725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-1.1368683772161603E-13</v>
      </c>
      <c r="CU147" s="17">
        <f>CT147*VLOOKUP('Données projet'!$B$13,Paramètres!$A$1:$I$89,3,0)*VLOOKUP('Données projet'!$B$13,Paramètres!$A$1:$I$89,5,0)</f>
        <v>-8.8675733422860506E-14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197.51452239559433</v>
      </c>
      <c r="CZ147" s="59">
        <f t="shared" si="150"/>
        <v>196.65166921588821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6.2411588997893208</v>
      </c>
      <c r="DG147" s="21">
        <f>EXP(-LN(2)/25)*DG146+(1-EXP(-LN(2)/25))/(LN(2)/25)*Calculateur!DB147*Calculateur!DD147*VLOOKUP('Données projet'!$B$13,Paramètres!$A$1:$I$89,3,0)*0.475*44/12</f>
        <v>3.3922421410304158</v>
      </c>
      <c r="DH147" s="21">
        <f>EXP(-LN(2)/2)*DH146+(1-EXP(-LN(2)/2))/(LN(2)/2)*DB147*DE147*VLOOKUP('Données projet'!$B$13,Paramètres!$A$1:$I$89,3,0)*0.475*44/12</f>
        <v>2.0037331924403528E-10</v>
      </c>
      <c r="DI147" s="22">
        <f t="shared" si="123"/>
        <v>9.6334010410201092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>
        <f>DO147*VLOOKUP('Données projet'!$B$14,Paramètres!$A$1:$I$89,3,0)*VLOOKUP('Données projet'!$B$14,Paramètres!$A$1:$I$89,5,0)</f>
        <v>0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239.26156489359892</v>
      </c>
      <c r="DU147" s="59">
        <f t="shared" si="152"/>
        <v>213.97034450798111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3.711440340972417</v>
      </c>
      <c r="EB147" s="21">
        <f>EXP(-LN(2)/25)*EB146+(1-EXP(-LN(2)/25))/(LN(2)/25)*Calculateur!DW147*Calculateur!DY147*VLOOKUP('Données projet'!$B$14,Paramètres!$A$1:$I$89,3,0)*0.475*44/12</f>
        <v>14.289731947554133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18.001172288526551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>
        <f>VLOOKUP(A147,'Données projet'!$A$191:$I$211,2,0)</f>
        <v>379.92</v>
      </c>
      <c r="EH147" s="12">
        <f>VLOOKUP(A147,'Données projet'!$A$191:$I$211,9,0)</f>
        <v>7.3375000000000012</v>
      </c>
      <c r="EI147" s="12">
        <f t="array" ref="EI147">INDEX(EH:EH,MIN(IF(ISNUMBER(EH147:EH343),ROW(EH147:EH343),"")))</f>
        <v>7.3375000000000012</v>
      </c>
      <c r="EJ147" s="12">
        <f>IF('Données projet'!$A$192&gt;35,EJ146+EI147-ER146,IF(A147&lt;'Données projet'!$A$192,$EG$205^A147,IF(A147='Données projet'!$A$192,'Données projet'!$B$192,EJ146+EI147-ER146)))</f>
        <v>379.91999999999979</v>
      </c>
      <c r="EK147" s="17">
        <f>EJ147*VLOOKUP('Données projet'!$B$15,Paramètres!$A$1:$I$89,3,0)*VLOOKUP('Données projet'!$B$15,Paramètres!$A$1:$I$89,5,0)</f>
        <v>379.3121279999998</v>
      </c>
      <c r="EL147" s="13">
        <f t="shared" si="153"/>
        <v>87.569642059866069</v>
      </c>
      <c r="EM147" s="20">
        <f t="shared" si="127"/>
        <v>813.15241618759967</v>
      </c>
      <c r="EN147" s="59">
        <f t="shared" si="128"/>
        <v>1106.485749520933</v>
      </c>
      <c r="EO147" s="59">
        <f ca="1">AVERAGE(OFFSET($EN$3,0,0,'Données projet'!$E$15+1,1))-AVERAGE(OFFSET($H$3,0,0,'Données projet'!$E$15+1,1))</f>
        <v>525.74725170626471</v>
      </c>
      <c r="EP147" s="59">
        <f t="shared" si="154"/>
        <v>259.19103598192197</v>
      </c>
      <c r="EQ147" s="15">
        <f>IF(ISNA(VLOOKUP(A147,'Données projet'!$A$191:$I$211,3,0)),0,VLOOKUP(A147,'Données projet'!$A$191:$I$211,3,0))</f>
        <v>10</v>
      </c>
      <c r="ER147" s="15">
        <f>IF(ISNA(VLOOKUP(A147,'Données projet'!$A$191:$I$211,4,0)),0,VLOOKUP(A147,'Données projet'!$A$191:$I$211,4,0))</f>
        <v>60.949999999999989</v>
      </c>
      <c r="ES147" s="16">
        <f>IF(ISNA(VLOOKUP(A147,'Données projet'!$A$191:$I$211,5,0)),0%,VLOOKUP(A147,'Données projet'!$A$191:$I$211,5,0)*VLOOKUP('Données projet'!$B$15,Paramètres!$A$1:$I$89,7,0))</f>
        <v>0.15049999999999999</v>
      </c>
      <c r="ET147" s="16">
        <f>IF(ISNA(VLOOKUP(A147,'Données projet'!$A$191:$I$211,6,0)),0%,VLOOKUP(A147,'Données projet'!$A$191:$I$211,6,0)*VLOOKUP('Données projet'!$B$15,Paramètres!$A$1:$I$89,7,0))</f>
        <v>8.6000000000000007E-2</v>
      </c>
      <c r="EU147" s="16">
        <f>IF(ISNA(VLOOKUP(A147,'Données projet'!$A$191:$I$211,7,0)),0%,VLOOKUP(A147,'Données projet'!$A$191:$I$211,7,0))</f>
        <v>0.1</v>
      </c>
      <c r="EV147" s="21">
        <f>EXP(-LN(2)/35)*EV146+(1-EXP(-LN(2)/35))/(LN(2)/35)*ER147*ES147*VLOOKUP('Données projet'!$B$15,Paramètres!$A$1:$I$89,3,0)*0.475*44/12</f>
        <v>32.767135160445925</v>
      </c>
      <c r="EW147" s="21">
        <f>EXP(-LN(2)/25)*EW146+(1-EXP(-LN(2)/25))/(LN(2)/25)*Calculateur!ER147*Calculateur!ET147*VLOOKUP('Données projet'!$B$15,Paramètres!$A$1:$I$89,3,0)*0.475*44/12</f>
        <v>22.73321789325507</v>
      </c>
      <c r="EX147" s="21">
        <f>EXP(-LN(2)/2)*EX146+(1-EXP(-LN(2)/2))/(LN(2)/2)*ER147*EU147*VLOOKUP('Données projet'!$B$15,Paramètres!$A$1:$I$89,3,0)*0.475*44/12</f>
        <v>5.8154732963959743</v>
      </c>
      <c r="EY147" s="22">
        <f t="shared" si="129"/>
        <v>61.315826350096962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7.5191666666666634</v>
      </c>
      <c r="N148" s="13">
        <f>IF('Données projet'!$A$36&gt;35,N147+M148-V147,IF(A148&lt;'Données projet'!$A$36,$K$205^A148,IF(A148='Données projet'!$A$36,'Données projet'!$B$36,N147+M148-V147)))</f>
        <v>326.48916666666645</v>
      </c>
      <c r="O148" s="13">
        <f>N148*VLOOKUP('Données projet'!$B$9,Paramètres!$A$1:$I$89,3,0)*VLOOKUP('Données projet'!$B$9,Paramètres!$A$1:$I$89,5,0)</f>
        <v>331.06001499999979</v>
      </c>
      <c r="P148" s="13">
        <f t="shared" si="141"/>
        <v>77.650034289681813</v>
      </c>
      <c r="Q148" s="20">
        <f t="shared" si="108"/>
        <v>711.83666917952871</v>
      </c>
      <c r="R148" s="59">
        <f t="shared" si="109"/>
        <v>1005.1700025128621</v>
      </c>
      <c r="S148" s="59">
        <f ca="1">AVERAGE(OFFSET($R$3,0,0,'Données projet'!$E$9+1,1))-AVERAGE(OFFSET($H$3,0,0,'Données projet'!$E$9+1,1))</f>
        <v>533.26035274112917</v>
      </c>
      <c r="T148" s="59">
        <f t="shared" si="142"/>
        <v>262.58149402282521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32.626538370083701</v>
      </c>
      <c r="AA148" s="21">
        <f>EXP(-LN(2)/25)*AA147+(1-EXP(-LN(2)/25))/(LN(2)/25)*Calculateur!V148*Calculateur!X148*VLOOKUP('Données projet'!$B$9,Paramètres!$A$1:$I$89,3,0)*0.475*44/12</f>
        <v>22.457070242827225</v>
      </c>
      <c r="AB148" s="21">
        <f>EXP(-LN(2)/2)*AB147+(1-EXP(-LN(2)/2))/(LN(2)/2)*V148*Y148*VLOOKUP('Données projet'!$B$9,Paramètres!$A$1:$I$89,3,0)*0.475*44/12</f>
        <v>4.1764131131235489</v>
      </c>
      <c r="AC148" s="22">
        <f t="shared" si="111"/>
        <v>59.260021726034473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7.5999999999999988</v>
      </c>
      <c r="AI148" s="13">
        <f>IF('Données projet'!$A$62&gt;35,AI147+AH148-AQ147,IF(A148&lt;'Données projet'!$A$62,$AF$205^A148,IF(A148='Données projet'!$A$62,'Données projet'!$B$62,AI147+AH148-AQ147)))</f>
        <v>414.16000000000042</v>
      </c>
      <c r="AJ148" s="13">
        <f>AI148*VLOOKUP('Données projet'!$B$10,Paramètres!$A$1:$I$89,3,0)*VLOOKUP('Données projet'!$B$10,Paramètres!$A$1:$I$89,5,0)</f>
        <v>374.73196800000034</v>
      </c>
      <c r="AK148" s="13">
        <f t="shared" si="143"/>
        <v>86.634667747380036</v>
      </c>
      <c r="AL148" s="20">
        <f t="shared" si="112"/>
        <v>803.54689059335408</v>
      </c>
      <c r="AM148" s="59">
        <f t="shared" si="113"/>
        <v>1096.8802239266874</v>
      </c>
      <c r="AN148" s="59">
        <f ca="1">AVERAGE(OFFSET($AM$3,0,0,'Données projet'!$E$10+1,1))-AVERAGE(OFFSET($H$3,0,0,'Données projet'!$E$10+1,1))</f>
        <v>482.62991869403385</v>
      </c>
      <c r="AO148" s="59">
        <f t="shared" si="144"/>
        <v>310.43914804089906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41.800779901949085</v>
      </c>
      <c r="AV148" s="21">
        <f>EXP(-LN(2)/25)*AV147+(1-EXP(-LN(2)/25))/(LN(2)/25)*Calculateur!AQ148*Calculateur!AS148*VLOOKUP('Données projet'!$B$10,Paramètres!$A$1:$I$89,3,0)*0.475*44/12</f>
        <v>17.568925476166292</v>
      </c>
      <c r="AW148" s="21">
        <f>EXP(-LN(2)/2)*AW147+(1-EXP(-LN(2)/2))/(LN(2)/2)*AQ148*AT148*VLOOKUP('Données projet'!$B$10,Paramètres!$A$1:$I$89,3,0)*0.475*44/12</f>
        <v>2.3692864549851422E-6</v>
      </c>
      <c r="AX148" s="21">
        <f t="shared" si="114"/>
        <v>59.369707747401833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384.34044781465661</v>
      </c>
      <c r="BJ148" s="59">
        <f t="shared" si="146"/>
        <v>374.99493809709708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15.754907787287486</v>
      </c>
      <c r="BQ148" s="21">
        <f>EXP(-LN(2)/25)*BQ147+(1-EXP(-LN(2)/25))/(LN(2)/25)*Calculateur!BL148*Calculateur!BN148*VLOOKUP('Données projet'!$B$11,Paramètres!$A$1:$I$89,3,0)*0.475*44/12</f>
        <v>9.2951888195385148</v>
      </c>
      <c r="BR148" s="21">
        <f>EXP(-LN(2)/2)*BR147+(1-EXP(-LN(2)/2))/(LN(2)/2)*BL148*BO148*VLOOKUP('Données projet'!$B$11,Paramètres!$A$1:$I$89,3,0)*0.475*44/12</f>
        <v>1.128433442436413E-8</v>
      </c>
      <c r="BS148" s="22">
        <f t="shared" si="117"/>
        <v>25.050096618110338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7.5999999999999988</v>
      </c>
      <c r="BY148" s="12">
        <f>IF('Données projet'!$A$114&gt;35,BY147+BX148-CG147,IF(A148&lt;'Données projet'!$A$114,$BV$205^A148,IF(A148='Données projet'!$A$114,'Données projet'!$B$114,BY147+BX148-CG147)))</f>
        <v>414.16000000000042</v>
      </c>
      <c r="BZ148" s="13">
        <f>BY148*VLOOKUP('Données projet'!$B$12,Paramètres!$A$1:$I$89,3,0)*VLOOKUP('Données projet'!$B$12,Paramètres!$A$1:$I$89,5,0)</f>
        <v>394.11465600000042</v>
      </c>
      <c r="CA148" s="13">
        <f t="shared" si="147"/>
        <v>90.582474680015679</v>
      </c>
      <c r="CB148" s="20">
        <f t="shared" si="118"/>
        <v>844.18083593436143</v>
      </c>
      <c r="CC148" s="59">
        <f t="shared" si="119"/>
        <v>1137.5141692676948</v>
      </c>
      <c r="CD148" s="59">
        <f ca="1">AVERAGE(OFFSET($CC$3,0,0,'Données projet'!$E$12+1,1))-AVERAGE(OFFSET($H$3,0,0,'Données projet'!$E$12+1,1))</f>
        <v>513.14430745499283</v>
      </c>
      <c r="CE148" s="59">
        <f t="shared" si="148"/>
        <v>324.2490378019823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43.962889207222325</v>
      </c>
      <c r="CL148" s="21">
        <f>EXP(-LN(2)/25)*CL147+(1-EXP(-LN(2)/25))/(LN(2)/25)*Calculateur!CG148*Calculateur!CI148*VLOOKUP('Données projet'!$B$12,Paramètres!$A$1:$I$89,3,0)*0.475*44/12</f>
        <v>18.477663000795587</v>
      </c>
      <c r="CM148" s="21">
        <f>EXP(-LN(2)/2)*CM147+(1-EXP(-LN(2)/2))/(LN(2)/2)*CG148*CJ148*VLOOKUP('Données projet'!$B$12,Paramètres!$A$1:$I$89,3,0)*0.475*44/12</f>
        <v>2.4918357543809225E-6</v>
      </c>
      <c r="CN148" s="22">
        <f t="shared" si="120"/>
        <v>62.440554699853664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-1.1368683772161603E-13</v>
      </c>
      <c r="CU148" s="17">
        <f>CT148*VLOOKUP('Données projet'!$B$13,Paramètres!$A$1:$I$89,3,0)*VLOOKUP('Données projet'!$B$13,Paramètres!$A$1:$I$89,5,0)</f>
        <v>-8.8675733422860506E-14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197.51452239559433</v>
      </c>
      <c r="CZ148" s="59">
        <f t="shared" si="150"/>
        <v>196.65166921588821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6.1187735804954979</v>
      </c>
      <c r="DG148" s="21">
        <f>EXP(-LN(2)/25)*DG147+(1-EXP(-LN(2)/25))/(LN(2)/25)*Calculateur!DB148*Calculateur!DD148*VLOOKUP('Données projet'!$B$13,Paramètres!$A$1:$I$89,3,0)*0.475*44/12</f>
        <v>3.299481101293678</v>
      </c>
      <c r="DH148" s="21">
        <f>EXP(-LN(2)/2)*DH147+(1-EXP(-LN(2)/2))/(LN(2)/2)*DB148*DE148*VLOOKUP('Données projet'!$B$13,Paramètres!$A$1:$I$89,3,0)*0.475*44/12</f>
        <v>1.4168533280631428E-10</v>
      </c>
      <c r="DI148" s="22">
        <f t="shared" si="123"/>
        <v>9.4182546819308612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>
        <f>DO148*VLOOKUP('Données projet'!$B$14,Paramètres!$A$1:$I$89,3,0)*VLOOKUP('Données projet'!$B$14,Paramètres!$A$1:$I$89,5,0)</f>
        <v>0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239.26156489359892</v>
      </c>
      <c r="DU148" s="59">
        <f t="shared" si="152"/>
        <v>213.97034450798111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3.6386612596410286</v>
      </c>
      <c r="EB148" s="21">
        <f>EXP(-LN(2)/25)*EB147+(1-EXP(-LN(2)/25))/(LN(2)/25)*Calculateur!DW148*Calculateur!DY148*VLOOKUP('Données projet'!$B$14,Paramètres!$A$1:$I$89,3,0)*0.475*44/12</f>
        <v>13.898978475983922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17.53763973562495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7.5191666666666634</v>
      </c>
      <c r="EJ148" s="12">
        <f>IF('Données projet'!$A$192&gt;35,EJ147+EI148-ER147,IF(A148&lt;'Données projet'!$A$192,$EG$205^A148,IF(A148='Données projet'!$A$192,'Données projet'!$B$192,EJ147+EI148-ER147)))</f>
        <v>326.48916666666645</v>
      </c>
      <c r="EK148" s="17">
        <f>EJ148*VLOOKUP('Données projet'!$B$15,Paramètres!$A$1:$I$89,3,0)*VLOOKUP('Données projet'!$B$15,Paramètres!$A$1:$I$89,5,0)</f>
        <v>325.96678399999979</v>
      </c>
      <c r="EL148" s="13">
        <f t="shared" si="153"/>
        <v>76.593521079687577</v>
      </c>
      <c r="EM148" s="20">
        <f t="shared" si="127"/>
        <v>701.12586468045549</v>
      </c>
      <c r="EN148" s="59">
        <f t="shared" si="128"/>
        <v>994.45919801378886</v>
      </c>
      <c r="EO148" s="59">
        <f ca="1">AVERAGE(OFFSET($EN$3,0,0,'Données projet'!$E$15+1,1))-AVERAGE(OFFSET($H$3,0,0,'Données projet'!$E$15+1,1))</f>
        <v>525.74725170626471</v>
      </c>
      <c r="EP148" s="59">
        <f t="shared" si="154"/>
        <v>259.19103598192197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32.124591625928574</v>
      </c>
      <c r="EW148" s="21">
        <f>EXP(-LN(2)/25)*EW147+(1-EXP(-LN(2)/25))/(LN(2)/25)*Calculateur!ER148*Calculateur!ET148*VLOOKUP('Données projet'!$B$15,Paramètres!$A$1:$I$89,3,0)*0.475*44/12</f>
        <v>22.111576854476038</v>
      </c>
      <c r="EX148" s="21">
        <f>EXP(-LN(2)/2)*EX147+(1-EXP(-LN(2)/2))/(LN(2)/2)*ER148*EU148*VLOOKUP('Données projet'!$B$15,Paramètres!$A$1:$I$89,3,0)*0.475*44/12</f>
        <v>4.1121606036908789</v>
      </c>
      <c r="EY148" s="22">
        <f t="shared" si="129"/>
        <v>58.348329084095496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7.5191666666666634</v>
      </c>
      <c r="N149" s="13">
        <f>IF('Données projet'!$A$36&gt;35,N148+M149-V148,IF(A149&lt;'Données projet'!$A$36,$K$205^A149,IF(A149='Données projet'!$A$36,'Données projet'!$B$36,N148+M149-V148)))</f>
        <v>334.0083333333331</v>
      </c>
      <c r="O149" s="13">
        <f>N149*VLOOKUP('Données projet'!$B$9,Paramètres!$A$1:$I$89,3,0)*VLOOKUP('Données projet'!$B$9,Paramètres!$A$1:$I$89,5,0)</f>
        <v>338.6844499999998</v>
      </c>
      <c r="P149" s="13">
        <f t="shared" si="141"/>
        <v>79.228084167092831</v>
      </c>
      <c r="Q149" s="20">
        <f t="shared" si="108"/>
        <v>727.86433034101958</v>
      </c>
      <c r="R149" s="59">
        <f t="shared" si="109"/>
        <v>1021.197663674353</v>
      </c>
      <c r="S149" s="59">
        <f ca="1">AVERAGE(OFFSET($R$3,0,0,'Données projet'!$E$9+1,1))-AVERAGE(OFFSET($H$3,0,0,'Données projet'!$E$9+1,1))</f>
        <v>533.26035274112917</v>
      </c>
      <c r="T149" s="59">
        <f t="shared" si="142"/>
        <v>262.58149402282521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31.98675185286978</v>
      </c>
      <c r="AA149" s="21">
        <f>EXP(-LN(2)/25)*AA148+(1-EXP(-LN(2)/25))/(LN(2)/25)*Calculateur!V149*Calculateur!X149*VLOOKUP('Données projet'!$B$9,Paramètres!$A$1:$I$89,3,0)*0.475*44/12</f>
        <v>21.842980476071116</v>
      </c>
      <c r="AB149" s="21">
        <f>EXP(-LN(2)/2)*AB148+(1-EXP(-LN(2)/2))/(LN(2)/2)*V149*Y149*VLOOKUP('Données projet'!$B$9,Paramètres!$A$1:$I$89,3,0)*0.475*44/12</f>
        <v>2.9531700333260811</v>
      </c>
      <c r="AC149" s="22">
        <f t="shared" si="111"/>
        <v>56.782902362266974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7.5999999999999988</v>
      </c>
      <c r="AI149" s="13">
        <f>IF('Données projet'!$A$62&gt;35,AI148+AH149-AQ148,IF(A149&lt;'Données projet'!$A$62,$AF$205^A149,IF(A149='Données projet'!$A$62,'Données projet'!$B$62,AI148+AH149-AQ148)))</f>
        <v>421.76000000000045</v>
      </c>
      <c r="AJ149" s="13">
        <f>AI149*VLOOKUP('Données projet'!$B$10,Paramètres!$A$1:$I$89,3,0)*VLOOKUP('Données projet'!$B$10,Paramètres!$A$1:$I$89,5,0)</f>
        <v>381.60844800000035</v>
      </c>
      <c r="AK149" s="13">
        <f t="shared" si="143"/>
        <v>88.037907665522127</v>
      </c>
      <c r="AL149" s="20">
        <f t="shared" si="112"/>
        <v>817.96740278411835</v>
      </c>
      <c r="AM149" s="59">
        <f t="shared" si="113"/>
        <v>1111.3007361174516</v>
      </c>
      <c r="AN149" s="59">
        <f ca="1">AVERAGE(OFFSET($AM$3,0,0,'Données projet'!$E$10+1,1))-AVERAGE(OFFSET($H$3,0,0,'Données projet'!$E$10+1,1))</f>
        <v>482.62991869403385</v>
      </c>
      <c r="AO149" s="59">
        <f t="shared" si="144"/>
        <v>310.43914804089906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40.98109210403009</v>
      </c>
      <c r="AV149" s="21">
        <f>EXP(-LN(2)/25)*AV148+(1-EXP(-LN(2)/25))/(LN(2)/25)*Calculateur!AQ149*Calculateur!AS149*VLOOKUP('Données projet'!$B$10,Paramètres!$A$1:$I$89,3,0)*0.475*44/12</f>
        <v>17.088502285110888</v>
      </c>
      <c r="AW149" s="21">
        <f>EXP(-LN(2)/2)*AW148+(1-EXP(-LN(2)/2))/(LN(2)/2)*AQ149*AT149*VLOOKUP('Données projet'!$B$10,Paramètres!$A$1:$I$89,3,0)*0.475*44/12</f>
        <v>1.6753385188934299E-6</v>
      </c>
      <c r="AX149" s="21">
        <f t="shared" si="114"/>
        <v>58.069596064479491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384.34044781465661</v>
      </c>
      <c r="BJ149" s="59">
        <f t="shared" si="146"/>
        <v>374.99493809709708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15.445963655123665</v>
      </c>
      <c r="BQ149" s="21">
        <f>EXP(-LN(2)/25)*BQ148+(1-EXP(-LN(2)/25))/(LN(2)/25)*Calculateur!BL149*Calculateur!BN149*VLOOKUP('Données projet'!$B$11,Paramètres!$A$1:$I$89,3,0)*0.475*44/12</f>
        <v>9.0410113924554985</v>
      </c>
      <c r="BR149" s="21">
        <f>EXP(-LN(2)/2)*BR148+(1-EXP(-LN(2)/2))/(LN(2)/2)*BL149*BO149*VLOOKUP('Données projet'!$B$11,Paramètres!$A$1:$I$89,3,0)*0.475*44/12</f>
        <v>7.9792293926446721E-9</v>
      </c>
      <c r="BS149" s="22">
        <f t="shared" si="117"/>
        <v>24.486975055558393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7.5999999999999988</v>
      </c>
      <c r="BY149" s="12">
        <f>IF('Données projet'!$A$114&gt;35,BY148+BX149-CG148,IF(A149&lt;'Données projet'!$A$114,$BV$205^A149,IF(A149='Données projet'!$A$114,'Données projet'!$B$114,BY148+BX149-CG148)))</f>
        <v>421.76000000000045</v>
      </c>
      <c r="BZ149" s="13">
        <f>BY149*VLOOKUP('Données projet'!$B$12,Paramètres!$A$1:$I$89,3,0)*VLOOKUP('Données projet'!$B$12,Paramètres!$A$1:$I$89,5,0)</f>
        <v>401.34681600000044</v>
      </c>
      <c r="CA149" s="13">
        <f t="shared" si="147"/>
        <v>92.049658056602667</v>
      </c>
      <c r="CB149" s="20">
        <f t="shared" si="118"/>
        <v>859.33219231525038</v>
      </c>
      <c r="CC149" s="59">
        <f t="shared" si="119"/>
        <v>1152.6655256485838</v>
      </c>
      <c r="CD149" s="59">
        <f ca="1">AVERAGE(OFFSET($CC$3,0,0,'Données projet'!$E$12+1,1))-AVERAGE(OFFSET($H$3,0,0,'Données projet'!$E$12+1,1))</f>
        <v>513.14430745499283</v>
      </c>
      <c r="CE149" s="59">
        <f t="shared" si="148"/>
        <v>324.2490378019823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43.100803764583375</v>
      </c>
      <c r="CL149" s="21">
        <f>EXP(-LN(2)/25)*CL148+(1-EXP(-LN(2)/25))/(LN(2)/25)*Calculateur!CG149*Calculateur!CI149*VLOOKUP('Données projet'!$B$12,Paramètres!$A$1:$I$89,3,0)*0.475*44/12</f>
        <v>17.972390334340766</v>
      </c>
      <c r="CM149" s="21">
        <f>EXP(-LN(2)/2)*CM148+(1-EXP(-LN(2)/2))/(LN(2)/2)*CG149*CJ149*VLOOKUP('Données projet'!$B$12,Paramètres!$A$1:$I$89,3,0)*0.475*44/12</f>
        <v>1.7619939595258466E-6</v>
      </c>
      <c r="CN149" s="22">
        <f t="shared" si="120"/>
        <v>61.073195860918098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-1.1368683772161603E-13</v>
      </c>
      <c r="CU149" s="17">
        <f>CT149*VLOOKUP('Données projet'!$B$13,Paramètres!$A$1:$I$89,3,0)*VLOOKUP('Données projet'!$B$13,Paramètres!$A$1:$I$89,5,0)</f>
        <v>-8.8675733422860506E-14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197.51452239559433</v>
      </c>
      <c r="CZ149" s="59">
        <f t="shared" si="150"/>
        <v>196.65166921588821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5.9987881626653525</v>
      </c>
      <c r="DG149" s="21">
        <f>EXP(-LN(2)/25)*DG148+(1-EXP(-LN(2)/25))/(LN(2)/25)*Calculateur!DB149*Calculateur!DD149*VLOOKUP('Données projet'!$B$13,Paramètres!$A$1:$I$89,3,0)*0.475*44/12</f>
        <v>3.2092566170666323</v>
      </c>
      <c r="DH149" s="21">
        <f>EXP(-LN(2)/2)*DH148+(1-EXP(-LN(2)/2))/(LN(2)/2)*DB149*DE149*VLOOKUP('Données projet'!$B$13,Paramètres!$A$1:$I$89,3,0)*0.475*44/12</f>
        <v>1.0018665962201764E-10</v>
      </c>
      <c r="DI149" s="22">
        <f t="shared" si="123"/>
        <v>9.2080447798321714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>
        <f>DO149*VLOOKUP('Données projet'!$B$14,Paramètres!$A$1:$I$89,3,0)*VLOOKUP('Données projet'!$B$14,Paramètres!$A$1:$I$89,5,0)</f>
        <v>0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239.26156489359892</v>
      </c>
      <c r="DU149" s="59">
        <f t="shared" si="152"/>
        <v>213.97034450798111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3.5673093317036924</v>
      </c>
      <c r="EB149" s="21">
        <f>EXP(-LN(2)/25)*EB148+(1-EXP(-LN(2)/25))/(LN(2)/25)*Calculateur!DW149*Calculateur!DY149*VLOOKUP('Données projet'!$B$14,Paramètres!$A$1:$I$89,3,0)*0.475*44/12</f>
        <v>13.51891017864263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17.086219510346321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7.5191666666666634</v>
      </c>
      <c r="EJ149" s="12">
        <f>IF('Données projet'!$A$192&gt;35,EJ148+EI149-ER148,IF(A149&lt;'Données projet'!$A$192,$EG$205^A149,IF(A149='Données projet'!$A$192,'Données projet'!$B$192,EJ148+EI149-ER148)))</f>
        <v>334.0083333333331</v>
      </c>
      <c r="EK149" s="17">
        <f>EJ149*VLOOKUP('Données projet'!$B$15,Paramètres!$A$1:$I$89,3,0)*VLOOKUP('Données projet'!$B$15,Paramètres!$A$1:$I$89,5,0)</f>
        <v>333.47391999999979</v>
      </c>
      <c r="EL149" s="13">
        <f t="shared" si="153"/>
        <v>78.150099871389941</v>
      </c>
      <c r="EM149" s="20">
        <f t="shared" si="127"/>
        <v>716.91183460933723</v>
      </c>
      <c r="EN149" s="59">
        <f t="shared" si="128"/>
        <v>1010.2451679426706</v>
      </c>
      <c r="EO149" s="59">
        <f ca="1">AVERAGE(OFFSET($EN$3,0,0,'Données projet'!$E$15+1,1))-AVERAGE(OFFSET($H$3,0,0,'Données projet'!$E$15+1,1))</f>
        <v>525.74725170626471</v>
      </c>
      <c r="EP149" s="59">
        <f t="shared" si="154"/>
        <v>259.19103598192197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31.494647978210253</v>
      </c>
      <c r="EW149" s="21">
        <f>EXP(-LN(2)/25)*EW148+(1-EXP(-LN(2)/25))/(LN(2)/25)*Calculateur!ER149*Calculateur!ET149*VLOOKUP('Données projet'!$B$15,Paramètres!$A$1:$I$89,3,0)*0.475*44/12</f>
        <v>21.5069346225931</v>
      </c>
      <c r="EX149" s="21">
        <f>EXP(-LN(2)/2)*EX148+(1-EXP(-LN(2)/2))/(LN(2)/2)*ER149*EU149*VLOOKUP('Données projet'!$B$15,Paramètres!$A$1:$I$89,3,0)*0.475*44/12</f>
        <v>2.9077366481979876</v>
      </c>
      <c r="EY149" s="22">
        <f t="shared" si="129"/>
        <v>55.909319249001342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7.5191666666666634</v>
      </c>
      <c r="N150" s="13">
        <f>IF('Données projet'!$A$36&gt;35,N149+M150-V149,IF(A150&lt;'Données projet'!$A$36,$K$205^A150,IF(A150='Données projet'!$A$36,'Données projet'!$B$36,N149+M150-V149)))</f>
        <v>341.52749999999975</v>
      </c>
      <c r="O150" s="13">
        <f>N150*VLOOKUP('Données projet'!$B$9,Paramètres!$A$1:$I$89,3,0)*VLOOKUP('Données projet'!$B$9,Paramètres!$A$1:$I$89,5,0)</f>
        <v>346.3088849999998</v>
      </c>
      <c r="P150" s="13">
        <f t="shared" si="141"/>
        <v>80.802003987912002</v>
      </c>
      <c r="Q150" s="20">
        <f t="shared" si="108"/>
        <v>743.88479832061319</v>
      </c>
      <c r="R150" s="59">
        <f t="shared" si="109"/>
        <v>1037.2181316539466</v>
      </c>
      <c r="S150" s="59">
        <f ca="1">AVERAGE(OFFSET($R$3,0,0,'Données projet'!$E$9+1,1))-AVERAGE(OFFSET($H$3,0,0,'Données projet'!$E$9+1,1))</f>
        <v>533.26035274112917</v>
      </c>
      <c r="T150" s="59">
        <f t="shared" si="142"/>
        <v>262.58149402282521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31.359511159027182</v>
      </c>
      <c r="AA150" s="21">
        <f>EXP(-LN(2)/25)*AA149+(1-EXP(-LN(2)/25))/(LN(2)/25)*Calculateur!V150*Calculateur!X150*VLOOKUP('Données projet'!$B$9,Paramètres!$A$1:$I$89,3,0)*0.475*44/12</f>
        <v>21.245683026280531</v>
      </c>
      <c r="AB150" s="21">
        <f>EXP(-LN(2)/2)*AB149+(1-EXP(-LN(2)/2))/(LN(2)/2)*V150*Y150*VLOOKUP('Données projet'!$B$9,Paramètres!$A$1:$I$89,3,0)*0.475*44/12</f>
        <v>2.0882065565617745</v>
      </c>
      <c r="AC150" s="22">
        <f t="shared" si="111"/>
        <v>54.693400741869482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7.5999999999999988</v>
      </c>
      <c r="AI150" s="13">
        <f>IF('Données projet'!$A$62&gt;35,AI149+AH150-AQ149,IF(A150&lt;'Données projet'!$A$62,$AF$205^A150,IF(A150='Données projet'!$A$62,'Données projet'!$B$62,AI149+AH150-AQ149)))</f>
        <v>429.36000000000047</v>
      </c>
      <c r="AJ150" s="13">
        <f>AI150*VLOOKUP('Données projet'!$B$10,Paramètres!$A$1:$I$89,3,0)*VLOOKUP('Données projet'!$B$10,Paramètres!$A$1:$I$89,5,0)</f>
        <v>388.48492800000042</v>
      </c>
      <c r="AK150" s="13">
        <f t="shared" si="143"/>
        <v>89.438207209646222</v>
      </c>
      <c r="AL150" s="20">
        <f t="shared" si="112"/>
        <v>832.38279382346775</v>
      </c>
      <c r="AM150" s="59">
        <f t="shared" si="113"/>
        <v>1125.7161271568011</v>
      </c>
      <c r="AN150" s="59">
        <f ca="1">AVERAGE(OFFSET($AM$3,0,0,'Données projet'!$E$10+1,1))-AVERAGE(OFFSET($H$3,0,0,'Données projet'!$E$10+1,1))</f>
        <v>482.62991869403385</v>
      </c>
      <c r="AO150" s="59">
        <f t="shared" si="144"/>
        <v>310.43914804089906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40.177477883868093</v>
      </c>
      <c r="AV150" s="21">
        <f>EXP(-LN(2)/25)*AV149+(1-EXP(-LN(2)/25))/(LN(2)/25)*Calculateur!AQ150*Calculateur!AS150*VLOOKUP('Données projet'!$B$10,Paramètres!$A$1:$I$89,3,0)*0.475*44/12</f>
        <v>16.62121629147925</v>
      </c>
      <c r="AW150" s="21">
        <f>EXP(-LN(2)/2)*AW149+(1-EXP(-LN(2)/2))/(LN(2)/2)*AQ150*AT150*VLOOKUP('Données projet'!$B$10,Paramètres!$A$1:$I$89,3,0)*0.475*44/12</f>
        <v>1.1846432274925711E-6</v>
      </c>
      <c r="AX150" s="21">
        <f t="shared" si="114"/>
        <v>56.798695359990568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384.34044781465661</v>
      </c>
      <c r="BJ150" s="59">
        <f t="shared" si="146"/>
        <v>374.99493809709708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15.143077728954262</v>
      </c>
      <c r="BQ150" s="21">
        <f>EXP(-LN(2)/25)*BQ149+(1-EXP(-LN(2)/25))/(LN(2)/25)*Calculateur!BL150*Calculateur!BN150*VLOOKUP('Données projet'!$B$11,Paramètres!$A$1:$I$89,3,0)*0.475*44/12</f>
        <v>8.7937844604826765</v>
      </c>
      <c r="BR150" s="21">
        <f>EXP(-LN(2)/2)*BR149+(1-EXP(-LN(2)/2))/(LN(2)/2)*BL150*BO150*VLOOKUP('Données projet'!$B$11,Paramètres!$A$1:$I$89,3,0)*0.475*44/12</f>
        <v>5.6421672121820648E-9</v>
      </c>
      <c r="BS150" s="22">
        <f t="shared" si="117"/>
        <v>23.936862195079105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7.5999999999999988</v>
      </c>
      <c r="BY150" s="12">
        <f>IF('Données projet'!$A$114&gt;35,BY149+BX150-CG149,IF(A150&lt;'Données projet'!$A$114,$BV$205^A150,IF(A150='Données projet'!$A$114,'Données projet'!$B$114,BY149+BX150-CG149)))</f>
        <v>429.36000000000047</v>
      </c>
      <c r="BZ150" s="13">
        <f>BY150*VLOOKUP('Données projet'!$B$12,Paramètres!$A$1:$I$89,3,0)*VLOOKUP('Données projet'!$B$12,Paramètres!$A$1:$I$89,5,0)</f>
        <v>408.57897600000047</v>
      </c>
      <c r="CA150" s="13">
        <f t="shared" si="147"/>
        <v>93.513767070905203</v>
      </c>
      <c r="CB150" s="20">
        <f t="shared" si="118"/>
        <v>874.47819418182735</v>
      </c>
      <c r="CC150" s="59">
        <f t="shared" si="119"/>
        <v>1167.8115275151606</v>
      </c>
      <c r="CD150" s="59">
        <f ca="1">AVERAGE(OFFSET($CC$3,0,0,'Données projet'!$E$12+1,1))-AVERAGE(OFFSET($H$3,0,0,'Données projet'!$E$12+1,1))</f>
        <v>513.14430745499283</v>
      </c>
      <c r="CE150" s="59">
        <f t="shared" si="148"/>
        <v>324.2490378019823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42.255623291654381</v>
      </c>
      <c r="CL150" s="21">
        <f>EXP(-LN(2)/25)*CL149+(1-EXP(-LN(2)/25))/(LN(2)/25)*Calculateur!CG150*Calculateur!CI150*VLOOKUP('Données projet'!$B$12,Paramètres!$A$1:$I$89,3,0)*0.475*44/12</f>
        <v>17.480934375521286</v>
      </c>
      <c r="CM150" s="21">
        <f>EXP(-LN(2)/2)*CM149+(1-EXP(-LN(2)/2))/(LN(2)/2)*CG150*CJ150*VLOOKUP('Données projet'!$B$12,Paramètres!$A$1:$I$89,3,0)*0.475*44/12</f>
        <v>1.2459178771904612E-6</v>
      </c>
      <c r="CN150" s="22">
        <f t="shared" si="120"/>
        <v>59.736558913093546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-1.1368683772161603E-13</v>
      </c>
      <c r="CU150" s="17">
        <f>CT150*VLOOKUP('Données projet'!$B$13,Paramètres!$A$1:$I$89,3,0)*VLOOKUP('Données projet'!$B$13,Paramètres!$A$1:$I$89,5,0)</f>
        <v>-8.8675733422860506E-14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197.51452239559433</v>
      </c>
      <c r="CZ150" s="59">
        <f t="shared" si="150"/>
        <v>196.65166921588821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5.8811555856949775</v>
      </c>
      <c r="DG150" s="21">
        <f>EXP(-LN(2)/25)*DG149+(1-EXP(-LN(2)/25))/(LN(2)/25)*Calculateur!DB150*Calculateur!DD150*VLOOKUP('Données projet'!$B$13,Paramètres!$A$1:$I$89,3,0)*0.475*44/12</f>
        <v>3.1214993261054746</v>
      </c>
      <c r="DH150" s="21">
        <f>EXP(-LN(2)/2)*DH149+(1-EXP(-LN(2)/2))/(LN(2)/2)*DB150*DE150*VLOOKUP('Données projet'!$B$13,Paramètres!$A$1:$I$89,3,0)*0.475*44/12</f>
        <v>7.0842666403157141E-11</v>
      </c>
      <c r="DI150" s="22">
        <f t="shared" si="123"/>
        <v>9.0026549118712946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>
        <f>DO150*VLOOKUP('Données projet'!$B$14,Paramètres!$A$1:$I$89,3,0)*VLOOKUP('Données projet'!$B$14,Paramètres!$A$1:$I$89,5,0)</f>
        <v>0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239.26156489359892</v>
      </c>
      <c r="DU150" s="59">
        <f t="shared" si="152"/>
        <v>213.97034450798111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3.4973565715528285</v>
      </c>
      <c r="EB150" s="21">
        <f>EXP(-LN(2)/25)*EB149+(1-EXP(-LN(2)/25))/(LN(2)/25)*Calculateur!DW150*Calculateur!DY150*VLOOKUP('Données projet'!$B$14,Paramètres!$A$1:$I$89,3,0)*0.475*44/12</f>
        <v>13.149234868879059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16.646591440431887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7.5191666666666634</v>
      </c>
      <c r="EJ150" s="12">
        <f>IF('Données projet'!$A$192&gt;35,EJ149+EI150-ER149,IF(A150&lt;'Données projet'!$A$192,$EG$205^A150,IF(A150='Données projet'!$A$192,'Données projet'!$B$192,EJ149+EI150-ER149)))</f>
        <v>341.52749999999975</v>
      </c>
      <c r="EK150" s="17">
        <f>EJ150*VLOOKUP('Données projet'!$B$15,Paramètres!$A$1:$I$89,3,0)*VLOOKUP('Données projet'!$B$15,Paramètres!$A$1:$I$89,5,0)</f>
        <v>340.9810559999998</v>
      </c>
      <c r="EL150" s="13">
        <f t="shared" si="153"/>
        <v>79.702604800414434</v>
      </c>
      <c r="EM150" s="20">
        <f t="shared" si="127"/>
        <v>732.6907092273882</v>
      </c>
      <c r="EN150" s="59">
        <f t="shared" si="128"/>
        <v>1026.0240425607215</v>
      </c>
      <c r="EO150" s="59">
        <f ca="1">AVERAGE(OFFSET($EN$3,0,0,'Données projet'!$E$15+1,1))-AVERAGE(OFFSET($H$3,0,0,'Données projet'!$E$15+1,1))</f>
        <v>525.74725170626471</v>
      </c>
      <c r="EP150" s="59">
        <f t="shared" si="154"/>
        <v>259.19103598192197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30.877057141196001</v>
      </c>
      <c r="EW150" s="21">
        <f>EXP(-LN(2)/25)*EW149+(1-EXP(-LN(2)/25))/(LN(2)/25)*Calculateur!ER150*Calculateur!ET150*VLOOKUP('Données projet'!$B$15,Paramètres!$A$1:$I$89,3,0)*0.475*44/12</f>
        <v>20.918826364337754</v>
      </c>
      <c r="EX150" s="21">
        <f>EXP(-LN(2)/2)*EX149+(1-EXP(-LN(2)/2))/(LN(2)/2)*ER150*EU150*VLOOKUP('Données projet'!$B$15,Paramètres!$A$1:$I$89,3,0)*0.475*44/12</f>
        <v>2.0560803018454399</v>
      </c>
      <c r="EY150" s="22">
        <f t="shared" si="129"/>
        <v>53.851963807379192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7.5191666666666634</v>
      </c>
      <c r="N151" s="13">
        <f>IF('Données projet'!$A$36&gt;35,N150+M151-V150,IF(A151&lt;'Données projet'!$A$36,$K$205^A151,IF(A151='Données projet'!$A$36,'Données projet'!$B$36,N150+M151-V150)))</f>
        <v>349.0466666666664</v>
      </c>
      <c r="O151" s="13">
        <f>N151*VLOOKUP('Données projet'!$B$9,Paramètres!$A$1:$I$89,3,0)*VLOOKUP('Données projet'!$B$9,Paramètres!$A$1:$I$89,5,0)</f>
        <v>353.93331999999975</v>
      </c>
      <c r="P151" s="13">
        <f t="shared" si="141"/>
        <v>82.371895151305182</v>
      </c>
      <c r="Q151" s="20">
        <f t="shared" si="108"/>
        <v>759.89824972185613</v>
      </c>
      <c r="R151" s="59">
        <f t="shared" si="109"/>
        <v>1053.2315830551895</v>
      </c>
      <c r="S151" s="59">
        <f ca="1">AVERAGE(OFFSET($R$3,0,0,'Données projet'!$E$9+1,1))-AVERAGE(OFFSET($H$3,0,0,'Données projet'!$E$9+1,1))</f>
        <v>533.26035274112917</v>
      </c>
      <c r="T151" s="59">
        <f t="shared" si="142"/>
        <v>262.58149402282521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30.744570272611792</v>
      </c>
      <c r="AA151" s="21">
        <f>EXP(-LN(2)/25)*AA150+(1-EXP(-LN(2)/25))/(LN(2)/25)*Calculateur!V151*Calculateur!X151*VLOOKUP('Données projet'!$B$9,Paramètres!$A$1:$I$89,3,0)*0.475*44/12</f>
        <v>20.664718706664978</v>
      </c>
      <c r="AB151" s="21">
        <f>EXP(-LN(2)/2)*AB150+(1-EXP(-LN(2)/2))/(LN(2)/2)*V151*Y151*VLOOKUP('Données projet'!$B$9,Paramètres!$A$1:$I$89,3,0)*0.475*44/12</f>
        <v>1.4765850166630405</v>
      </c>
      <c r="AC151" s="22">
        <f t="shared" si="111"/>
        <v>52.885873995939804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7.5999999999999988</v>
      </c>
      <c r="AI151" s="13">
        <f>IF('Données projet'!$A$62&gt;35,AI150+AH151-AQ150,IF(A151&lt;'Données projet'!$A$62,$AF$205^A151,IF(A151='Données projet'!$A$62,'Données projet'!$B$62,AI150+AH151-AQ150)))</f>
        <v>436.96000000000049</v>
      </c>
      <c r="AJ151" s="13">
        <f>AI151*VLOOKUP('Données projet'!$B$10,Paramètres!$A$1:$I$89,3,0)*VLOOKUP('Données projet'!$B$10,Paramètres!$A$1:$I$89,5,0)</f>
        <v>395.36140800000044</v>
      </c>
      <c r="AK151" s="13">
        <f t="shared" si="143"/>
        <v>90.835624431167318</v>
      </c>
      <c r="AL151" s="20">
        <f t="shared" si="112"/>
        <v>846.79316481761714</v>
      </c>
      <c r="AM151" s="59">
        <f t="shared" si="113"/>
        <v>1140.1264981509505</v>
      </c>
      <c r="AN151" s="59">
        <f ca="1">AVERAGE(OFFSET($AM$3,0,0,'Données projet'!$E$10+1,1))-AVERAGE(OFFSET($H$3,0,0,'Données projet'!$E$10+1,1))</f>
        <v>482.62991869403385</v>
      </c>
      <c r="AO151" s="59">
        <f t="shared" si="144"/>
        <v>310.43914804089906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39.389622048407197</v>
      </c>
      <c r="AV151" s="21">
        <f>EXP(-LN(2)/25)*AV150+(1-EXP(-LN(2)/25))/(LN(2)/25)*Calculateur!AQ151*Calculateur!AS151*VLOOKUP('Données projet'!$B$10,Paramètres!$A$1:$I$89,3,0)*0.475*44/12</f>
        <v>16.166708257916973</v>
      </c>
      <c r="AW151" s="21">
        <f>EXP(-LN(2)/2)*AW150+(1-EXP(-LN(2)/2))/(LN(2)/2)*AQ151*AT151*VLOOKUP('Données projet'!$B$10,Paramètres!$A$1:$I$89,3,0)*0.475*44/12</f>
        <v>8.3766925944671493E-7</v>
      </c>
      <c r="AX151" s="21">
        <f t="shared" si="114"/>
        <v>55.556331143993432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384.34044781465661</v>
      </c>
      <c r="BJ151" s="59">
        <f t="shared" si="146"/>
        <v>374.99493809709708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14.846131211054868</v>
      </c>
      <c r="BQ151" s="21">
        <f>EXP(-LN(2)/25)*BQ150+(1-EXP(-LN(2)/25))/(LN(2)/25)*Calculateur!BL151*Calculateur!BN151*VLOOKUP('Données projet'!$B$11,Paramètres!$A$1:$I$89,3,0)*0.475*44/12</f>
        <v>8.5533179619657513</v>
      </c>
      <c r="BR151" s="21">
        <f>EXP(-LN(2)/2)*BR150+(1-EXP(-LN(2)/2))/(LN(2)/2)*BL151*BO151*VLOOKUP('Données projet'!$B$11,Paramètres!$A$1:$I$89,3,0)*0.475*44/12</f>
        <v>3.9896146963223361E-9</v>
      </c>
      <c r="BS151" s="22">
        <f t="shared" si="117"/>
        <v>23.399449177010236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7.5999999999999988</v>
      </c>
      <c r="BY151" s="12">
        <f>IF('Données projet'!$A$114&gt;35,BY150+BX151-CG150,IF(A151&lt;'Données projet'!$A$114,$BV$205^A151,IF(A151='Données projet'!$A$114,'Données projet'!$B$114,BY150+BX151-CG150)))</f>
        <v>436.96000000000049</v>
      </c>
      <c r="BZ151" s="13">
        <f>BY151*VLOOKUP('Données projet'!$B$12,Paramètres!$A$1:$I$89,3,0)*VLOOKUP('Données projet'!$B$12,Paramètres!$A$1:$I$89,5,0)</f>
        <v>415.81113600000049</v>
      </c>
      <c r="CA151" s="13">
        <f t="shared" si="147"/>
        <v>94.974862419651288</v>
      </c>
      <c r="CB151" s="20">
        <f t="shared" si="118"/>
        <v>889.61894724756019</v>
      </c>
      <c r="CC151" s="59">
        <f t="shared" si="119"/>
        <v>1182.9522805808936</v>
      </c>
      <c r="CD151" s="59">
        <f ca="1">AVERAGE(OFFSET($CC$3,0,0,'Données projet'!$E$12+1,1))-AVERAGE(OFFSET($H$3,0,0,'Données projet'!$E$12+1,1))</f>
        <v>513.14430745499283</v>
      </c>
      <c r="CE151" s="59">
        <f t="shared" si="148"/>
        <v>324.2490378019823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41.427016292290332</v>
      </c>
      <c r="CL151" s="21">
        <f>EXP(-LN(2)/25)*CL150+(1-EXP(-LN(2)/25))/(LN(2)/25)*Calculateur!CG151*Calculateur!CI151*VLOOKUP('Données projet'!$B$12,Paramètres!$A$1:$I$89,3,0)*0.475*44/12</f>
        <v>17.002917305740272</v>
      </c>
      <c r="CM151" s="21">
        <f>EXP(-LN(2)/2)*CM150+(1-EXP(-LN(2)/2))/(LN(2)/2)*CG151*CJ151*VLOOKUP('Données projet'!$B$12,Paramètres!$A$1:$I$89,3,0)*0.475*44/12</f>
        <v>8.8099697976292328E-7</v>
      </c>
      <c r="CN151" s="22">
        <f t="shared" si="120"/>
        <v>58.42993447902758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-1.1368683772161603E-13</v>
      </c>
      <c r="CU151" s="17">
        <f>CT151*VLOOKUP('Données projet'!$B$13,Paramètres!$A$1:$I$89,3,0)*VLOOKUP('Données projet'!$B$13,Paramètres!$A$1:$I$89,5,0)</f>
        <v>-8.8675733422860506E-14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197.51452239559433</v>
      </c>
      <c r="CZ151" s="59">
        <f t="shared" si="150"/>
        <v>196.65166921588821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5.7658297118102046</v>
      </c>
      <c r="DG151" s="21">
        <f>EXP(-LN(2)/25)*DG150+(1-EXP(-LN(2)/25))/(LN(2)/25)*Calculateur!DB151*Calculateur!DD151*VLOOKUP('Données projet'!$B$13,Paramètres!$A$1:$I$89,3,0)*0.475*44/12</f>
        <v>3.0361417628806051</v>
      </c>
      <c r="DH151" s="21">
        <f>EXP(-LN(2)/2)*DH150+(1-EXP(-LN(2)/2))/(LN(2)/2)*DB151*DE151*VLOOKUP('Données projet'!$B$13,Paramètres!$A$1:$I$89,3,0)*0.475*44/12</f>
        <v>5.0093329811008819E-11</v>
      </c>
      <c r="DI151" s="22">
        <f t="shared" si="123"/>
        <v>8.8019714747409026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>
        <f>DO151*VLOOKUP('Données projet'!$B$14,Paramètres!$A$1:$I$89,3,0)*VLOOKUP('Données projet'!$B$14,Paramètres!$A$1:$I$89,5,0)</f>
        <v>0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239.26156489359892</v>
      </c>
      <c r="DU151" s="59">
        <f t="shared" si="152"/>
        <v>213.97034450798111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3.4287755423615525</v>
      </c>
      <c r="EB151" s="21">
        <f>EXP(-LN(2)/25)*EB150+(1-EXP(-LN(2)/25))/(LN(2)/25)*Calculateur!DW151*Calculateur!DY151*VLOOKUP('Données projet'!$B$14,Paramètres!$A$1:$I$89,3,0)*0.475*44/12</f>
        <v>12.789668349901353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16.218443892262904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7.5191666666666634</v>
      </c>
      <c r="EJ151" s="12">
        <f>IF('Données projet'!$A$192&gt;35,EJ150+EI151-ER150,IF(A151&lt;'Données projet'!$A$192,$EG$205^A151,IF(A151='Données projet'!$A$192,'Données projet'!$B$192,EJ150+EI151-ER150)))</f>
        <v>349.0466666666664</v>
      </c>
      <c r="EK151" s="17">
        <f>EJ151*VLOOKUP('Données projet'!$B$15,Paramètres!$A$1:$I$89,3,0)*VLOOKUP('Données projet'!$B$15,Paramètres!$A$1:$I$89,5,0)</f>
        <v>348.48819199999974</v>
      </c>
      <c r="EL151" s="13">
        <f t="shared" si="153"/>
        <v>81.25113588628092</v>
      </c>
      <c r="EM151" s="20">
        <f t="shared" si="127"/>
        <v>748.46266273527215</v>
      </c>
      <c r="EN151" s="59">
        <f t="shared" si="128"/>
        <v>1041.7959960686055</v>
      </c>
      <c r="EO151" s="59">
        <f ca="1">AVERAGE(OFFSET($EN$3,0,0,'Données projet'!$E$15+1,1))-AVERAGE(OFFSET($H$3,0,0,'Données projet'!$E$15+1,1))</f>
        <v>525.74725170626471</v>
      </c>
      <c r="EP151" s="59">
        <f t="shared" si="154"/>
        <v>259.19103598192197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30.271576883802386</v>
      </c>
      <c r="EW151" s="21">
        <f>EXP(-LN(2)/25)*EW150+(1-EXP(-LN(2)/25))/(LN(2)/25)*Calculateur!ER151*Calculateur!ET151*VLOOKUP('Données projet'!$B$15,Paramètres!$A$1:$I$89,3,0)*0.475*44/12</f>
        <v>20.346799957331669</v>
      </c>
      <c r="EX151" s="21">
        <f>EXP(-LN(2)/2)*EX150+(1-EXP(-LN(2)/2))/(LN(2)/2)*ER151*EU151*VLOOKUP('Données projet'!$B$15,Paramètres!$A$1:$I$89,3,0)*0.475*44/12</f>
        <v>1.4538683240989942</v>
      </c>
      <c r="EY151" s="22">
        <f t="shared" si="129"/>
        <v>52.072245165233042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7.5191666666666634</v>
      </c>
      <c r="N152" s="13">
        <f>IF('Données projet'!$A$36&gt;35,N151+M152-V151,IF(A152&lt;'Données projet'!$A$36,$K$205^A152,IF(A152='Données projet'!$A$36,'Données projet'!$B$36,N151+M152-V151)))</f>
        <v>356.56583333333305</v>
      </c>
      <c r="O152" s="13">
        <f>N152*VLOOKUP('Données projet'!$B$9,Paramètres!$A$1:$I$89,3,0)*VLOOKUP('Données projet'!$B$9,Paramètres!$A$1:$I$89,5,0)</f>
        <v>361.5577549999997</v>
      </c>
      <c r="P152" s="13">
        <f t="shared" si="141"/>
        <v>83.937854438215282</v>
      </c>
      <c r="Q152" s="20">
        <f t="shared" si="108"/>
        <v>775.904853104891</v>
      </c>
      <c r="R152" s="59">
        <f t="shared" si="109"/>
        <v>1069.2381864382244</v>
      </c>
      <c r="S152" s="59">
        <f ca="1">AVERAGE(OFFSET($R$3,0,0,'Données projet'!$E$9+1,1))-AVERAGE(OFFSET($H$3,0,0,'Données projet'!$E$9+1,1))</f>
        <v>533.26035274112917</v>
      </c>
      <c r="T152" s="59">
        <f t="shared" si="142"/>
        <v>262.58149402282521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30.141688001902104</v>
      </c>
      <c r="AA152" s="21">
        <f>EXP(-LN(2)/25)*AA151+(1-EXP(-LN(2)/25))/(LN(2)/25)*Calculateur!V152*Calculateur!X152*VLOOKUP('Données projet'!$B$9,Paramètres!$A$1:$I$89,3,0)*0.475*44/12</f>
        <v>20.099640886920898</v>
      </c>
      <c r="AB152" s="21">
        <f>EXP(-LN(2)/2)*AB151+(1-EXP(-LN(2)/2))/(LN(2)/2)*V152*Y152*VLOOKUP('Données projet'!$B$9,Paramètres!$A$1:$I$89,3,0)*0.475*44/12</f>
        <v>1.0441032782808872</v>
      </c>
      <c r="AC152" s="22">
        <f t="shared" si="111"/>
        <v>51.285432167103892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>
        <f>VLOOKUP(A152,'Données projet'!$A$61:$I$81,2,0)</f>
        <v>444.56</v>
      </c>
      <c r="AG152" s="12">
        <f>VLOOKUP(A152,'Données projet'!$A$61:$I$81,9,0)</f>
        <v>7.5999999999999988</v>
      </c>
      <c r="AH152" s="12">
        <f t="array" ref="AH152">INDEX(AG:AG,MIN(IF(ISNUMBER(AG152:AG348),ROW(AG152:AG348),"")))</f>
        <v>7.5999999999999988</v>
      </c>
      <c r="AI152" s="13">
        <f>IF('Données projet'!$A$62&gt;35,AI151+AH152-AQ151,IF(A152&lt;'Données projet'!$A$62,$AF$205^A152,IF(A152='Données projet'!$A$62,'Données projet'!$B$62,AI151+AH152-AQ151)))</f>
        <v>444.56000000000051</v>
      </c>
      <c r="AJ152" s="13">
        <f>AI152*VLOOKUP('Données projet'!$B$10,Paramètres!$A$1:$I$89,3,0)*VLOOKUP('Données projet'!$B$10,Paramètres!$A$1:$I$89,5,0)</f>
        <v>402.23788800000051</v>
      </c>
      <c r="AK152" s="13">
        <f t="shared" si="143"/>
        <v>92.230215246448978</v>
      </c>
      <c r="AL152" s="20">
        <f t="shared" si="112"/>
        <v>861.1986131542327</v>
      </c>
      <c r="AM152" s="59">
        <f t="shared" si="113"/>
        <v>1154.5319464875661</v>
      </c>
      <c r="AN152" s="59">
        <f ca="1">AVERAGE(OFFSET($AM$3,0,0,'Données projet'!$E$10+1,1))-AVERAGE(OFFSET($H$3,0,0,'Données projet'!$E$10+1,1))</f>
        <v>482.62991869403385</v>
      </c>
      <c r="AO152" s="59">
        <f t="shared" si="144"/>
        <v>310.43914804089906</v>
      </c>
      <c r="AP152" s="15">
        <f>IF(ISNA(VLOOKUP(A152,'Données projet'!$A$61:$I$81,3,0)),0,VLOOKUP(A152,'Données projet'!$A$61:$I$81,3,0))</f>
        <v>12</v>
      </c>
      <c r="AQ152" s="15">
        <f>IF(ISNA(VLOOKUP(A152,'Données projet'!$A$61:$I$81,4,0)),0,VLOOKUP(A152,'Données projet'!$A$61:$I$81,4,0))</f>
        <v>176.67000000000002</v>
      </c>
      <c r="AR152" s="16">
        <f>IF(ISNA(VLOOKUP(A152,'Données projet'!$A$61:$I$81,5,0)),0%,VLOOKUP(A152,'Données projet'!$A$61:$I$81,5,0)*VLOOKUP('Données projet'!$B$10,Paramètres!$A$1:$I$89,7,0))</f>
        <v>0.19350000000000001</v>
      </c>
      <c r="AS152" s="16">
        <f>IF(ISNA(VLOOKUP(A152,'Données projet'!$A$61:$I$81,6,0)),0%,VLOOKUP(A152,'Données projet'!$A$61:$I$81,6,0)*VLOOKUP('Données projet'!$B$10,Paramètres!$A$1:$I$89,7,0))</f>
        <v>2.1500000000000002E-2</v>
      </c>
      <c r="AT152" s="16">
        <f>IF(ISNA(VLOOKUP(A152,'Données projet'!$A$61:$I$81,7,0)),0%,VLOOKUP(A152,'Données projet'!$A$61:$I$81,7,0))</f>
        <v>0.05</v>
      </c>
      <c r="AU152" s="21">
        <f>EXP(-LN(2)/35)*AU151+(1-EXP(-LN(2)/35))/(LN(2)/35)*AQ152*AR152*VLOOKUP('Données projet'!$B$10,Paramètres!$A$1:$I$89,3,0)*0.475*44/12</f>
        <v>72.810709588964016</v>
      </c>
      <c r="AV152" s="21">
        <f>EXP(-LN(2)/25)*AV151+(1-EXP(-LN(2)/25))/(LN(2)/25)*Calculateur!AQ152*Calculateur!AS152*VLOOKUP('Données projet'!$B$10,Paramètres!$A$1:$I$89,3,0)*0.475*44/12</f>
        <v>19.508946680322214</v>
      </c>
      <c r="AW152" s="21">
        <f>EXP(-LN(2)/2)*AW151+(1-EXP(-LN(2)/2))/(LN(2)/2)*AQ152*AT152*VLOOKUP('Données projet'!$B$10,Paramètres!$A$1:$I$89,3,0)*0.475*44/12</f>
        <v>7.5411873884724425</v>
      </c>
      <c r="AX152" s="21">
        <f t="shared" si="114"/>
        <v>99.860843657758664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384.34044781465661</v>
      </c>
      <c r="BJ152" s="59">
        <f t="shared" si="146"/>
        <v>374.99493809709708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14.555007633251989</v>
      </c>
      <c r="BQ152" s="21">
        <f>EXP(-LN(2)/25)*BQ151+(1-EXP(-LN(2)/25))/(LN(2)/25)*Calculateur!BL152*Calculateur!BN152*VLOOKUP('Données projet'!$B$11,Paramètres!$A$1:$I$89,3,0)*0.475*44/12</f>
        <v>8.3194270324963551</v>
      </c>
      <c r="BR152" s="21">
        <f>EXP(-LN(2)/2)*BR151+(1-EXP(-LN(2)/2))/(LN(2)/2)*BL152*BO152*VLOOKUP('Données projet'!$B$11,Paramètres!$A$1:$I$89,3,0)*0.475*44/12</f>
        <v>2.8210836060910324E-9</v>
      </c>
      <c r="BS152" s="22">
        <f t="shared" si="117"/>
        <v>22.874434668569428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>
        <f>VLOOKUP(A152,'Données projet'!$A$113:$I$133,2,0)</f>
        <v>444.56</v>
      </c>
      <c r="BW152" s="12">
        <f>VLOOKUP(A152,'Données projet'!$A$113:$I$133,9,0)</f>
        <v>7.5999999999999988</v>
      </c>
      <c r="BX152" s="12">
        <f t="array" ref="BX152">INDEX(BW:BW,MIN(IF(ISNUMBER(BW152:BW348),ROW(BW152:BW348),"")))</f>
        <v>7.5999999999999988</v>
      </c>
      <c r="BY152" s="12">
        <f>IF('Données projet'!$A$114&gt;35,BY151+BX152-CG151,IF(A152&lt;'Données projet'!$A$114,$BV$205^A152,IF(A152='Données projet'!$A$114,'Données projet'!$B$114,BY151+BX152-CG151)))</f>
        <v>444.56000000000051</v>
      </c>
      <c r="BZ152" s="13">
        <f>BY152*VLOOKUP('Données projet'!$B$12,Paramètres!$A$1:$I$89,3,0)*VLOOKUP('Données projet'!$B$12,Paramètres!$A$1:$I$89,5,0)</f>
        <v>423.04329600000045</v>
      </c>
      <c r="CA152" s="13">
        <f t="shared" si="147"/>
        <v>96.433002567225799</v>
      </c>
      <c r="CB152" s="20">
        <f t="shared" si="118"/>
        <v>904.75455333791888</v>
      </c>
      <c r="CC152" s="59">
        <f t="shared" si="119"/>
        <v>1198.0878866712521</v>
      </c>
      <c r="CD152" s="59">
        <f ca="1">AVERAGE(OFFSET($CC$3,0,0,'Données projet'!$E$12+1,1))-AVERAGE(OFFSET($H$3,0,0,'Données projet'!$E$12+1,1))</f>
        <v>513.14430745499283</v>
      </c>
      <c r="CE152" s="59">
        <f t="shared" si="148"/>
        <v>324.2490378019823</v>
      </c>
      <c r="CF152" s="15">
        <f>IF(ISNA(VLOOKUP(A152,'Données projet'!$A$113:$I$133,3,0)),0,VLOOKUP(A152,'Données projet'!$A$113:$I$133,3,0))</f>
        <v>12</v>
      </c>
      <c r="CG152" s="15">
        <f>IF(ISNA(VLOOKUP(A152,'Données projet'!$A$113:$I$133,4,0)),0,VLOOKUP(A152,'Données projet'!$A$113:$I$133,4,0))</f>
        <v>176.67000000000002</v>
      </c>
      <c r="CH152" s="16">
        <f>IF(ISNA(VLOOKUP(A152,'Données projet'!$A$113:$I$133,5,0)),0%,VLOOKUP(A152,'Données projet'!$A$113:$I$133,5,0)*VLOOKUP('Données projet'!$B$12,Paramètres!$A$1:$I$89,7,0))</f>
        <v>0.19350000000000001</v>
      </c>
      <c r="CI152" s="16">
        <f>IF(ISNA(VLOOKUP(A152,'Données projet'!$A$113:$I$133,6,0)),0%,VLOOKUP(A152,'Données projet'!$A$113:$I$133,6,0)*VLOOKUP('Données projet'!$B$12,Paramètres!$A$1:$I$89,7,0))</f>
        <v>2.1500000000000002E-2</v>
      </c>
      <c r="CJ152" s="16">
        <f>IF(ISNA(VLOOKUP(A152,'Données projet'!$A$113:$I$133,7,0)),0%,VLOOKUP(A152,'Données projet'!$A$113:$I$133,7,0))</f>
        <v>0.05</v>
      </c>
      <c r="CK152" s="21">
        <f>EXP(-LN(2)/35)*CK151+(1-EXP(-LN(2)/35))/(LN(2)/35)*CG152*CH152*VLOOKUP('Données projet'!$B$12,Paramètres!$A$1:$I$89,3,0)*0.475*44/12</f>
        <v>76.576780774600081</v>
      </c>
      <c r="CL152" s="21">
        <f>EXP(-LN(2)/25)*CL151+(1-EXP(-LN(2)/25))/(LN(2)/25)*Calculateur!CG152*Calculateur!CI152*VLOOKUP('Données projet'!$B$12,Paramètres!$A$1:$I$89,3,0)*0.475*44/12</f>
        <v>20.518030129304407</v>
      </c>
      <c r="CM152" s="21">
        <f>EXP(-LN(2)/2)*CM151+(1-EXP(-LN(2)/2))/(LN(2)/2)*CG152*CJ152*VLOOKUP('Données projet'!$B$12,Paramètres!$A$1:$I$89,3,0)*0.475*44/12</f>
        <v>7.9312488051175691</v>
      </c>
      <c r="CN152" s="22">
        <f t="shared" si="120"/>
        <v>105.02605970902206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-1.1368683772161603E-13</v>
      </c>
      <c r="CU152" s="17">
        <f>CT152*VLOOKUP('Données projet'!$B$13,Paramètres!$A$1:$I$89,3,0)*VLOOKUP('Données projet'!$B$13,Paramètres!$A$1:$I$89,5,0)</f>
        <v>-8.8675733422860506E-14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197.51452239559433</v>
      </c>
      <c r="CZ152" s="59">
        <f t="shared" si="150"/>
        <v>196.65166921588821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5.6527653079704745</v>
      </c>
      <c r="DG152" s="21">
        <f>EXP(-LN(2)/25)*DG151+(1-EXP(-LN(2)/25))/(LN(2)/25)*Calculateur!DB152*Calculateur!DD152*VLOOKUP('Données projet'!$B$13,Paramètres!$A$1:$I$89,3,0)*0.475*44/12</f>
        <v>2.9531183067108788</v>
      </c>
      <c r="DH152" s="21">
        <f>EXP(-LN(2)/2)*DH151+(1-EXP(-LN(2)/2))/(LN(2)/2)*DB152*DE152*VLOOKUP('Données projet'!$B$13,Paramètres!$A$1:$I$89,3,0)*0.475*44/12</f>
        <v>3.542133320157857E-11</v>
      </c>
      <c r="DI152" s="22">
        <f t="shared" si="123"/>
        <v>8.6058836147167739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>
        <f>DO152*VLOOKUP('Données projet'!$B$14,Paramètres!$A$1:$I$89,3,0)*VLOOKUP('Données projet'!$B$14,Paramètres!$A$1:$I$89,5,0)</f>
        <v>0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239.26156489359892</v>
      </c>
      <c r="DU152" s="59">
        <f t="shared" si="152"/>
        <v>213.97034450798111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3.36153934532242</v>
      </c>
      <c r="EB152" s="21">
        <f>EXP(-LN(2)/25)*EB151+(1-EXP(-LN(2)/25))/(LN(2)/25)*Calculateur!DW152*Calculateur!DY152*VLOOKUP('Données projet'!$B$14,Paramètres!$A$1:$I$89,3,0)*0.475*44/12</f>
        <v>12.439934196293873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15.801473541616293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7.5191666666666634</v>
      </c>
      <c r="EJ152" s="12">
        <f>IF('Données projet'!$A$192&gt;35,EJ151+EI152-ER151,IF(A152&lt;'Données projet'!$A$192,$EG$205^A152,IF(A152='Données projet'!$A$192,'Données projet'!$B$192,EJ151+EI152-ER151)))</f>
        <v>356.56583333333305</v>
      </c>
      <c r="EK152" s="17">
        <f>EJ152*VLOOKUP('Données projet'!$B$15,Paramètres!$A$1:$I$89,3,0)*VLOOKUP('Données projet'!$B$15,Paramètres!$A$1:$I$89,5,0)</f>
        <v>355.99532799999974</v>
      </c>
      <c r="EL152" s="13">
        <f t="shared" si="153"/>
        <v>82.795788593122282</v>
      </c>
      <c r="EM152" s="20">
        <f t="shared" si="127"/>
        <v>764.22786139968741</v>
      </c>
      <c r="EN152" s="59">
        <f t="shared" si="128"/>
        <v>1057.5611947330208</v>
      </c>
      <c r="EO152" s="59">
        <f ca="1">AVERAGE(OFFSET($EN$3,0,0,'Données projet'!$E$15+1,1))-AVERAGE(OFFSET($H$3,0,0,'Données projet'!$E$15+1,1))</f>
        <v>525.74725170626471</v>
      </c>
      <c r="EP152" s="59">
        <f t="shared" si="154"/>
        <v>259.19103598192197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29.677969724949769</v>
      </c>
      <c r="EW152" s="21">
        <f>EXP(-LN(2)/25)*EW151+(1-EXP(-LN(2)/25))/(LN(2)/25)*Calculateur!ER152*Calculateur!ET152*VLOOKUP('Données projet'!$B$15,Paramètres!$A$1:$I$89,3,0)*0.475*44/12</f>
        <v>19.790415642506726</v>
      </c>
      <c r="EX152" s="21">
        <f>EXP(-LN(2)/2)*EX151+(1-EXP(-LN(2)/2))/(LN(2)/2)*ER152*EU152*VLOOKUP('Données projet'!$B$15,Paramètres!$A$1:$I$89,3,0)*0.475*44/12</f>
        <v>1.0280401509227202</v>
      </c>
      <c r="EY152" s="22">
        <f t="shared" si="129"/>
        <v>50.496425518379212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7.5191666666666634</v>
      </c>
      <c r="N153" s="13">
        <f>IF('Données projet'!$A$36&gt;35,N152+M153-V152,IF(A153&lt;'Données projet'!$A$36,$K$205^A153,IF(A153='Données projet'!$A$36,'Données projet'!$B$36,N152+M153-V152)))</f>
        <v>364.0849999999997</v>
      </c>
      <c r="O153" s="13">
        <f>N153*VLOOKUP('Données projet'!$B$9,Paramètres!$A$1:$I$89,3,0)*VLOOKUP('Données projet'!$B$9,Paramètres!$A$1:$I$89,5,0)</f>
        <v>369.18218999999971</v>
      </c>
      <c r="P153" s="13">
        <f t="shared" si="141"/>
        <v>85.499974314579831</v>
      </c>
      <c r="Q153" s="20">
        <f t="shared" si="108"/>
        <v>791.90476951455923</v>
      </c>
      <c r="R153" s="59">
        <f t="shared" si="109"/>
        <v>1085.2381028478926</v>
      </c>
      <c r="S153" s="59">
        <f ca="1">AVERAGE(OFFSET($R$3,0,0,'Données projet'!$E$9+1,1))-AVERAGE(OFFSET($H$3,0,0,'Données projet'!$E$9+1,1))</f>
        <v>533.26035274112917</v>
      </c>
      <c r="T153" s="59">
        <f t="shared" si="142"/>
        <v>262.58149402282521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29.550627884799155</v>
      </c>
      <c r="AA153" s="21">
        <f>EXP(-LN(2)/25)*AA152+(1-EXP(-LN(2)/25))/(LN(2)/25)*Calculateur!V153*Calculateur!X153*VLOOKUP('Données projet'!$B$9,Paramètres!$A$1:$I$89,3,0)*0.475*44/12</f>
        <v>19.550015149873872</v>
      </c>
      <c r="AB153" s="21">
        <f>EXP(-LN(2)/2)*AB152+(1-EXP(-LN(2)/2))/(LN(2)/2)*V153*Y153*VLOOKUP('Données projet'!$B$9,Paramètres!$A$1:$I$89,3,0)*0.475*44/12</f>
        <v>0.73829250833152027</v>
      </c>
      <c r="AC153" s="22">
        <f t="shared" si="111"/>
        <v>49.838935543004546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4.6025000000000063</v>
      </c>
      <c r="AI153" s="13">
        <f>IF('Données projet'!$A$62&gt;35,AI152+AH153-AQ152,IF(A153&lt;'Données projet'!$A$62,$AF$205^A153,IF(A153='Données projet'!$A$62,'Données projet'!$B$62,AI152+AH153-AQ152)))</f>
        <v>272.49250000000052</v>
      </c>
      <c r="AJ153" s="13">
        <f>AI153*VLOOKUP('Données projet'!$B$10,Paramètres!$A$1:$I$89,3,0)*VLOOKUP('Données projet'!$B$10,Paramètres!$A$1:$I$89,5,0)</f>
        <v>246.55121400000044</v>
      </c>
      <c r="AK153" s="13">
        <f t="shared" si="143"/>
        <v>59.846839241174408</v>
      </c>
      <c r="AL153" s="20">
        <f t="shared" si="112"/>
        <v>533.64327606171275</v>
      </c>
      <c r="AM153" s="59">
        <f t="shared" si="113"/>
        <v>826.97660939504613</v>
      </c>
      <c r="AN153" s="59">
        <f ca="1">AVERAGE(OFFSET($AM$3,0,0,'Données projet'!$E$10+1,1))-AVERAGE(OFFSET($H$3,0,0,'Données projet'!$E$10+1,1))</f>
        <v>482.62991869403385</v>
      </c>
      <c r="AO153" s="59">
        <f t="shared" si="144"/>
        <v>310.43914804089906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71.382935984072148</v>
      </c>
      <c r="AV153" s="21">
        <f>EXP(-LN(2)/25)*AV152+(1-EXP(-LN(2)/25))/(LN(2)/25)*Calculateur!AQ153*Calculateur!AS153*VLOOKUP('Données projet'!$B$10,Paramètres!$A$1:$I$89,3,0)*0.475*44/12</f>
        <v>18.975473507417885</v>
      </c>
      <c r="AW153" s="21">
        <f>EXP(-LN(2)/2)*AW152+(1-EXP(-LN(2)/2))/(LN(2)/2)*AQ153*AT153*VLOOKUP('Données projet'!$B$10,Paramètres!$A$1:$I$89,3,0)*0.475*44/12</f>
        <v>5.332424740587336</v>
      </c>
      <c r="AX153" s="21">
        <f t="shared" si="114"/>
        <v>95.690834232077378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384.34044781465661</v>
      </c>
      <c r="BJ153" s="59">
        <f t="shared" si="146"/>
        <v>374.99493809709708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14.269592811241976</v>
      </c>
      <c r="BQ153" s="21">
        <f>EXP(-LN(2)/25)*BQ152+(1-EXP(-LN(2)/25))/(LN(2)/25)*Calculateur!BL153*Calculateur!BN153*VLOOKUP('Données projet'!$B$11,Paramètres!$A$1:$I$89,3,0)*0.475*44/12</f>
        <v>8.0919318627930892</v>
      </c>
      <c r="BR153" s="21">
        <f>EXP(-LN(2)/2)*BR152+(1-EXP(-LN(2)/2))/(LN(2)/2)*BL153*BO153*VLOOKUP('Données projet'!$B$11,Paramètres!$A$1:$I$89,3,0)*0.475*44/12</f>
        <v>1.994807348161168E-9</v>
      </c>
      <c r="BS153" s="22">
        <f t="shared" si="117"/>
        <v>22.361524676029873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4.6025000000000063</v>
      </c>
      <c r="BY153" s="12">
        <f>IF('Données projet'!$A$114&gt;35,BY152+BX153-CG152,IF(A153&lt;'Données projet'!$A$114,$BV$205^A153,IF(A153='Données projet'!$A$114,'Données projet'!$B$114,BY152+BX153-CG152)))</f>
        <v>272.49250000000052</v>
      </c>
      <c r="BZ153" s="13">
        <f>BY153*VLOOKUP('Données projet'!$B$12,Paramètres!$A$1:$I$89,3,0)*VLOOKUP('Données projet'!$B$12,Paramètres!$A$1:$I$89,5,0)</f>
        <v>259.30386300000049</v>
      </c>
      <c r="CA153" s="13">
        <f t="shared" si="147"/>
        <v>62.573966533236707</v>
      </c>
      <c r="CB153" s="20">
        <f t="shared" si="118"/>
        <v>560.60388643705471</v>
      </c>
      <c r="CC153" s="59">
        <f t="shared" si="119"/>
        <v>853.93721977038808</v>
      </c>
      <c r="CD153" s="59">
        <f ca="1">AVERAGE(OFFSET($CC$3,0,0,'Données projet'!$E$12+1,1))-AVERAGE(OFFSET($H$3,0,0,'Données projet'!$E$12+1,1))</f>
        <v>513.14430745499283</v>
      </c>
      <c r="CE153" s="59">
        <f t="shared" si="148"/>
        <v>324.2490378019823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75.075156810834486</v>
      </c>
      <c r="CL153" s="21">
        <f>EXP(-LN(2)/25)*CL152+(1-EXP(-LN(2)/25))/(LN(2)/25)*Calculateur!CG153*Calculateur!CI153*VLOOKUP('Données projet'!$B$12,Paramètres!$A$1:$I$89,3,0)*0.475*44/12</f>
        <v>19.956963516422267</v>
      </c>
      <c r="CM153" s="21">
        <f>EXP(-LN(2)/2)*CM152+(1-EXP(-LN(2)/2))/(LN(2)/2)*CG153*CJ153*VLOOKUP('Données projet'!$B$12,Paramètres!$A$1:$I$89,3,0)*0.475*44/12</f>
        <v>5.6082398133763363</v>
      </c>
      <c r="CN153" s="22">
        <f t="shared" si="120"/>
        <v>100.64036014063308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-1.1368683772161603E-13</v>
      </c>
      <c r="CU153" s="17">
        <f>CT153*VLOOKUP('Données projet'!$B$13,Paramètres!$A$1:$I$89,3,0)*VLOOKUP('Données projet'!$B$13,Paramètres!$A$1:$I$89,5,0)</f>
        <v>-8.8675733422860506E-14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197.51452239559433</v>
      </c>
      <c r="CZ153" s="59">
        <f t="shared" si="150"/>
        <v>196.65166921588821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5.5419180281275651</v>
      </c>
      <c r="DG153" s="21">
        <f>EXP(-LN(2)/25)*DG152+(1-EXP(-LN(2)/25))/(LN(2)/25)*Calculateur!DB153*Calculateur!DD153*VLOOKUP('Données projet'!$B$13,Paramètres!$A$1:$I$89,3,0)*0.475*44/12</f>
        <v>2.8723651313161276</v>
      </c>
      <c r="DH153" s="21">
        <f>EXP(-LN(2)/2)*DH152+(1-EXP(-LN(2)/2))/(LN(2)/2)*DB153*DE153*VLOOKUP('Données projet'!$B$13,Paramètres!$A$1:$I$89,3,0)*0.475*44/12</f>
        <v>2.5046664905504409E-11</v>
      </c>
      <c r="DI153" s="22">
        <f t="shared" si="123"/>
        <v>8.4142831594687397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>
        <f>DO153*VLOOKUP('Données projet'!$B$14,Paramètres!$A$1:$I$89,3,0)*VLOOKUP('Données projet'!$B$14,Paramètres!$A$1:$I$89,5,0)</f>
        <v>0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239.26156489359892</v>
      </c>
      <c r="DU153" s="59">
        <f t="shared" si="152"/>
        <v>213.97034450798111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3.2956216090971941</v>
      </c>
      <c r="EB153" s="21">
        <f>EXP(-LN(2)/25)*EB152+(1-EXP(-LN(2)/25))/(LN(2)/25)*Calculateur!DW153*Calculateur!DY153*VLOOKUP('Données projet'!$B$14,Paramètres!$A$1:$I$89,3,0)*0.475*44/12</f>
        <v>12.099763541508509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15.395385150605703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7.5191666666666634</v>
      </c>
      <c r="EJ153" s="12">
        <f>IF('Données projet'!$A$192&gt;35,EJ152+EI153-ER152,IF(A153&lt;'Données projet'!$A$192,$EG$205^A153,IF(A153='Données projet'!$A$192,'Données projet'!$B$192,EJ152+EI153-ER152)))</f>
        <v>364.0849999999997</v>
      </c>
      <c r="EK153" s="17">
        <f>EJ153*VLOOKUP('Données projet'!$B$15,Paramètres!$A$1:$I$89,3,0)*VLOOKUP('Données projet'!$B$15,Paramètres!$A$1:$I$89,5,0)</f>
        <v>363.50246399999969</v>
      </c>
      <c r="EL153" s="13">
        <f t="shared" si="153"/>
        <v>84.336654128776331</v>
      </c>
      <c r="EM153" s="20">
        <f t="shared" si="127"/>
        <v>779.98646407428487</v>
      </c>
      <c r="EN153" s="59">
        <f t="shared" si="128"/>
        <v>1073.3197974076181</v>
      </c>
      <c r="EO153" s="59">
        <f ca="1">AVERAGE(OFFSET($EN$3,0,0,'Données projet'!$E$15+1,1))-AVERAGE(OFFSET($H$3,0,0,'Données projet'!$E$15+1,1))</f>
        <v>525.74725170626471</v>
      </c>
      <c r="EP153" s="59">
        <f t="shared" si="154"/>
        <v>259.19103598192197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29.096002840417633</v>
      </c>
      <c r="EW153" s="21">
        <f>EXP(-LN(2)/25)*EW152+(1-EXP(-LN(2)/25))/(LN(2)/25)*Calculateur!ER153*Calculateur!ET153*VLOOKUP('Données projet'!$B$15,Paramètres!$A$1:$I$89,3,0)*0.475*44/12</f>
        <v>19.249245686029653</v>
      </c>
      <c r="EX153" s="21">
        <f>EXP(-LN(2)/2)*EX152+(1-EXP(-LN(2)/2))/(LN(2)/2)*ER153*EU153*VLOOKUP('Données projet'!$B$15,Paramètres!$A$1:$I$89,3,0)*0.475*44/12</f>
        <v>0.72693416204949723</v>
      </c>
      <c r="EY153" s="22">
        <f t="shared" si="129"/>
        <v>49.072182688496781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7.5191666666666634</v>
      </c>
      <c r="N154" s="13">
        <f>IF('Données projet'!$A$36&gt;35,N153+M154-V153,IF(A154&lt;'Données projet'!$A$36,$K$205^A154,IF(A154='Données projet'!$A$36,'Données projet'!$B$36,N153+M154-V153)))</f>
        <v>371.60416666666634</v>
      </c>
      <c r="O154" s="13">
        <f>N154*VLOOKUP('Données projet'!$B$9,Paramètres!$A$1:$I$89,3,0)*VLOOKUP('Données projet'!$B$9,Paramètres!$A$1:$I$89,5,0)</f>
        <v>376.80662499999971</v>
      </c>
      <c r="P154" s="13">
        <f t="shared" si="141"/>
        <v>87.058343208792692</v>
      </c>
      <c r="Q154" s="20">
        <f t="shared" ref="Q154:Q203" si="162">(O154+P154)*0.475*44/12</f>
        <v>807.89815296364668</v>
      </c>
      <c r="R154" s="59">
        <f t="shared" si="109"/>
        <v>1101.2314862969799</v>
      </c>
      <c r="S154" s="59">
        <f ca="1">AVERAGE(OFFSET($R$3,0,0,'Données projet'!$E$9+1,1))-AVERAGE(OFFSET($H$3,0,0,'Données projet'!$E$9+1,1))</f>
        <v>533.26035274112917</v>
      </c>
      <c r="T154" s="59">
        <f t="shared" si="142"/>
        <v>262.58149402282521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28.97115809608152</v>
      </c>
      <c r="AA154" s="21">
        <f>EXP(-LN(2)/25)*AA153+(1-EXP(-LN(2)/25))/(LN(2)/25)*Calculateur!V154*Calculateur!X154*VLOOKUP('Données projet'!$B$9,Paramètres!$A$1:$I$89,3,0)*0.475*44/12</f>
        <v>19.015418957509954</v>
      </c>
      <c r="AB154" s="21">
        <f>EXP(-LN(2)/2)*AB153+(1-EXP(-LN(2)/2))/(LN(2)/2)*V154*Y154*VLOOKUP('Données projet'!$B$9,Paramètres!$A$1:$I$89,3,0)*0.475*44/12</f>
        <v>0.52205163914044361</v>
      </c>
      <c r="AC154" s="22">
        <f t="shared" ref="AC154:AC203" si="163">SUM(Z154:AB154)</f>
        <v>48.508628692731918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4.6025000000000063</v>
      </c>
      <c r="AI154" s="13">
        <f>IF('Données projet'!$A$62&gt;35,AI153+AH154-AQ153,IF(A154&lt;'Données projet'!$A$62,$AF$205^A154,IF(A154='Données projet'!$A$62,'Données projet'!$B$62,AI153+AH154-AQ153)))</f>
        <v>277.09500000000054</v>
      </c>
      <c r="AJ154" s="13">
        <f>AI154*VLOOKUP('Données projet'!$B$10,Paramètres!$A$1:$I$89,3,0)*VLOOKUP('Données projet'!$B$10,Paramètres!$A$1:$I$89,5,0)</f>
        <v>250.71555600000048</v>
      </c>
      <c r="AK154" s="13">
        <f t="shared" ref="AK154:AK203" si="164">EXP(-1.0587+0.8836*LN(AJ154)+0.284)</f>
        <v>60.739140902774786</v>
      </c>
      <c r="AL154" s="20">
        <f t="shared" ref="AL154:AL203" si="165">(AJ154+AK154)*0.475*44/12</f>
        <v>542.45026377233353</v>
      </c>
      <c r="AM154" s="59">
        <f t="shared" si="113"/>
        <v>835.78359710566679</v>
      </c>
      <c r="AN154" s="59">
        <f ca="1">AVERAGE(OFFSET($AM$3,0,0,'Données projet'!$E$10+1,1))-AVERAGE(OFFSET($H$3,0,0,'Données projet'!$E$10+1,1))</f>
        <v>482.62991869403385</v>
      </c>
      <c r="AO154" s="59">
        <f t="shared" si="144"/>
        <v>310.43914804089906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69.983160148716294</v>
      </c>
      <c r="AV154" s="21">
        <f>EXP(-LN(2)/25)*AV153+(1-EXP(-LN(2)/25))/(LN(2)/25)*Calculateur!AQ154*Calculateur!AS154*VLOOKUP('Données projet'!$B$10,Paramètres!$A$1:$I$89,3,0)*0.475*44/12</f>
        <v>18.456588186480761</v>
      </c>
      <c r="AW154" s="21">
        <f>EXP(-LN(2)/2)*AW153+(1-EXP(-LN(2)/2))/(LN(2)/2)*AQ154*AT154*VLOOKUP('Données projet'!$B$10,Paramètres!$A$1:$I$89,3,0)*0.475*44/12</f>
        <v>3.7705936942362221</v>
      </c>
      <c r="AX154" s="21">
        <f t="shared" ref="AX154:AX203" si="166">SUM(AU154:AW154)</f>
        <v>92.210342029433278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384.34044781465661</v>
      </c>
      <c r="BJ154" s="59">
        <f t="shared" si="146"/>
        <v>374.99493809709708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13.989774799805728</v>
      </c>
      <c r="BQ154" s="21">
        <f>EXP(-LN(2)/25)*BQ153+(1-EXP(-LN(2)/25))/(LN(2)/25)*Calculateur!BL154*Calculateur!BN154*VLOOKUP('Données projet'!$B$11,Paramètres!$A$1:$I$89,3,0)*0.475*44/12</f>
        <v>7.8706575604688096</v>
      </c>
      <c r="BR154" s="21">
        <f>EXP(-LN(2)/2)*BR153+(1-EXP(-LN(2)/2))/(LN(2)/2)*BL154*BO154*VLOOKUP('Données projet'!$B$11,Paramètres!$A$1:$I$89,3,0)*0.475*44/12</f>
        <v>1.4105418030455162E-9</v>
      </c>
      <c r="BS154" s="22">
        <f t="shared" ref="BS154:BS203" si="169">SUM(BP154:BR154)</f>
        <v>21.860432361685078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4.6025000000000063</v>
      </c>
      <c r="BY154" s="12">
        <f>IF('Données projet'!$A$114&gt;35,BY153+BX154-CG153,IF(A154&lt;'Données projet'!$A$114,$BV$205^A154,IF(A154='Données projet'!$A$114,'Données projet'!$B$114,BY153+BX154-CG153)))</f>
        <v>277.09500000000054</v>
      </c>
      <c r="BZ154" s="13">
        <f>BY154*VLOOKUP('Données projet'!$B$12,Paramètres!$A$1:$I$89,3,0)*VLOOKUP('Données projet'!$B$12,Paramètres!$A$1:$I$89,5,0)</f>
        <v>263.68360200000052</v>
      </c>
      <c r="CA154" s="13">
        <f t="shared" ref="CA154:CA203" si="170">EXP(-1.0587+0.8836*LN(BZ154)+0.284)</f>
        <v>63.506928992382356</v>
      </c>
      <c r="CB154" s="20">
        <f t="shared" ref="CB154:CB203" si="171">(BZ154+CA154)*0.475*44/12</f>
        <v>569.85684147840027</v>
      </c>
      <c r="CC154" s="59">
        <f t="shared" si="119"/>
        <v>863.19017481173364</v>
      </c>
      <c r="CD154" s="59">
        <f ca="1">AVERAGE(OFFSET($CC$3,0,0,'Données projet'!$E$12+1,1))-AVERAGE(OFFSET($H$3,0,0,'Données projet'!$E$12+1,1))</f>
        <v>513.14430745499283</v>
      </c>
      <c r="CE154" s="59">
        <f t="shared" si="148"/>
        <v>324.2490378019823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73.602978777098159</v>
      </c>
      <c r="CL154" s="21">
        <f>EXP(-LN(2)/25)*CL153+(1-EXP(-LN(2)/25))/(LN(2)/25)*Calculateur!CG154*Calculateur!CI154*VLOOKUP('Données projet'!$B$12,Paramètres!$A$1:$I$89,3,0)*0.475*44/12</f>
        <v>19.4112392995746</v>
      </c>
      <c r="CM154" s="21">
        <f>EXP(-LN(2)/2)*CM153+(1-EXP(-LN(2)/2))/(LN(2)/2)*CG154*CJ154*VLOOKUP('Données projet'!$B$12,Paramètres!$A$1:$I$89,3,0)*0.475*44/12</f>
        <v>3.9656244025587855</v>
      </c>
      <c r="CN154" s="22">
        <f t="shared" ref="CN154:CN203" si="172">SUM(CK154:CM154)</f>
        <v>96.97984247923155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-1.1368683772161603E-13</v>
      </c>
      <c r="CU154" s="17">
        <f>CT154*VLOOKUP('Données projet'!$B$13,Paramètres!$A$1:$I$89,3,0)*VLOOKUP('Données projet'!$B$13,Paramètres!$A$1:$I$89,5,0)</f>
        <v>-8.8675733422860506E-14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197.51452239559433</v>
      </c>
      <c r="CZ154" s="59">
        <f t="shared" si="150"/>
        <v>196.65166921588821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5.4332443958322099</v>
      </c>
      <c r="DG154" s="21">
        <f>EXP(-LN(2)/25)*DG153+(1-EXP(-LN(2)/25))/(LN(2)/25)*Calculateur!DB154*Calculateur!DD154*VLOOKUP('Données projet'!$B$13,Paramètres!$A$1:$I$89,3,0)*0.475*44/12</f>
        <v>2.7938201557491706</v>
      </c>
      <c r="DH154" s="21">
        <f>EXP(-LN(2)/2)*DH153+(1-EXP(-LN(2)/2))/(LN(2)/2)*DB154*DE154*VLOOKUP('Données projet'!$B$13,Paramètres!$A$1:$I$89,3,0)*0.475*44/12</f>
        <v>1.7710666600789285E-11</v>
      </c>
      <c r="DI154" s="22">
        <f t="shared" ref="DI154:DI203" si="175">SUM(DF154:DH154)</f>
        <v>8.2270645515990903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>
        <f>DO154*VLOOKUP('Données projet'!$B$14,Paramètres!$A$1:$I$89,3,0)*VLOOKUP('Données projet'!$B$14,Paramètres!$A$1:$I$89,5,0)</f>
        <v>0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239.26156489359892</v>
      </c>
      <c r="DU154" s="59">
        <f t="shared" si="152"/>
        <v>213.97034450798111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3.2309964794734958</v>
      </c>
      <c r="EB154" s="21">
        <f>EXP(-LN(2)/25)*EB153+(1-EXP(-LN(2)/25))/(LN(2)/25)*Calculateur!DW154*Calculateur!DY154*VLOOKUP('Données projet'!$B$14,Paramètres!$A$1:$I$89,3,0)*0.475*44/12</f>
        <v>11.768894871167047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14.999891350640542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7.5191666666666634</v>
      </c>
      <c r="EJ154" s="12">
        <f>IF('Données projet'!$A$192&gt;35,EJ153+EI154-ER153,IF(A154&lt;'Données projet'!$A$192,$EG$205^A154,IF(A154='Données projet'!$A$192,'Données projet'!$B$192,EJ153+EI154-ER153)))</f>
        <v>371.60416666666634</v>
      </c>
      <c r="EK154" s="17">
        <f>EJ154*VLOOKUP('Données projet'!$B$15,Paramètres!$A$1:$I$89,3,0)*VLOOKUP('Données projet'!$B$15,Paramètres!$A$1:$I$89,5,0)</f>
        <v>371.00959999999969</v>
      </c>
      <c r="EL154" s="13">
        <f t="shared" ref="EL154:EL203" si="179">EXP(-1.0587+0.8836*LN(EK154)+0.284)</f>
        <v>85.873819718472461</v>
      </c>
      <c r="EM154" s="20">
        <f t="shared" ref="EM154:EM203" si="180">(EK154+EL154)*0.475*44/12</f>
        <v>795.73862267633888</v>
      </c>
      <c r="EN154" s="59">
        <f t="shared" si="128"/>
        <v>1089.0719560096722</v>
      </c>
      <c r="EO154" s="59">
        <f ca="1">AVERAGE(OFFSET($EN$3,0,0,'Données projet'!$E$15+1,1))-AVERAGE(OFFSET($H$3,0,0,'Données projet'!$E$15+1,1))</f>
        <v>525.74725170626471</v>
      </c>
      <c r="EP154" s="59">
        <f t="shared" si="154"/>
        <v>259.19103598192197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28.525447971526425</v>
      </c>
      <c r="EW154" s="21">
        <f>EXP(-LN(2)/25)*EW153+(1-EXP(-LN(2)/25))/(LN(2)/25)*Calculateur!ER154*Calculateur!ET154*VLOOKUP('Données projet'!$B$15,Paramètres!$A$1:$I$89,3,0)*0.475*44/12</f>
        <v>18.722874050471336</v>
      </c>
      <c r="EX154" s="21">
        <f>EXP(-LN(2)/2)*EX153+(1-EXP(-LN(2)/2))/(LN(2)/2)*ER154*EU154*VLOOKUP('Données projet'!$B$15,Paramètres!$A$1:$I$89,3,0)*0.475*44/12</f>
        <v>0.51402007546136019</v>
      </c>
      <c r="EY154" s="22">
        <f t="shared" ref="EY154:EY203" si="181">SUM(EV154:EX154)</f>
        <v>47.762342097459126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7.5191666666666634</v>
      </c>
      <c r="N155" s="13">
        <f>IF('Données projet'!$A$36&gt;35,N154+M155-V154,IF(A155&lt;'Données projet'!$A$36,$K$205^A155,IF(A155='Données projet'!$A$36,'Données projet'!$B$36,N154+M155-V154)))</f>
        <v>379.12333333333299</v>
      </c>
      <c r="O155" s="13">
        <f>N155*VLOOKUP('Données projet'!$B$9,Paramètres!$A$1:$I$89,3,0)*VLOOKUP('Données projet'!$B$9,Paramètres!$A$1:$I$89,5,0)</f>
        <v>384.43105999999966</v>
      </c>
      <c r="P155" s="13">
        <f t="shared" si="141"/>
        <v>88.613045766074748</v>
      </c>
      <c r="Q155" s="20">
        <f t="shared" si="162"/>
        <v>823.88515087591293</v>
      </c>
      <c r="R155" s="59">
        <f t="shared" si="109"/>
        <v>1117.2184842092463</v>
      </c>
      <c r="S155" s="59">
        <f ca="1">AVERAGE(OFFSET($R$3,0,0,'Données projet'!$E$9+1,1))-AVERAGE(OFFSET($H$3,0,0,'Données projet'!$E$9+1,1))</f>
        <v>533.26035274112917</v>
      </c>
      <c r="T155" s="59">
        <f t="shared" si="142"/>
        <v>262.58149402282521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28.403051356478969</v>
      </c>
      <c r="AA155" s="21">
        <f>EXP(-LN(2)/25)*AA154+(1-EXP(-LN(2)/25))/(LN(2)/25)*Calculateur!V155*Calculateur!X155*VLOOKUP('Données projet'!$B$9,Paramètres!$A$1:$I$89,3,0)*0.475*44/12</f>
        <v>18.495441326139421</v>
      </c>
      <c r="AB155" s="21">
        <f>EXP(-LN(2)/2)*AB154+(1-EXP(-LN(2)/2))/(LN(2)/2)*V155*Y155*VLOOKUP('Données projet'!$B$9,Paramètres!$A$1:$I$89,3,0)*0.475*44/12</f>
        <v>0.36914625416576013</v>
      </c>
      <c r="AC155" s="22">
        <f t="shared" si="163"/>
        <v>47.267638936784152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4.6025000000000063</v>
      </c>
      <c r="AI155" s="13">
        <f>IF('Données projet'!$A$62&gt;35,AI154+AH155-AQ154,IF(A155&lt;'Données projet'!$A$62,$AF$205^A155,IF(A155='Données projet'!$A$62,'Données projet'!$B$62,AI154+AH155-AQ154)))</f>
        <v>281.69750000000056</v>
      </c>
      <c r="AJ155" s="13">
        <f>AI155*VLOOKUP('Données projet'!$B$10,Paramètres!$A$1:$I$89,3,0)*VLOOKUP('Données projet'!$B$10,Paramètres!$A$1:$I$89,5,0)</f>
        <v>254.87989800000048</v>
      </c>
      <c r="AK155" s="13">
        <f t="shared" si="164"/>
        <v>61.629718985583246</v>
      </c>
      <c r="AL155" s="20">
        <f t="shared" si="165"/>
        <v>551.25424958322492</v>
      </c>
      <c r="AM155" s="59">
        <f t="shared" si="113"/>
        <v>844.58758291655818</v>
      </c>
      <c r="AN155" s="59">
        <f ca="1">AVERAGE(OFFSET($AM$3,0,0,'Données projet'!$E$10+1,1))-AVERAGE(OFFSET($H$3,0,0,'Données projet'!$E$10+1,1))</f>
        <v>482.62991869403385</v>
      </c>
      <c r="AO155" s="59">
        <f t="shared" si="144"/>
        <v>310.43914804089906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68.610833063712818</v>
      </c>
      <c r="AV155" s="21">
        <f>EXP(-LN(2)/25)*AV154+(1-EXP(-LN(2)/25))/(LN(2)/25)*Calculateur!AQ155*Calculateur!AS155*VLOOKUP('Données projet'!$B$10,Paramètres!$A$1:$I$89,3,0)*0.475*44/12</f>
        <v>17.951891811931656</v>
      </c>
      <c r="AW155" s="21">
        <f>EXP(-LN(2)/2)*AW154+(1-EXP(-LN(2)/2))/(LN(2)/2)*AQ155*AT155*VLOOKUP('Données projet'!$B$10,Paramètres!$A$1:$I$89,3,0)*0.475*44/12</f>
        <v>2.6662123702936684</v>
      </c>
      <c r="AX155" s="21">
        <f t="shared" si="166"/>
        <v>89.228937245938141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384.34044781465661</v>
      </c>
      <c r="BJ155" s="59">
        <f t="shared" si="146"/>
        <v>374.99493809709708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13.715443848901609</v>
      </c>
      <c r="BQ155" s="21">
        <f>EXP(-LN(2)/25)*BQ154+(1-EXP(-LN(2)/25))/(LN(2)/25)*Calculateur!BL155*Calculateur!BN155*VLOOKUP('Données projet'!$B$11,Paramètres!$A$1:$I$89,3,0)*0.475*44/12</f>
        <v>7.6554340155778977</v>
      </c>
      <c r="BR155" s="21">
        <f>EXP(-LN(2)/2)*BR154+(1-EXP(-LN(2)/2))/(LN(2)/2)*BL155*BO155*VLOOKUP('Données projet'!$B$11,Paramètres!$A$1:$I$89,3,0)*0.475*44/12</f>
        <v>9.9740367408058402E-10</v>
      </c>
      <c r="BS155" s="22">
        <f t="shared" si="169"/>
        <v>21.37087786547691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4.6025000000000063</v>
      </c>
      <c r="BY155" s="12">
        <f>IF('Données projet'!$A$114&gt;35,BY154+BX155-CG154,IF(A155&lt;'Données projet'!$A$114,$BV$205^A155,IF(A155='Données projet'!$A$114,'Données projet'!$B$114,BY154+BX155-CG154)))</f>
        <v>281.69750000000056</v>
      </c>
      <c r="BZ155" s="13">
        <f>BY155*VLOOKUP('Données projet'!$B$12,Paramètres!$A$1:$I$89,3,0)*VLOOKUP('Données projet'!$B$12,Paramètres!$A$1:$I$89,5,0)</f>
        <v>268.06334100000055</v>
      </c>
      <c r="CA155" s="13">
        <f t="shared" si="170"/>
        <v>64.43808933193371</v>
      </c>
      <c r="CB155" s="20">
        <f t="shared" si="171"/>
        <v>579.10665782811884</v>
      </c>
      <c r="CC155" s="59">
        <f t="shared" si="119"/>
        <v>872.4399911614521</v>
      </c>
      <c r="CD155" s="59">
        <f ca="1">AVERAGE(OFFSET($CC$3,0,0,'Données projet'!$E$12+1,1))-AVERAGE(OFFSET($H$3,0,0,'Données projet'!$E$12+1,1))</f>
        <v>513.14430745499283</v>
      </c>
      <c r="CE155" s="59">
        <f t="shared" si="148"/>
        <v>324.2490378019823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72.159669256663463</v>
      </c>
      <c r="CL155" s="21">
        <f>EXP(-LN(2)/25)*CL154+(1-EXP(-LN(2)/25))/(LN(2)/25)*Calculateur!CG155*Calculateur!CI155*VLOOKUP('Données projet'!$B$12,Paramètres!$A$1:$I$89,3,0)*0.475*44/12</f>
        <v>18.880437940135021</v>
      </c>
      <c r="CM155" s="21">
        <f>EXP(-LN(2)/2)*CM154+(1-EXP(-LN(2)/2))/(LN(2)/2)*CG155*CJ155*VLOOKUP('Données projet'!$B$12,Paramètres!$A$1:$I$89,3,0)*0.475*44/12</f>
        <v>2.8041199066881686</v>
      </c>
      <c r="CN155" s="22">
        <f t="shared" si="172"/>
        <v>93.844227103486659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-1.1368683772161603E-13</v>
      </c>
      <c r="CU155" s="17">
        <f>CT155*VLOOKUP('Données projet'!$B$13,Paramètres!$A$1:$I$89,3,0)*VLOOKUP('Données projet'!$B$13,Paramètres!$A$1:$I$89,5,0)</f>
        <v>-8.8675733422860506E-14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197.51452239559433</v>
      </c>
      <c r="CZ155" s="59">
        <f t="shared" si="150"/>
        <v>196.65166921588821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5.3267017871817961</v>
      </c>
      <c r="DG155" s="21">
        <f>EXP(-LN(2)/25)*DG154+(1-EXP(-LN(2)/25))/(LN(2)/25)*Calculateur!DB155*Calculateur!DD155*VLOOKUP('Données projet'!$B$13,Paramètres!$A$1:$I$89,3,0)*0.475*44/12</f>
        <v>2.7174229966695931</v>
      </c>
      <c r="DH155" s="21">
        <f>EXP(-LN(2)/2)*DH154+(1-EXP(-LN(2)/2))/(LN(2)/2)*DB155*DE155*VLOOKUP('Données projet'!$B$13,Paramètres!$A$1:$I$89,3,0)*0.475*44/12</f>
        <v>1.2523332452752205E-11</v>
      </c>
      <c r="DI155" s="22">
        <f t="shared" si="175"/>
        <v>8.0441247838639125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>
        <f>DO155*VLOOKUP('Données projet'!$B$14,Paramètres!$A$1:$I$89,3,0)*VLOOKUP('Données projet'!$B$14,Paramètres!$A$1:$I$89,5,0)</f>
        <v>0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239.26156489359892</v>
      </c>
      <c r="DU155" s="59">
        <f t="shared" si="152"/>
        <v>213.97034450798111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3.1676386092242814</v>
      </c>
      <c r="EB155" s="21">
        <f>EXP(-LN(2)/25)*EB154+(1-EXP(-LN(2)/25))/(LN(2)/25)*Calculateur!DW155*Calculateur!DY155*VLOOKUP('Données projet'!$B$14,Paramètres!$A$1:$I$89,3,0)*0.475*44/12</f>
        <v>11.447073822015701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14.614712431239983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7.5191666666666634</v>
      </c>
      <c r="EJ155" s="12">
        <f>IF('Données projet'!$A$192&gt;35,EJ154+EI155-ER154,IF(A155&lt;'Données projet'!$A$192,$EG$205^A155,IF(A155='Données projet'!$A$192,'Données projet'!$B$192,EJ154+EI155-ER154)))</f>
        <v>379.12333333333299</v>
      </c>
      <c r="EK155" s="17">
        <f>EJ155*VLOOKUP('Données projet'!$B$15,Paramètres!$A$1:$I$89,3,0)*VLOOKUP('Données projet'!$B$15,Paramètres!$A$1:$I$89,5,0)</f>
        <v>378.5167359999997</v>
      </c>
      <c r="EL155" s="13">
        <f t="shared" si="179"/>
        <v>87.407368855741154</v>
      </c>
      <c r="EM155" s="20">
        <f t="shared" si="180"/>
        <v>811.48448262374859</v>
      </c>
      <c r="EN155" s="59">
        <f t="shared" si="128"/>
        <v>1104.8178159570818</v>
      </c>
      <c r="EO155" s="59">
        <f ca="1">AVERAGE(OFFSET($EN$3,0,0,'Données projet'!$E$15+1,1))-AVERAGE(OFFSET($H$3,0,0,'Données projet'!$E$15+1,1))</f>
        <v>525.74725170626471</v>
      </c>
      <c r="EP155" s="59">
        <f t="shared" si="154"/>
        <v>259.19103598192197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27.966081335610067</v>
      </c>
      <c r="EW155" s="21">
        <f>EXP(-LN(2)/25)*EW154+(1-EXP(-LN(2)/25))/(LN(2)/25)*Calculateur!ER155*Calculateur!ET155*VLOOKUP('Données projet'!$B$15,Paramètres!$A$1:$I$89,3,0)*0.475*44/12</f>
        <v>18.210896074968044</v>
      </c>
      <c r="EX155" s="21">
        <f>EXP(-LN(2)/2)*EX154+(1-EXP(-LN(2)/2))/(LN(2)/2)*ER155*EU155*VLOOKUP('Données projet'!$B$15,Paramètres!$A$1:$I$89,3,0)*0.475*44/12</f>
        <v>0.36346708102474867</v>
      </c>
      <c r="EY155" s="22">
        <f t="shared" si="181"/>
        <v>46.540444491602862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7.5191666666666634</v>
      </c>
      <c r="N156" s="13">
        <f>IF('Données projet'!$A$36&gt;35,N155+M156-V155,IF(A156&lt;'Données projet'!$A$36,$K$205^A156,IF(A156='Données projet'!$A$36,'Données projet'!$B$36,N155+M156-V155)))</f>
        <v>386.64249999999964</v>
      </c>
      <c r="O156" s="13">
        <f>N156*VLOOKUP('Données projet'!$B$9,Paramètres!$A$1:$I$89,3,0)*VLOOKUP('Données projet'!$B$9,Paramètres!$A$1:$I$89,5,0)</f>
        <v>392.05549499999967</v>
      </c>
      <c r="P156" s="13">
        <f t="shared" si="141"/>
        <v>90.164163082094575</v>
      </c>
      <c r="Q156" s="20">
        <f t="shared" si="162"/>
        <v>839.8659044929808</v>
      </c>
      <c r="R156" s="59">
        <f t="shared" si="109"/>
        <v>1133.1992378263142</v>
      </c>
      <c r="S156" s="59">
        <f ca="1">AVERAGE(OFFSET($R$3,0,0,'Données projet'!$E$9+1,1))-AVERAGE(OFFSET($H$3,0,0,'Données projet'!$E$9+1,1))</f>
        <v>533.26035274112917</v>
      </c>
      <c r="T156" s="59">
        <f t="shared" si="142"/>
        <v>262.58149402282521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27.846084843529127</v>
      </c>
      <c r="AA156" s="21">
        <f>EXP(-LN(2)/25)*AA155+(1-EXP(-LN(2)/25))/(LN(2)/25)*Calculateur!V156*Calculateur!X156*VLOOKUP('Données projet'!$B$9,Paramètres!$A$1:$I$89,3,0)*0.475*44/12</f>
        <v>17.989682510443149</v>
      </c>
      <c r="AB156" s="21">
        <f>EXP(-LN(2)/2)*AB155+(1-EXP(-LN(2)/2))/(LN(2)/2)*V156*Y156*VLOOKUP('Données projet'!$B$9,Paramètres!$A$1:$I$89,3,0)*0.475*44/12</f>
        <v>0.26102581957022181</v>
      </c>
      <c r="AC156" s="22">
        <f t="shared" si="163"/>
        <v>46.096793173542494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286.3</v>
      </c>
      <c r="AG156" s="12">
        <f>VLOOKUP(A156,'Données projet'!$A$61:$I$81,9,0)</f>
        <v>4.6025000000000063</v>
      </c>
      <c r="AH156" s="12">
        <f t="array" ref="AH156">INDEX(AG:AG,MIN(IF(ISNUMBER(AG156:AG352),ROW(AG156:AG352),"")))</f>
        <v>4.6025000000000063</v>
      </c>
      <c r="AI156" s="13">
        <f>IF('Données projet'!$A$62&gt;35,AI155+AH156-AQ155,IF(A156&lt;'Données projet'!$A$62,$AF$205^A156,IF(A156='Données projet'!$A$62,'Données projet'!$B$62,AI155+AH156-AQ155)))</f>
        <v>286.30000000000058</v>
      </c>
      <c r="AJ156" s="13">
        <f>AI156*VLOOKUP('Données projet'!$B$10,Paramètres!$A$1:$I$89,3,0)*VLOOKUP('Données projet'!$B$10,Paramètres!$A$1:$I$89,5,0)</f>
        <v>259.04424000000051</v>
      </c>
      <c r="AK156" s="13">
        <f t="shared" si="164"/>
        <v>62.518604901036426</v>
      </c>
      <c r="AL156" s="20">
        <f t="shared" si="165"/>
        <v>560.0552882026393</v>
      </c>
      <c r="AM156" s="59">
        <f t="shared" si="113"/>
        <v>853.38862153597256</v>
      </c>
      <c r="AN156" s="59">
        <f ca="1">AVERAGE(OFFSET($AM$3,0,0,'Données projet'!$E$10+1,1))-AVERAGE(OFFSET($H$3,0,0,'Données projet'!$E$10+1,1))</f>
        <v>482.62991869403385</v>
      </c>
      <c r="AO156" s="59">
        <f t="shared" si="144"/>
        <v>310.43914804089906</v>
      </c>
      <c r="AP156" s="15">
        <f>IF(ISNA(VLOOKUP(A156,'Données projet'!$A$61:$I$81,3,0)),0,VLOOKUP(A156,'Données projet'!$A$61:$I$81,3,0))</f>
        <v>13</v>
      </c>
      <c r="AQ156" s="15">
        <f>IF(ISNA(VLOOKUP(A156,'Données projet'!$A$61:$I$81,4,0)),0,VLOOKUP(A156,'Données projet'!$A$61:$I$81,4,0))</f>
        <v>102.89000000000001</v>
      </c>
      <c r="AR156" s="16">
        <f>IF(ISNA(VLOOKUP(A156,'Données projet'!$A$61:$I$81,5,0)),0%,VLOOKUP(A156,'Données projet'!$A$61:$I$81,5,0)*VLOOKUP('Données projet'!$B$10,Paramètres!$A$1:$I$89,7,0))</f>
        <v>0.19350000000000001</v>
      </c>
      <c r="AS156" s="16">
        <f>IF(ISNA(VLOOKUP(A156,'Données projet'!$A$61:$I$81,6,0)),0%,VLOOKUP(A156,'Données projet'!$A$61:$I$81,6,0)*VLOOKUP('Données projet'!$B$10,Paramètres!$A$1:$I$89,7,0))</f>
        <v>2.1500000000000002E-2</v>
      </c>
      <c r="AT156" s="16">
        <f>IF(ISNA(VLOOKUP(A156,'Données projet'!$A$61:$I$81,7,0)),0%,VLOOKUP(A156,'Données projet'!$A$61:$I$81,7,0))</f>
        <v>0.05</v>
      </c>
      <c r="AU156" s="21">
        <f>EXP(-LN(2)/35)*AU155+(1-EXP(-LN(2)/35))/(LN(2)/35)*AQ156*AR156*VLOOKUP('Données projet'!$B$10,Paramètres!$A$1:$I$89,3,0)*0.475*44/12</f>
        <v>87.179202619655996</v>
      </c>
      <c r="AV156" s="21">
        <f>EXP(-LN(2)/25)*AV155+(1-EXP(-LN(2)/25))/(LN(2)/25)*Calculateur!AQ156*Calculateur!AS156*VLOOKUP('Données projet'!$B$10,Paramètres!$A$1:$I$89,3,0)*0.475*44/12</f>
        <v>19.664927272957744</v>
      </c>
      <c r="AW156" s="21">
        <f>EXP(-LN(2)/2)*AW155+(1-EXP(-LN(2)/2))/(LN(2)/2)*AQ156*AT156*VLOOKUP('Données projet'!$B$10,Paramètres!$A$1:$I$89,3,0)*0.475*44/12</f>
        <v>6.2771727143052889</v>
      </c>
      <c r="AX156" s="21">
        <f t="shared" si="166"/>
        <v>113.12130260691903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384.34044781465661</v>
      </c>
      <c r="BJ156" s="59">
        <f t="shared" si="146"/>
        <v>374.99493809709708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13.446492360619363</v>
      </c>
      <c r="BQ156" s="21">
        <f>EXP(-LN(2)/25)*BQ155+(1-EXP(-LN(2)/25))/(LN(2)/25)*Calculateur!BL156*Calculateur!BN156*VLOOKUP('Données projet'!$B$11,Paramètres!$A$1:$I$89,3,0)*0.475*44/12</f>
        <v>7.4460957698401415</v>
      </c>
      <c r="BR156" s="21">
        <f>EXP(-LN(2)/2)*BR155+(1-EXP(-LN(2)/2))/(LN(2)/2)*BL156*BO156*VLOOKUP('Données projet'!$B$11,Paramètres!$A$1:$I$89,3,0)*0.475*44/12</f>
        <v>7.052709015227581E-10</v>
      </c>
      <c r="BS156" s="22">
        <f t="shared" si="169"/>
        <v>20.892588131164775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>
        <f>VLOOKUP(A156,'Données projet'!$A$113:$I$133,2,0)</f>
        <v>286.3</v>
      </c>
      <c r="BW156" s="12">
        <f>VLOOKUP(A156,'Données projet'!$A$113:$I$133,9,0)</f>
        <v>4.6025000000000063</v>
      </c>
      <c r="BX156" s="12">
        <f t="array" ref="BX156">INDEX(BW:BW,MIN(IF(ISNUMBER(BW156:BW352),ROW(BW156:BW352),"")))</f>
        <v>4.6025000000000063</v>
      </c>
      <c r="BY156" s="12">
        <f>IF('Données projet'!$A$114&gt;35,BY155+BX156-CG155,IF(A156&lt;'Données projet'!$A$114,$BV$205^A156,IF(A156='Données projet'!$A$114,'Données projet'!$B$114,BY155+BX156-CG155)))</f>
        <v>286.30000000000058</v>
      </c>
      <c r="BZ156" s="13">
        <f>BY156*VLOOKUP('Données projet'!$B$12,Paramètres!$A$1:$I$89,3,0)*VLOOKUP('Données projet'!$B$12,Paramètres!$A$1:$I$89,5,0)</f>
        <v>272.44308000000052</v>
      </c>
      <c r="CA156" s="13">
        <f t="shared" si="170"/>
        <v>65.367480394697907</v>
      </c>
      <c r="CB156" s="20">
        <f t="shared" si="171"/>
        <v>588.35339268743303</v>
      </c>
      <c r="CC156" s="59">
        <f t="shared" si="119"/>
        <v>881.6867260207664</v>
      </c>
      <c r="CD156" s="59">
        <f ca="1">AVERAGE(OFFSET($CC$3,0,0,'Données projet'!$E$12+1,1))-AVERAGE(OFFSET($H$3,0,0,'Données projet'!$E$12+1,1))</f>
        <v>513.14430745499283</v>
      </c>
      <c r="CE156" s="59">
        <f t="shared" si="148"/>
        <v>324.2490378019823</v>
      </c>
      <c r="CF156" s="15">
        <f>IF(ISNA(VLOOKUP(A156,'Données projet'!$A$113:$I$133,3,0)),0,VLOOKUP(A156,'Données projet'!$A$113:$I$133,3,0))</f>
        <v>13</v>
      </c>
      <c r="CG156" s="15">
        <f>IF(ISNA(VLOOKUP(A156,'Données projet'!$A$113:$I$133,4,0)),0,VLOOKUP(A156,'Données projet'!$A$113:$I$133,4,0))</f>
        <v>102.89000000000001</v>
      </c>
      <c r="CH156" s="16">
        <f>IF(ISNA(VLOOKUP(A156,'Données projet'!$A$113:$I$133,5,0)),0%,VLOOKUP(A156,'Données projet'!$A$113:$I$133,5,0)*VLOOKUP('Données projet'!$B$12,Paramètres!$A$1:$I$89,7,0))</f>
        <v>0.19350000000000001</v>
      </c>
      <c r="CI156" s="16">
        <f>IF(ISNA(VLOOKUP(A156,'Données projet'!$A$113:$I$133,6,0)),0%,VLOOKUP(A156,'Données projet'!$A$113:$I$133,6,0)*VLOOKUP('Données projet'!$B$12,Paramètres!$A$1:$I$89,7,0))</f>
        <v>2.1500000000000002E-2</v>
      </c>
      <c r="CJ156" s="16">
        <f>IF(ISNA(VLOOKUP(A156,'Données projet'!$A$113:$I$133,7,0)),0%,VLOOKUP(A156,'Données projet'!$A$113:$I$133,7,0))</f>
        <v>0.05</v>
      </c>
      <c r="CK156" s="21">
        <f>EXP(-LN(2)/35)*CK155+(1-EXP(-LN(2)/35))/(LN(2)/35)*CG156*CH156*VLOOKUP('Données projet'!$B$12,Paramètres!$A$1:$I$89,3,0)*0.475*44/12</f>
        <v>91.688471720672666</v>
      </c>
      <c r="CL156" s="21">
        <f>EXP(-LN(2)/25)*CL155+(1-EXP(-LN(2)/25))/(LN(2)/25)*Calculateur!CG156*Calculateur!CI156*VLOOKUP('Données projet'!$B$12,Paramètres!$A$1:$I$89,3,0)*0.475*44/12</f>
        <v>20.682078683627978</v>
      </c>
      <c r="CM156" s="21">
        <f>EXP(-LN(2)/2)*CM155+(1-EXP(-LN(2)/2))/(LN(2)/2)*CG156*CJ156*VLOOKUP('Données projet'!$B$12,Paramètres!$A$1:$I$89,3,0)*0.475*44/12</f>
        <v>6.6018540615969421</v>
      </c>
      <c r="CN156" s="22">
        <f t="shared" si="172"/>
        <v>118.97240446589758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-1.1368683772161603E-13</v>
      </c>
      <c r="CU156" s="17">
        <f>CT156*VLOOKUP('Données projet'!$B$13,Paramètres!$A$1:$I$89,3,0)*VLOOKUP('Données projet'!$B$13,Paramètres!$A$1:$I$89,5,0)</f>
        <v>-8.8675733422860506E-14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197.51452239559433</v>
      </c>
      <c r="CZ156" s="59">
        <f t="shared" si="150"/>
        <v>196.65166921588821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5.2222484141024426</v>
      </c>
      <c r="DG156" s="21">
        <f>EXP(-LN(2)/25)*DG155+(1-EXP(-LN(2)/25))/(LN(2)/25)*Calculateur!DB156*Calculateur!DD156*VLOOKUP('Données projet'!$B$13,Paramètres!$A$1:$I$89,3,0)*0.475*44/12</f>
        <v>2.6431149219225984</v>
      </c>
      <c r="DH156" s="21">
        <f>EXP(-LN(2)/2)*DH155+(1-EXP(-LN(2)/2))/(LN(2)/2)*DB156*DE156*VLOOKUP('Données projet'!$B$13,Paramètres!$A$1:$I$89,3,0)*0.475*44/12</f>
        <v>8.8553333003946426E-12</v>
      </c>
      <c r="DI156" s="22">
        <f t="shared" si="175"/>
        <v>7.8653633360338961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>
        <f>DO156*VLOOKUP('Données projet'!$B$14,Paramètres!$A$1:$I$89,3,0)*VLOOKUP('Données projet'!$B$14,Paramètres!$A$1:$I$89,5,0)</f>
        <v>0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239.26156489359892</v>
      </c>
      <c r="DU156" s="59">
        <f t="shared" si="152"/>
        <v>213.97034450798111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3.1055231481661689</v>
      </c>
      <c r="EB156" s="21">
        <f>EXP(-LN(2)/25)*EB155+(1-EXP(-LN(2)/25))/(LN(2)/25)*Calculateur!DW156*Calculateur!DY156*VLOOKUP('Données projet'!$B$14,Paramètres!$A$1:$I$89,3,0)*0.475*44/12</f>
        <v>11.134052986377233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14.239576134543402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7.5191666666666634</v>
      </c>
      <c r="EJ156" s="12">
        <f>IF('Données projet'!$A$192&gt;35,EJ155+EI156-ER155,IF(A156&lt;'Données projet'!$A$192,$EG$205^A156,IF(A156='Données projet'!$A$192,'Données projet'!$B$192,EJ155+EI156-ER155)))</f>
        <v>386.64249999999964</v>
      </c>
      <c r="EK156" s="17">
        <f>EJ156*VLOOKUP('Données projet'!$B$15,Paramètres!$A$1:$I$89,3,0)*VLOOKUP('Données projet'!$B$15,Paramètres!$A$1:$I$89,5,0)</f>
        <v>386.02387199999964</v>
      </c>
      <c r="EL156" s="13">
        <f t="shared" si="179"/>
        <v>88.937381532856236</v>
      </c>
      <c r="EM156" s="20">
        <f t="shared" si="180"/>
        <v>827.22418323639067</v>
      </c>
      <c r="EN156" s="59">
        <f t="shared" si="128"/>
        <v>1120.5575165697239</v>
      </c>
      <c r="EO156" s="59">
        <f ca="1">AVERAGE(OFFSET($EN$3,0,0,'Données projet'!$E$15+1,1))-AVERAGE(OFFSET($H$3,0,0,'Données projet'!$E$15+1,1))</f>
        <v>525.74725170626471</v>
      </c>
      <c r="EP156" s="59">
        <f t="shared" si="154"/>
        <v>259.19103598192197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27.417683538244066</v>
      </c>
      <c r="EW156" s="21">
        <f>EXP(-LN(2)/25)*EW155+(1-EXP(-LN(2)/25))/(LN(2)/25)*Calculateur!ER156*Calculateur!ET156*VLOOKUP('Données projet'!$B$15,Paramètres!$A$1:$I$89,3,0)*0.475*44/12</f>
        <v>17.712918164128642</v>
      </c>
      <c r="EX156" s="21">
        <f>EXP(-LN(2)/2)*EX155+(1-EXP(-LN(2)/2))/(LN(2)/2)*ER156*EU156*VLOOKUP('Données projet'!$B$15,Paramètres!$A$1:$I$89,3,0)*0.475*44/12</f>
        <v>0.2570100377306801</v>
      </c>
      <c r="EY156" s="22">
        <f t="shared" si="181"/>
        <v>45.387611740103388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7.5191666666666634</v>
      </c>
      <c r="N157" s="13">
        <f>IF('Données projet'!$A$36&gt;35,N156+M157-V156,IF(A157&lt;'Données projet'!$A$36,$K$205^A157,IF(A157='Données projet'!$A$36,'Données projet'!$B$36,N156+M157-V156)))</f>
        <v>394.16166666666629</v>
      </c>
      <c r="O157" s="13">
        <f>N157*VLOOKUP('Données projet'!$B$9,Paramètres!$A$1:$I$89,3,0)*VLOOKUP('Données projet'!$B$9,Paramètres!$A$1:$I$89,5,0)</f>
        <v>399.67992999999967</v>
      </c>
      <c r="P157" s="13">
        <f t="shared" si="141"/>
        <v>91.711772917902209</v>
      </c>
      <c r="Q157" s="20">
        <f t="shared" si="162"/>
        <v>855.84054924867905</v>
      </c>
      <c r="R157" s="59">
        <f t="shared" si="109"/>
        <v>1149.1738825820123</v>
      </c>
      <c r="S157" s="59">
        <f ca="1">AVERAGE(OFFSET($R$3,0,0,'Données projet'!$E$9+1,1))-AVERAGE(OFFSET($H$3,0,0,'Données projet'!$E$9+1,1))</f>
        <v>533.26035274112917</v>
      </c>
      <c r="T157" s="59">
        <f t="shared" si="142"/>
        <v>262.58149402282521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27.300040104182202</v>
      </c>
      <c r="AA157" s="21">
        <f>EXP(-LN(2)/25)*AA156+(1-EXP(-LN(2)/25))/(LN(2)/25)*Calculateur!V157*Calculateur!X157*VLOOKUP('Données projet'!$B$9,Paramètres!$A$1:$I$89,3,0)*0.475*44/12</f>
        <v>17.497753696158796</v>
      </c>
      <c r="AB157" s="21">
        <f>EXP(-LN(2)/2)*AB156+(1-EXP(-LN(2)/2))/(LN(2)/2)*V157*Y157*VLOOKUP('Données projet'!$B$9,Paramètres!$A$1:$I$89,3,0)*0.475*44/12</f>
        <v>0.18457312708288007</v>
      </c>
      <c r="AC157" s="22">
        <f t="shared" si="163"/>
        <v>44.982366927423875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2.7775000000000034</v>
      </c>
      <c r="AI157" s="13">
        <f>IF('Données projet'!$A$62&gt;35,AI156+AH157-AQ156,IF(A157&lt;'Données projet'!$A$62,$AF$205^A157,IF(A157='Données projet'!$A$62,'Données projet'!$B$62,AI156+AH157-AQ156)))</f>
        <v>186.18750000000054</v>
      </c>
      <c r="AJ157" s="13">
        <f>AI157*VLOOKUP('Données projet'!$B$10,Paramètres!$A$1:$I$89,3,0)*VLOOKUP('Données projet'!$B$10,Paramètres!$A$1:$I$89,5,0)</f>
        <v>168.4624500000005</v>
      </c>
      <c r="AK157" s="13">
        <f t="shared" si="164"/>
        <v>42.745481653995263</v>
      </c>
      <c r="AL157" s="20">
        <f t="shared" si="165"/>
        <v>367.85381429737589</v>
      </c>
      <c r="AM157" s="59">
        <f t="shared" si="113"/>
        <v>661.18714763070921</v>
      </c>
      <c r="AN157" s="59">
        <f ca="1">AVERAGE(OFFSET($AM$3,0,0,'Données projet'!$E$10+1,1))-AVERAGE(OFFSET($H$3,0,0,'Données projet'!$E$10+1,1))</f>
        <v>482.62991869403385</v>
      </c>
      <c r="AO157" s="59">
        <f t="shared" si="144"/>
        <v>310.43914804089906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85.469671630347634</v>
      </c>
      <c r="AV157" s="21">
        <f>EXP(-LN(2)/25)*AV156+(1-EXP(-LN(2)/25))/(LN(2)/25)*Calculateur!AQ157*Calculateur!AS157*VLOOKUP('Données projet'!$B$10,Paramètres!$A$1:$I$89,3,0)*0.475*44/12</f>
        <v>19.127188802545135</v>
      </c>
      <c r="AW157" s="21">
        <f>EXP(-LN(2)/2)*AW156+(1-EXP(-LN(2)/2))/(LN(2)/2)*AQ157*AT157*VLOOKUP('Données projet'!$B$10,Paramètres!$A$1:$I$89,3,0)*0.475*44/12</f>
        <v>4.438631392964437</v>
      </c>
      <c r="AX157" s="21">
        <f t="shared" si="166"/>
        <v>109.03549182585721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384.34044781465661</v>
      </c>
      <c r="BJ157" s="59">
        <f t="shared" si="146"/>
        <v>374.99493809709708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13.182814846978122</v>
      </c>
      <c r="BQ157" s="21">
        <f>EXP(-LN(2)/25)*BQ156+(1-EXP(-LN(2)/25))/(LN(2)/25)*Calculateur!BL157*Calculateur!BN157*VLOOKUP('Données projet'!$B$11,Paramètres!$A$1:$I$89,3,0)*0.475*44/12</f>
        <v>7.2424818894407048</v>
      </c>
      <c r="BR157" s="21">
        <f>EXP(-LN(2)/2)*BR156+(1-EXP(-LN(2)/2))/(LN(2)/2)*BL157*BO157*VLOOKUP('Données projet'!$B$11,Paramètres!$A$1:$I$89,3,0)*0.475*44/12</f>
        <v>4.9870183704029201E-10</v>
      </c>
      <c r="BS157" s="22">
        <f t="shared" si="169"/>
        <v>20.425296736917527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2.7775000000000034</v>
      </c>
      <c r="BY157" s="12">
        <f>IF('Données projet'!$A$114&gt;35,BY156+BX157-CG156,IF(A157&lt;'Données projet'!$A$114,$BV$205^A157,IF(A157='Données projet'!$A$114,'Données projet'!$B$114,BY156+BX157-CG156)))</f>
        <v>186.18750000000054</v>
      </c>
      <c r="BZ157" s="13">
        <f>BY157*VLOOKUP('Données projet'!$B$12,Paramètres!$A$1:$I$89,3,0)*VLOOKUP('Données projet'!$B$12,Paramètres!$A$1:$I$89,5,0)</f>
        <v>177.17602500000052</v>
      </c>
      <c r="CA157" s="13">
        <f t="shared" si="170"/>
        <v>44.69332670494596</v>
      </c>
      <c r="CB157" s="20">
        <f t="shared" si="171"/>
        <v>386.42245421944841</v>
      </c>
      <c r="CC157" s="59">
        <f t="shared" si="119"/>
        <v>679.75578755278173</v>
      </c>
      <c r="CD157" s="59">
        <f ca="1">AVERAGE(OFFSET($CC$3,0,0,'Données projet'!$E$12+1,1))-AVERAGE(OFFSET($H$3,0,0,'Données projet'!$E$12+1,1))</f>
        <v>513.14430745499283</v>
      </c>
      <c r="CE157" s="59">
        <f t="shared" si="148"/>
        <v>324.2490378019823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89.89051671467594</v>
      </c>
      <c r="CL157" s="21">
        <f>EXP(-LN(2)/25)*CL156+(1-EXP(-LN(2)/25))/(LN(2)/25)*Calculateur!CG157*Calculateur!CI157*VLOOKUP('Données projet'!$B$12,Paramètres!$A$1:$I$89,3,0)*0.475*44/12</f>
        <v>20.116526154400923</v>
      </c>
      <c r="CM157" s="21">
        <f>EXP(-LN(2)/2)*CM156+(1-EXP(-LN(2)/2))/(LN(2)/2)*CG157*CJ157*VLOOKUP('Données projet'!$B$12,Paramètres!$A$1:$I$89,3,0)*0.475*44/12</f>
        <v>4.6682157753591493</v>
      </c>
      <c r="CN157" s="22">
        <f t="shared" si="172"/>
        <v>114.675258644436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-1.1368683772161603E-13</v>
      </c>
      <c r="CU157" s="17">
        <f>CT157*VLOOKUP('Données projet'!$B$13,Paramètres!$A$1:$I$89,3,0)*VLOOKUP('Données projet'!$B$13,Paramètres!$A$1:$I$89,5,0)</f>
        <v>-8.8675733422860506E-14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197.51452239559433</v>
      </c>
      <c r="CZ157" s="59">
        <f t="shared" si="150"/>
        <v>196.65166921588821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5.1198433079589085</v>
      </c>
      <c r="DG157" s="21">
        <f>EXP(-LN(2)/25)*DG156+(1-EXP(-LN(2)/25))/(LN(2)/25)*Calculateur!DB157*Calculateur!DD157*VLOOKUP('Données projet'!$B$13,Paramètres!$A$1:$I$89,3,0)*0.475*44/12</f>
        <v>2.5708388053872522</v>
      </c>
      <c r="DH157" s="21">
        <f>EXP(-LN(2)/2)*DH156+(1-EXP(-LN(2)/2))/(LN(2)/2)*DB157*DE157*VLOOKUP('Données projet'!$B$13,Paramètres!$A$1:$I$89,3,0)*0.475*44/12</f>
        <v>6.2616662263761023E-12</v>
      </c>
      <c r="DI157" s="22">
        <f t="shared" si="175"/>
        <v>7.6906821133524224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>
        <f>DO157*VLOOKUP('Données projet'!$B$14,Paramètres!$A$1:$I$89,3,0)*VLOOKUP('Données projet'!$B$14,Paramètres!$A$1:$I$89,5,0)</f>
        <v>0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239.26156489359892</v>
      </c>
      <c r="DU157" s="59">
        <f t="shared" si="152"/>
        <v>213.97034450798111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3.0446257334127158</v>
      </c>
      <c r="EB157" s="21">
        <f>EXP(-LN(2)/25)*EB156+(1-EXP(-LN(2)/25))/(LN(2)/25)*Calculateur!DW157*Calculateur!DY157*VLOOKUP('Données projet'!$B$14,Paramètres!$A$1:$I$89,3,0)*0.475*44/12</f>
        <v>10.829591721950347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13.874217455363063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7.5191666666666634</v>
      </c>
      <c r="EJ157" s="12">
        <f>IF('Données projet'!$A$192&gt;35,EJ156+EI157-ER156,IF(A157&lt;'Données projet'!$A$192,$EG$205^A157,IF(A157='Données projet'!$A$192,'Données projet'!$B$192,EJ156+EI157-ER156)))</f>
        <v>394.16166666666629</v>
      </c>
      <c r="EK157" s="17">
        <f>EJ157*VLOOKUP('Données projet'!$B$15,Paramètres!$A$1:$I$89,3,0)*VLOOKUP('Données projet'!$B$15,Paramètres!$A$1:$I$89,5,0)</f>
        <v>393.53100799999964</v>
      </c>
      <c r="EL157" s="13">
        <f t="shared" si="179"/>
        <v>90.463934452844001</v>
      </c>
      <c r="EM157" s="20">
        <f t="shared" si="180"/>
        <v>842.95785810536938</v>
      </c>
      <c r="EN157" s="59">
        <f t="shared" si="128"/>
        <v>1136.2911914387028</v>
      </c>
      <c r="EO157" s="59">
        <f ca="1">AVERAGE(OFFSET($EN$3,0,0,'Données projet'!$E$15+1,1))-AVERAGE(OFFSET($H$3,0,0,'Données projet'!$E$15+1,1))</f>
        <v>525.74725170626471</v>
      </c>
      <c r="EP157" s="59">
        <f t="shared" si="154"/>
        <v>259.19103598192197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26.880039487194786</v>
      </c>
      <c r="EW157" s="21">
        <f>EXP(-LN(2)/25)*EW156+(1-EXP(-LN(2)/25))/(LN(2)/25)*Calculateur!ER157*Calculateur!ET157*VLOOKUP('Données projet'!$B$15,Paramètres!$A$1:$I$89,3,0)*0.475*44/12</f>
        <v>17.228557485448661</v>
      </c>
      <c r="EX157" s="21">
        <f>EXP(-LN(2)/2)*EX156+(1-EXP(-LN(2)/2))/(LN(2)/2)*ER157*EU157*VLOOKUP('Données projet'!$B$15,Paramètres!$A$1:$I$89,3,0)*0.475*44/12</f>
        <v>0.18173354051237434</v>
      </c>
      <c r="EY157" s="22">
        <f t="shared" si="181"/>
        <v>44.290330513155823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7.5191666666666634</v>
      </c>
      <c r="N158" s="13">
        <f>IF('Données projet'!$A$36&gt;35,N157+M158-V157,IF(A158&lt;'Données projet'!$A$36,$K$205^A158,IF(A158='Données projet'!$A$36,'Données projet'!$B$36,N157+M158-V157)))</f>
        <v>401.68083333333294</v>
      </c>
      <c r="O158" s="13">
        <f>N158*VLOOKUP('Données projet'!$B$9,Paramètres!$A$1:$I$89,3,0)*VLOOKUP('Données projet'!$B$9,Paramètres!$A$1:$I$89,5,0)</f>
        <v>407.30436499999962</v>
      </c>
      <c r="P158" s="13">
        <f t="shared" si="141"/>
        <v>93.255949897998832</v>
      </c>
      <c r="Q158" s="20">
        <f t="shared" si="162"/>
        <v>871.80921511401391</v>
      </c>
      <c r="R158" s="59">
        <f t="shared" si="109"/>
        <v>1165.1425484473473</v>
      </c>
      <c r="S158" s="59">
        <f ca="1">AVERAGE(OFFSET($R$3,0,0,'Données projet'!$E$9+1,1))-AVERAGE(OFFSET($H$3,0,0,'Données projet'!$E$9+1,1))</f>
        <v>533.26035274112917</v>
      </c>
      <c r="T158" s="59">
        <f t="shared" si="142"/>
        <v>262.58149402282521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26.764702969119465</v>
      </c>
      <c r="AA158" s="21">
        <f>EXP(-LN(2)/25)*AA157+(1-EXP(-LN(2)/25))/(LN(2)/25)*Calculateur!V158*Calculateur!X158*VLOOKUP('Données projet'!$B$9,Paramètres!$A$1:$I$89,3,0)*0.475*44/12</f>
        <v>17.019276701170458</v>
      </c>
      <c r="AB158" s="21">
        <f>EXP(-LN(2)/2)*AB157+(1-EXP(-LN(2)/2))/(LN(2)/2)*V158*Y158*VLOOKUP('Données projet'!$B$9,Paramètres!$A$1:$I$89,3,0)*0.475*44/12</f>
        <v>0.1305129097851109</v>
      </c>
      <c r="AC158" s="22">
        <f t="shared" si="163"/>
        <v>43.914492580075034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2.7775000000000034</v>
      </c>
      <c r="AI158" s="13">
        <f>IF('Données projet'!$A$62&gt;35,AI157+AH158-AQ157,IF(A158&lt;'Données projet'!$A$62,$AF$205^A158,IF(A158='Données projet'!$A$62,'Données projet'!$B$62,AI157+AH158-AQ157)))</f>
        <v>188.96500000000054</v>
      </c>
      <c r="AJ158" s="13">
        <f>AI158*VLOOKUP('Données projet'!$B$10,Paramètres!$A$1:$I$89,3,0)*VLOOKUP('Données projet'!$B$10,Paramètres!$A$1:$I$89,5,0)</f>
        <v>170.9755320000005</v>
      </c>
      <c r="AK158" s="13">
        <f t="shared" si="164"/>
        <v>43.308437487586524</v>
      </c>
      <c r="AL158" s="20">
        <f t="shared" si="165"/>
        <v>373.21124685754739</v>
      </c>
      <c r="AM158" s="59">
        <f t="shared" si="113"/>
        <v>666.54458019088065</v>
      </c>
      <c r="AN158" s="59">
        <f ca="1">AVERAGE(OFFSET($AM$3,0,0,'Données projet'!$E$10+1,1))-AVERAGE(OFFSET($H$3,0,0,'Données projet'!$E$10+1,1))</f>
        <v>482.62991869403385</v>
      </c>
      <c r="AO158" s="59">
        <f t="shared" si="144"/>
        <v>310.43914804089906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83.793663501028661</v>
      </c>
      <c r="AV158" s="21">
        <f>EXP(-LN(2)/25)*AV157+(1-EXP(-LN(2)/25))/(LN(2)/25)*Calculateur!AQ158*Calculateur!AS158*VLOOKUP('Données projet'!$B$10,Paramètres!$A$1:$I$89,3,0)*0.475*44/12</f>
        <v>18.604154818884396</v>
      </c>
      <c r="AW158" s="21">
        <f>EXP(-LN(2)/2)*AW157+(1-EXP(-LN(2)/2))/(LN(2)/2)*AQ158*AT158*VLOOKUP('Données projet'!$B$10,Paramètres!$A$1:$I$89,3,0)*0.475*44/12</f>
        <v>3.1385863571526449</v>
      </c>
      <c r="AX158" s="21">
        <f t="shared" si="166"/>
        <v>105.5364046770657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384.34044781465661</v>
      </c>
      <c r="BJ158" s="59">
        <f t="shared" si="146"/>
        <v>374.99493809709708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12.924307888551983</v>
      </c>
      <c r="BQ158" s="21">
        <f>EXP(-LN(2)/25)*BQ157+(1-EXP(-LN(2)/25))/(LN(2)/25)*Calculateur!BL158*Calculateur!BN158*VLOOKUP('Données projet'!$B$11,Paramètres!$A$1:$I$89,3,0)*0.475*44/12</f>
        <v>7.0444358413083794</v>
      </c>
      <c r="BR158" s="21">
        <f>EXP(-LN(2)/2)*BR157+(1-EXP(-LN(2)/2))/(LN(2)/2)*BL158*BO158*VLOOKUP('Données projet'!$B$11,Paramètres!$A$1:$I$89,3,0)*0.475*44/12</f>
        <v>3.5263545076137905E-10</v>
      </c>
      <c r="BS158" s="22">
        <f t="shared" si="169"/>
        <v>19.968743730212999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2.7775000000000034</v>
      </c>
      <c r="BY158" s="12">
        <f>IF('Données projet'!$A$114&gt;35,BY157+BX158-CG157,IF(A158&lt;'Données projet'!$A$114,$BV$205^A158,IF(A158='Données projet'!$A$114,'Données projet'!$B$114,BY157+BX158-CG157)))</f>
        <v>188.96500000000054</v>
      </c>
      <c r="BZ158" s="13">
        <f>BY158*VLOOKUP('Données projet'!$B$12,Paramètres!$A$1:$I$89,3,0)*VLOOKUP('Données projet'!$B$12,Paramètres!$A$1:$I$89,5,0)</f>
        <v>179.81909400000052</v>
      </c>
      <c r="CA158" s="13">
        <f t="shared" si="170"/>
        <v>45.281935559439887</v>
      </c>
      <c r="CB158" s="20">
        <f t="shared" si="171"/>
        <v>392.0509598160254</v>
      </c>
      <c r="CC158" s="59">
        <f t="shared" si="119"/>
        <v>685.38429314935865</v>
      </c>
      <c r="CD158" s="59">
        <f ca="1">AVERAGE(OFFSET($CC$3,0,0,'Données projet'!$E$12+1,1))-AVERAGE(OFFSET($H$3,0,0,'Données projet'!$E$12+1,1))</f>
        <v>513.14430745499283</v>
      </c>
      <c r="CE158" s="59">
        <f t="shared" si="148"/>
        <v>324.2490378019823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88.12781850970255</v>
      </c>
      <c r="CL158" s="21">
        <f>EXP(-LN(2)/25)*CL157+(1-EXP(-LN(2)/25))/(LN(2)/25)*Calculateur!CG158*Calculateur!CI158*VLOOKUP('Données projet'!$B$12,Paramètres!$A$1:$I$89,3,0)*0.475*44/12</f>
        <v>19.566438688826697</v>
      </c>
      <c r="CM158" s="21">
        <f>EXP(-LN(2)/2)*CM157+(1-EXP(-LN(2)/2))/(LN(2)/2)*CG158*CJ158*VLOOKUP('Données projet'!$B$12,Paramètres!$A$1:$I$89,3,0)*0.475*44/12</f>
        <v>3.3009270307984715</v>
      </c>
      <c r="CN158" s="22">
        <f t="shared" si="172"/>
        <v>110.99518422932772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-1.1368683772161603E-13</v>
      </c>
      <c r="CU158" s="17">
        <f>CT158*VLOOKUP('Données projet'!$B$13,Paramètres!$A$1:$I$89,3,0)*VLOOKUP('Données projet'!$B$13,Paramètres!$A$1:$I$89,5,0)</f>
        <v>-8.8675733422860506E-14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197.51452239559433</v>
      </c>
      <c r="CZ158" s="59">
        <f t="shared" si="150"/>
        <v>196.65166921588821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5.0194463034859016</v>
      </c>
      <c r="DG158" s="21">
        <f>EXP(-LN(2)/25)*DG157+(1-EXP(-LN(2)/25))/(LN(2)/25)*Calculateur!DB158*Calculateur!DD158*VLOOKUP('Données projet'!$B$13,Paramètres!$A$1:$I$89,3,0)*0.475*44/12</f>
        <v>2.5005390830594005</v>
      </c>
      <c r="DH158" s="21">
        <f>EXP(-LN(2)/2)*DH157+(1-EXP(-LN(2)/2))/(LN(2)/2)*DB158*DE158*VLOOKUP('Données projet'!$B$13,Paramètres!$A$1:$I$89,3,0)*0.475*44/12</f>
        <v>4.4276666501973213E-12</v>
      </c>
      <c r="DI158" s="22">
        <f t="shared" si="175"/>
        <v>7.5199853865497301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>
        <f>DO158*VLOOKUP('Données projet'!$B$14,Paramètres!$A$1:$I$89,3,0)*VLOOKUP('Données projet'!$B$14,Paramètres!$A$1:$I$89,5,0)</f>
        <v>0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239.26156489359892</v>
      </c>
      <c r="DU158" s="59">
        <f t="shared" si="152"/>
        <v>213.97034450798111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2.9849224798188225</v>
      </c>
      <c r="EB158" s="21">
        <f>EXP(-LN(2)/25)*EB157+(1-EXP(-LN(2)/25))/(LN(2)/25)*Calculateur!DW158*Calculateur!DY158*VLOOKUP('Données projet'!$B$14,Paramètres!$A$1:$I$89,3,0)*0.475*44/12</f>
        <v>10.533455966810138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13.51837844662896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7.5191666666666634</v>
      </c>
      <c r="EJ158" s="12">
        <f>IF('Données projet'!$A$192&gt;35,EJ157+EI158-ER157,IF(A158&lt;'Données projet'!$A$192,$EG$205^A158,IF(A158='Données projet'!$A$192,'Données projet'!$B$192,EJ157+EI158-ER157)))</f>
        <v>401.68083333333294</v>
      </c>
      <c r="EK158" s="17">
        <f>EJ158*VLOOKUP('Données projet'!$B$15,Paramètres!$A$1:$I$89,3,0)*VLOOKUP('Données projet'!$B$15,Paramètres!$A$1:$I$89,5,0)</f>
        <v>401.03814399999959</v>
      </c>
      <c r="EL158" s="13">
        <f t="shared" si="179"/>
        <v>91.987101224858179</v>
      </c>
      <c r="EM158" s="20">
        <f t="shared" si="180"/>
        <v>858.68563543329401</v>
      </c>
      <c r="EN158" s="59">
        <f t="shared" si="128"/>
        <v>1152.0189687666273</v>
      </c>
      <c r="EO158" s="59">
        <f ca="1">AVERAGE(OFFSET($EN$3,0,0,'Données projet'!$E$15+1,1))-AVERAGE(OFFSET($H$3,0,0,'Données projet'!$E$15+1,1))</f>
        <v>525.74725170626471</v>
      </c>
      <c r="EP158" s="59">
        <f t="shared" si="154"/>
        <v>259.19103598192197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26.352938308056093</v>
      </c>
      <c r="EW158" s="21">
        <f>EXP(-LN(2)/25)*EW157+(1-EXP(-LN(2)/25))/(LN(2)/25)*Calculateur!ER158*Calculateur!ET158*VLOOKUP('Données projet'!$B$15,Paramètres!$A$1:$I$89,3,0)*0.475*44/12</f>
        <v>16.757441674998606</v>
      </c>
      <c r="EX158" s="21">
        <f>EXP(-LN(2)/2)*EX157+(1-EXP(-LN(2)/2))/(LN(2)/2)*ER158*EU158*VLOOKUP('Données projet'!$B$15,Paramètres!$A$1:$I$89,3,0)*0.475*44/12</f>
        <v>0.12850501886534005</v>
      </c>
      <c r="EY158" s="22">
        <f t="shared" si="181"/>
        <v>43.238885001920039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409.2</v>
      </c>
      <c r="L159" s="12">
        <f>VLOOKUP(A159,'Données projet'!$A$35:$I$55,9,0)</f>
        <v>7.5191666666666634</v>
      </c>
      <c r="M159" s="12">
        <f t="array" ref="M159">INDEX(L:L,MIN(IF(ISNUMBER(L159:L355),ROW(L159:L355),"")))</f>
        <v>7.5191666666666634</v>
      </c>
      <c r="N159" s="13">
        <f>IF('Données projet'!$A$36&gt;35,N158+M159-V158,IF(A159&lt;'Données projet'!$A$36,$K$205^A159,IF(A159='Données projet'!$A$36,'Données projet'!$B$36,N158+M159-V158)))</f>
        <v>409.19999999999959</v>
      </c>
      <c r="O159" s="13">
        <f>N159*VLOOKUP('Données projet'!$B$9,Paramètres!$A$1:$I$89,3,0)*VLOOKUP('Données projet'!$B$9,Paramètres!$A$1:$I$89,5,0)</f>
        <v>414.92879999999963</v>
      </c>
      <c r="P159" s="13">
        <f t="shared" si="141"/>
        <v>94.796765693156289</v>
      </c>
      <c r="Q159" s="20">
        <f t="shared" si="162"/>
        <v>887.77202691557977</v>
      </c>
      <c r="R159" s="59">
        <f t="shared" si="109"/>
        <v>1181.105360248913</v>
      </c>
      <c r="S159" s="59">
        <f ca="1">AVERAGE(OFFSET($R$3,0,0,'Données projet'!$E$9+1,1))-AVERAGE(OFFSET($H$3,0,0,'Données projet'!$E$9+1,1))</f>
        <v>533.26035274112917</v>
      </c>
      <c r="T159" s="59">
        <f t="shared" si="142"/>
        <v>262.58149402282521</v>
      </c>
      <c r="U159" s="15">
        <f>IF(ISNA(VLOOKUP(A159,'Données projet'!$A$35:$I$55,3,0)),0,VLOOKUP(A159,'Données projet'!$A$35:$I$55,3,0))</f>
        <v>11</v>
      </c>
      <c r="V159" s="15">
        <f>IF(ISNA(VLOOKUP(A159,'Données projet'!$A$35:$I$55,4,0)),0,VLOOKUP(A159,'Données projet'!$A$35:$I$55,4,0))</f>
        <v>65.69</v>
      </c>
      <c r="W159" s="16">
        <f>IF(ISNA(VLOOKUP(A159,'Données projet'!$A$35:$I$55,5,0)),0%,VLOOKUP(A159,'Données projet'!$A$35:$I$55,5,0)*VLOOKUP('Données projet'!$B$9,Paramètres!$A$1:$I$89,7,0))</f>
        <v>0.215</v>
      </c>
      <c r="X159" s="16">
        <f>IF(ISNA(VLOOKUP(A159,'Données projet'!$A$35:$I$55,6,0)),0%,VLOOKUP(A159,'Données projet'!$A$35:$I$55,6,0)*VLOOKUP('Données projet'!$B$9,Paramètres!$A$1:$I$89,7,0))</f>
        <v>8.6000000000000007E-2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42.071389784715464</v>
      </c>
      <c r="AA159" s="21">
        <f>EXP(-LN(2)/25)*AA158+(1-EXP(-LN(2)/25))/(LN(2)/25)*Calculateur!V159*Calculateur!X159*VLOOKUP('Données projet'!$B$9,Paramètres!$A$1:$I$89,3,0)*0.475*44/12</f>
        <v>22.861560310601355</v>
      </c>
      <c r="AB159" s="21">
        <f>EXP(-LN(2)/2)*AB158+(1-EXP(-LN(2)/2))/(LN(2)/2)*V159*Y159*VLOOKUP('Données projet'!$B$9,Paramètres!$A$1:$I$89,3,0)*0.475*44/12</f>
        <v>9.2286563541440034E-2</v>
      </c>
      <c r="AC159" s="22">
        <f t="shared" si="163"/>
        <v>65.025236658858248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2.7775000000000034</v>
      </c>
      <c r="AI159" s="13">
        <f>IF('Données projet'!$A$62&gt;35,AI158+AH159-AQ158,IF(A159&lt;'Données projet'!$A$62,$AF$205^A159,IF(A159='Données projet'!$A$62,'Données projet'!$B$62,AI158+AH159-AQ158)))</f>
        <v>191.74250000000055</v>
      </c>
      <c r="AJ159" s="13">
        <f>AI159*VLOOKUP('Données projet'!$B$10,Paramètres!$A$1:$I$89,3,0)*VLOOKUP('Données projet'!$B$10,Paramètres!$A$1:$I$89,5,0)</f>
        <v>173.4886140000005</v>
      </c>
      <c r="AK159" s="13">
        <f t="shared" si="164"/>
        <v>43.870430944544125</v>
      </c>
      <c r="AL159" s="20">
        <f t="shared" si="165"/>
        <v>378.56700327841526</v>
      </c>
      <c r="AM159" s="59">
        <f t="shared" si="113"/>
        <v>671.90033661174857</v>
      </c>
      <c r="AN159" s="59">
        <f ca="1">AVERAGE(OFFSET($AM$3,0,0,'Données projet'!$E$10+1,1))-AVERAGE(OFFSET($H$3,0,0,'Données projet'!$E$10+1,1))</f>
        <v>482.62991869403385</v>
      </c>
      <c r="AO159" s="59">
        <f t="shared" si="144"/>
        <v>310.43914804089906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82.150520868861619</v>
      </c>
      <c r="AV159" s="21">
        <f>EXP(-LN(2)/25)*AV158+(1-EXP(-LN(2)/25))/(LN(2)/25)*Calculateur!AQ159*Calculateur!AS159*VLOOKUP('Données projet'!$B$10,Paramètres!$A$1:$I$89,3,0)*0.475*44/12</f>
        <v>18.09542322701202</v>
      </c>
      <c r="AW159" s="21">
        <f>EXP(-LN(2)/2)*AW158+(1-EXP(-LN(2)/2))/(LN(2)/2)*AQ159*AT159*VLOOKUP('Données projet'!$B$10,Paramètres!$A$1:$I$89,3,0)*0.475*44/12</f>
        <v>2.2193156964822189</v>
      </c>
      <c r="AX159" s="21">
        <f t="shared" si="166"/>
        <v>102.46525979235585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384.34044781465661</v>
      </c>
      <c r="BJ159" s="59">
        <f t="shared" si="146"/>
        <v>374.99493809709708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12.670870093906904</v>
      </c>
      <c r="BQ159" s="21">
        <f>EXP(-LN(2)/25)*BQ158+(1-EXP(-LN(2)/25))/(LN(2)/25)*Calculateur!BL159*Calculateur!BN159*VLOOKUP('Données projet'!$B$11,Paramètres!$A$1:$I$89,3,0)*0.475*44/12</f>
        <v>6.8518053727770214</v>
      </c>
      <c r="BR159" s="21">
        <f>EXP(-LN(2)/2)*BR158+(1-EXP(-LN(2)/2))/(LN(2)/2)*BL159*BO159*VLOOKUP('Données projet'!$B$11,Paramètres!$A$1:$I$89,3,0)*0.475*44/12</f>
        <v>2.49350918520146E-10</v>
      </c>
      <c r="BS159" s="22">
        <f t="shared" si="169"/>
        <v>19.522675466933276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2.7775000000000034</v>
      </c>
      <c r="BY159" s="12">
        <f>IF('Données projet'!$A$114&gt;35,BY158+BX159-CG158,IF(A159&lt;'Données projet'!$A$114,$BV$205^A159,IF(A159='Données projet'!$A$114,'Données projet'!$B$114,BY158+BX159-CG158)))</f>
        <v>191.74250000000055</v>
      </c>
      <c r="BZ159" s="13">
        <f>BY159*VLOOKUP('Données projet'!$B$12,Paramètres!$A$1:$I$89,3,0)*VLOOKUP('Données projet'!$B$12,Paramètres!$A$1:$I$89,5,0)</f>
        <v>182.46216300000052</v>
      </c>
      <c r="CA159" s="13">
        <f t="shared" si="170"/>
        <v>45.869538183295191</v>
      </c>
      <c r="CB159" s="20">
        <f t="shared" si="171"/>
        <v>397.67771289424007</v>
      </c>
      <c r="CC159" s="59">
        <f t="shared" si="119"/>
        <v>691.01104622757339</v>
      </c>
      <c r="CD159" s="59">
        <f ca="1">AVERAGE(OFFSET($CC$3,0,0,'Données projet'!$E$12+1,1))-AVERAGE(OFFSET($H$3,0,0,'Données projet'!$E$12+1,1))</f>
        <v>513.14430745499283</v>
      </c>
      <c r="CE159" s="59">
        <f t="shared" si="148"/>
        <v>324.2490378019823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86.399685741388936</v>
      </c>
      <c r="CL159" s="21">
        <f>EXP(-LN(2)/25)*CL158+(1-EXP(-LN(2)/25))/(LN(2)/25)*Calculateur!CG159*Calculateur!CI159*VLOOKUP('Données projet'!$B$12,Paramètres!$A$1:$I$89,3,0)*0.475*44/12</f>
        <v>19.031393393926439</v>
      </c>
      <c r="CM159" s="21">
        <f>EXP(-LN(2)/2)*CM158+(1-EXP(-LN(2)/2))/(LN(2)/2)*CG159*CJ159*VLOOKUP('Données projet'!$B$12,Paramètres!$A$1:$I$89,3,0)*0.475*44/12</f>
        <v>2.3341078876795751</v>
      </c>
      <c r="CN159" s="22">
        <f t="shared" si="172"/>
        <v>107.76518702299495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-1.1368683772161603E-13</v>
      </c>
      <c r="CU159" s="17">
        <f>CT159*VLOOKUP('Données projet'!$B$13,Paramètres!$A$1:$I$89,3,0)*VLOOKUP('Données projet'!$B$13,Paramètres!$A$1:$I$89,5,0)</f>
        <v>-8.8675733422860506E-14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197.51452239559433</v>
      </c>
      <c r="CZ159" s="59">
        <f t="shared" si="150"/>
        <v>196.65166921588821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4.9210180230344847</v>
      </c>
      <c r="DG159" s="21">
        <f>EXP(-LN(2)/25)*DG158+(1-EXP(-LN(2)/25))/(LN(2)/25)*Calculateur!DB159*Calculateur!DD159*VLOOKUP('Données projet'!$B$13,Paramètres!$A$1:$I$89,3,0)*0.475*44/12</f>
        <v>2.4321617103355058</v>
      </c>
      <c r="DH159" s="21">
        <f>EXP(-LN(2)/2)*DH158+(1-EXP(-LN(2)/2))/(LN(2)/2)*DB159*DE159*VLOOKUP('Données projet'!$B$13,Paramètres!$A$1:$I$89,3,0)*0.475*44/12</f>
        <v>3.1308331131880512E-12</v>
      </c>
      <c r="DI159" s="22">
        <f t="shared" si="175"/>
        <v>7.3531797333731213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>
        <f>DO159*VLOOKUP('Données projet'!$B$14,Paramètres!$A$1:$I$89,3,0)*VLOOKUP('Données projet'!$B$14,Paramètres!$A$1:$I$89,5,0)</f>
        <v>0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239.26156489359892</v>
      </c>
      <c r="DU159" s="59">
        <f t="shared" si="152"/>
        <v>213.97034450798111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2.9263899706125165</v>
      </c>
      <c r="EB159" s="21">
        <f>EXP(-LN(2)/25)*EB158+(1-EXP(-LN(2)/25))/(LN(2)/25)*Calculateur!DW159*Calculateur!DY159*VLOOKUP('Données projet'!$B$14,Paramètres!$A$1:$I$89,3,0)*0.475*44/12</f>
        <v>10.24541805946734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13.171808030079857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>
        <f>VLOOKUP(A159,'Données projet'!$A$191:$I$211,2,0)</f>
        <v>409.2</v>
      </c>
      <c r="EH159" s="12">
        <f>VLOOKUP(A159,'Données projet'!$A$191:$I$211,9,0)</f>
        <v>7.5191666666666634</v>
      </c>
      <c r="EI159" s="12">
        <f t="array" ref="EI159">INDEX(EH:EH,MIN(IF(ISNUMBER(EH159:EH355),ROW(EH159:EH355),"")))</f>
        <v>7.5191666666666634</v>
      </c>
      <c r="EJ159" s="12">
        <f>IF('Données projet'!$A$192&gt;35,EJ158+EI159-ER158,IF(A159&lt;'Données projet'!$A$192,$EG$205^A159,IF(A159='Données projet'!$A$192,'Données projet'!$B$192,EJ158+EI159-ER158)))</f>
        <v>409.19999999999959</v>
      </c>
      <c r="EK159" s="17">
        <f>EJ159*VLOOKUP('Données projet'!$B$15,Paramètres!$A$1:$I$89,3,0)*VLOOKUP('Données projet'!$B$15,Paramètres!$A$1:$I$89,5,0)</f>
        <v>408.54527999999965</v>
      </c>
      <c r="EL159" s="13">
        <f t="shared" si="179"/>
        <v>93.506952544511549</v>
      </c>
      <c r="EM159" s="20">
        <f t="shared" si="180"/>
        <v>874.40763834835695</v>
      </c>
      <c r="EN159" s="59">
        <f t="shared" si="128"/>
        <v>1167.7409716816903</v>
      </c>
      <c r="EO159" s="59">
        <f ca="1">AVERAGE(OFFSET($EN$3,0,0,'Données projet'!$E$15+1,1))-AVERAGE(OFFSET($H$3,0,0,'Données projet'!$E$15+1,1))</f>
        <v>525.74725170626471</v>
      </c>
      <c r="EP159" s="59">
        <f t="shared" si="154"/>
        <v>259.19103598192197</v>
      </c>
      <c r="EQ159" s="15">
        <f>IF(ISNA(VLOOKUP(A159,'Données projet'!$A$191:$I$211,3,0)),0,VLOOKUP(A159,'Données projet'!$A$191:$I$211,3,0))</f>
        <v>11</v>
      </c>
      <c r="ER159" s="15">
        <f>IF(ISNA(VLOOKUP(A159,'Données projet'!$A$191:$I$211,4,0)),0,VLOOKUP(A159,'Données projet'!$A$191:$I$211,4,0))</f>
        <v>65.69</v>
      </c>
      <c r="ES159" s="16">
        <f>IF(ISNA(VLOOKUP(A159,'Données projet'!$A$191:$I$211,5,0)),0%,VLOOKUP(A159,'Données projet'!$A$191:$I$211,5,0)*VLOOKUP('Données projet'!$B$15,Paramètres!$A$1:$I$89,7,0))</f>
        <v>0.215</v>
      </c>
      <c r="ET159" s="16">
        <f>IF(ISNA(VLOOKUP(A159,'Données projet'!$A$191:$I$211,6,0)),0%,VLOOKUP(A159,'Données projet'!$A$191:$I$211,6,0)*VLOOKUP('Données projet'!$B$15,Paramètres!$A$1:$I$89,7,0))</f>
        <v>8.6000000000000007E-2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41.424137634181378</v>
      </c>
      <c r="EW159" s="21">
        <f>EXP(-LN(2)/25)*EW158+(1-EXP(-LN(2)/25))/(LN(2)/25)*Calculateur!ER159*Calculateur!ET159*VLOOKUP('Données projet'!$B$15,Paramètres!$A$1:$I$89,3,0)*0.475*44/12</f>
        <v>22.50984399813057</v>
      </c>
      <c r="EX159" s="21">
        <f>EXP(-LN(2)/2)*EX158+(1-EXP(-LN(2)/2))/(LN(2)/2)*ER159*EU159*VLOOKUP('Données projet'!$B$15,Paramètres!$A$1:$I$89,3,0)*0.475*44/12</f>
        <v>9.0866770256187168E-2</v>
      </c>
      <c r="EY159" s="22">
        <f t="shared" si="181"/>
        <v>64.024848402568139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7.6783333333333319</v>
      </c>
      <c r="N160" s="13">
        <f>IF('Données projet'!$A$36&gt;35,N159+M160-V159,IF(A160&lt;'Données projet'!$A$36,$K$205^A160,IF(A160='Données projet'!$A$36,'Données projet'!$B$36,N159+M160-V159)))</f>
        <v>351.18833333333293</v>
      </c>
      <c r="O160" s="13">
        <f>N160*VLOOKUP('Données projet'!$B$9,Paramètres!$A$1:$I$89,3,0)*VLOOKUP('Données projet'!$B$9,Paramètres!$A$1:$I$89,5,0)</f>
        <v>356.10496999999958</v>
      </c>
      <c r="P160" s="13">
        <f t="shared" si="141"/>
        <v>82.818320026492003</v>
      </c>
      <c r="Q160" s="20">
        <f t="shared" si="162"/>
        <v>764.45806346280631</v>
      </c>
      <c r="R160" s="59">
        <f t="shared" si="109"/>
        <v>1057.7913967961397</v>
      </c>
      <c r="S160" s="59">
        <f ca="1">AVERAGE(OFFSET($R$3,0,0,'Données projet'!$E$9+1,1))-AVERAGE(OFFSET($H$3,0,0,'Données projet'!$E$9+1,1))</f>
        <v>533.26035274112917</v>
      </c>
      <c r="T160" s="59">
        <f t="shared" si="142"/>
        <v>262.58149402282521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41.24639549205115</v>
      </c>
      <c r="AA160" s="21">
        <f>EXP(-LN(2)/25)*AA159+(1-EXP(-LN(2)/25))/(LN(2)/25)*Calculateur!V160*Calculateur!X160*VLOOKUP('Données projet'!$B$9,Paramètres!$A$1:$I$89,3,0)*0.475*44/12</f>
        <v>22.236409741670755</v>
      </c>
      <c r="AB160" s="21">
        <f>EXP(-LN(2)/2)*AB159+(1-EXP(-LN(2)/2))/(LN(2)/2)*V160*Y160*VLOOKUP('Données projet'!$B$9,Paramètres!$A$1:$I$89,3,0)*0.475*44/12</f>
        <v>6.5256454892555452E-2</v>
      </c>
      <c r="AC160" s="22">
        <f t="shared" si="163"/>
        <v>63.54806168861446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>
        <f>VLOOKUP(A160,'Données projet'!$A$61:$I$81,2,0)</f>
        <v>194.52</v>
      </c>
      <c r="AG160" s="12">
        <f>VLOOKUP(A160,'Données projet'!$A$61:$I$81,9,0)</f>
        <v>2.7775000000000034</v>
      </c>
      <c r="AH160" s="12">
        <f t="array" ref="AH160">INDEX(AG:AG,MIN(IF(ISNUMBER(AG160:AG356),ROW(AG160:AG356),"")))</f>
        <v>2.7775000000000034</v>
      </c>
      <c r="AI160" s="13">
        <f>IF('Données projet'!$A$62&gt;35,AI159+AH160-AQ159,IF(A160&lt;'Données projet'!$A$62,$AF$205^A160,IF(A160='Données projet'!$A$62,'Données projet'!$B$62,AI159+AH160-AQ159)))</f>
        <v>194.52000000000055</v>
      </c>
      <c r="AJ160" s="13">
        <f>AI160*VLOOKUP('Données projet'!$B$10,Paramètres!$A$1:$I$89,3,0)*VLOOKUP('Données projet'!$B$10,Paramètres!$A$1:$I$89,5,0)</f>
        <v>176.00169600000049</v>
      </c>
      <c r="AK160" s="13">
        <f t="shared" si="164"/>
        <v>44.431477576109785</v>
      </c>
      <c r="AL160" s="20">
        <f t="shared" si="165"/>
        <v>383.92111064505872</v>
      </c>
      <c r="AM160" s="59">
        <f t="shared" si="113"/>
        <v>677.25444397839203</v>
      </c>
      <c r="AN160" s="59">
        <f ca="1">AVERAGE(OFFSET($AM$3,0,0,'Données projet'!$E$10+1,1))-AVERAGE(OFFSET($H$3,0,0,'Données projet'!$E$10+1,1))</f>
        <v>482.62991869403385</v>
      </c>
      <c r="AO160" s="59">
        <f t="shared" si="144"/>
        <v>310.43914804089906</v>
      </c>
      <c r="AP160" s="15">
        <f>IF(ISNA(VLOOKUP(A160,'Données projet'!$A$61:$I$81,3,0)),0,VLOOKUP(A160,'Données projet'!$A$61:$I$81,3,0))</f>
        <v>14</v>
      </c>
      <c r="AQ160" s="15">
        <f>IF(ISNA(VLOOKUP(A160,'Données projet'!$A$61:$I$81,4,0)),0,VLOOKUP(A160,'Données projet'!$A$61:$I$81,4,0))</f>
        <v>67.13000000000001</v>
      </c>
      <c r="AR160" s="16">
        <f>IF(ISNA(VLOOKUP(A160,'Données projet'!$A$61:$I$81,5,0)),0%,VLOOKUP(A160,'Données projet'!$A$61:$I$81,5,0)*VLOOKUP('Données projet'!$B$10,Paramètres!$A$1:$I$89,7,0))</f>
        <v>0.19350000000000001</v>
      </c>
      <c r="AS160" s="16">
        <f>IF(ISNA(VLOOKUP(A160,'Données projet'!$A$61:$I$81,6,0)),0%,VLOOKUP(A160,'Données projet'!$A$61:$I$81,6,0)*VLOOKUP('Données projet'!$B$10,Paramètres!$A$1:$I$89,7,0))</f>
        <v>2.1500000000000002E-2</v>
      </c>
      <c r="AT160" s="16">
        <f>IF(ISNA(VLOOKUP(A160,'Données projet'!$A$61:$I$81,7,0)),0%,VLOOKUP(A160,'Données projet'!$A$61:$I$81,7,0))</f>
        <v>0.05</v>
      </c>
      <c r="AU160" s="21">
        <f>EXP(-LN(2)/35)*AU159+(1-EXP(-LN(2)/35))/(LN(2)/35)*AQ160*AR160*VLOOKUP('Données projet'!$B$10,Paramètres!$A$1:$I$89,3,0)*0.475*44/12</f>
        <v>93.53223667850591</v>
      </c>
      <c r="AV160" s="21">
        <f>EXP(-LN(2)/25)*AV159+(1-EXP(-LN(2)/25))/(LN(2)/25)*Calculateur!AQ160*Calculateur!AS160*VLOOKUP('Données projet'!$B$10,Paramètres!$A$1:$I$89,3,0)*0.475*44/12</f>
        <v>19.038545199818962</v>
      </c>
      <c r="AW160" s="21">
        <f>EXP(-LN(2)/2)*AW159+(1-EXP(-LN(2)/2))/(LN(2)/2)*AQ160*AT160*VLOOKUP('Données projet'!$B$10,Paramètres!$A$1:$I$89,3,0)*0.475*44/12</f>
        <v>4.4347478093886004</v>
      </c>
      <c r="AX160" s="21">
        <f t="shared" si="166"/>
        <v>117.00552968771348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384.34044781465661</v>
      </c>
      <c r="BJ160" s="59">
        <f t="shared" si="146"/>
        <v>374.99493809709708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12.422402059833024</v>
      </c>
      <c r="BQ160" s="21">
        <f>EXP(-LN(2)/25)*BQ159+(1-EXP(-LN(2)/25))/(LN(2)/25)*Calculateur!BL160*Calculateur!BN160*VLOOKUP('Données projet'!$B$11,Paramètres!$A$1:$I$89,3,0)*0.475*44/12</f>
        <v>6.664442394537649</v>
      </c>
      <c r="BR160" s="21">
        <f>EXP(-LN(2)/2)*BR159+(1-EXP(-LN(2)/2))/(LN(2)/2)*BL160*BO160*VLOOKUP('Données projet'!$B$11,Paramètres!$A$1:$I$89,3,0)*0.475*44/12</f>
        <v>1.7631772538068952E-10</v>
      </c>
      <c r="BS160" s="22">
        <f t="shared" si="169"/>
        <v>19.086844454546991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>
        <f>VLOOKUP(A160,'Données projet'!$A$113:$I$133,2,0)</f>
        <v>194.52</v>
      </c>
      <c r="BW160" s="12">
        <f>VLOOKUP(A160,'Données projet'!$A$113:$I$133,9,0)</f>
        <v>2.7775000000000034</v>
      </c>
      <c r="BX160" s="12">
        <f t="array" ref="BX160">INDEX(BW:BW,MIN(IF(ISNUMBER(BW160:BW356),ROW(BW160:BW356),"")))</f>
        <v>2.7775000000000034</v>
      </c>
      <c r="BY160" s="12">
        <f>IF('Données projet'!$A$114&gt;35,BY159+BX160-CG159,IF(A160&lt;'Données projet'!$A$114,$BV$205^A160,IF(A160='Données projet'!$A$114,'Données projet'!$B$114,BY159+BX160-CG159)))</f>
        <v>194.52000000000055</v>
      </c>
      <c r="BZ160" s="13">
        <f>BY160*VLOOKUP('Données projet'!$B$12,Paramètres!$A$1:$I$89,3,0)*VLOOKUP('Données projet'!$B$12,Paramètres!$A$1:$I$89,5,0)</f>
        <v>185.10523200000051</v>
      </c>
      <c r="CA160" s="13">
        <f t="shared" si="170"/>
        <v>46.456150836399537</v>
      </c>
      <c r="CB160" s="20">
        <f t="shared" si="171"/>
        <v>403.30274177339675</v>
      </c>
      <c r="CC160" s="59">
        <f t="shared" si="119"/>
        <v>696.63607510673</v>
      </c>
      <c r="CD160" s="59">
        <f ca="1">AVERAGE(OFFSET($CC$3,0,0,'Données projet'!$E$12+1,1))-AVERAGE(OFFSET($H$3,0,0,'Données projet'!$E$12+1,1))</f>
        <v>513.14430745499283</v>
      </c>
      <c r="CE160" s="59">
        <f t="shared" si="148"/>
        <v>324.2490378019823</v>
      </c>
      <c r="CF160" s="15">
        <f>IF(ISNA(VLOOKUP(A160,'Données projet'!$A$113:$I$133,3,0)),0,VLOOKUP(A160,'Données projet'!$A$113:$I$133,3,0))</f>
        <v>14</v>
      </c>
      <c r="CG160" s="15">
        <f>IF(ISNA(VLOOKUP(A160,'Données projet'!$A$113:$I$133,4,0)),0,VLOOKUP(A160,'Données projet'!$A$113:$I$133,4,0))</f>
        <v>67.13000000000001</v>
      </c>
      <c r="CH160" s="16">
        <f>IF(ISNA(VLOOKUP(A160,'Données projet'!$A$113:$I$133,5,0)),0%,VLOOKUP(A160,'Données projet'!$A$113:$I$133,5,0)*VLOOKUP('Données projet'!$B$12,Paramètres!$A$1:$I$89,7,0))</f>
        <v>0.19350000000000001</v>
      </c>
      <c r="CI160" s="16">
        <f>IF(ISNA(VLOOKUP(A160,'Données projet'!$A$113:$I$133,6,0)),0%,VLOOKUP(A160,'Données projet'!$A$113:$I$133,6,0)*VLOOKUP('Données projet'!$B$12,Paramètres!$A$1:$I$89,7,0))</f>
        <v>2.1500000000000002E-2</v>
      </c>
      <c r="CJ160" s="16">
        <f>IF(ISNA(VLOOKUP(A160,'Données projet'!$A$113:$I$133,7,0)),0%,VLOOKUP(A160,'Données projet'!$A$113:$I$133,7,0))</f>
        <v>0.05</v>
      </c>
      <c r="CK160" s="21">
        <f>EXP(-LN(2)/35)*CK159+(1-EXP(-LN(2)/35))/(LN(2)/35)*CG160*CH160*VLOOKUP('Données projet'!$B$12,Paramètres!$A$1:$I$89,3,0)*0.475*44/12</f>
        <v>98.3701109894631</v>
      </c>
      <c r="CL160" s="21">
        <f>EXP(-LN(2)/25)*CL159+(1-EXP(-LN(2)/25))/(LN(2)/25)*Calculateur!CG160*Calculateur!CI160*VLOOKUP('Données projet'!$B$12,Paramètres!$A$1:$I$89,3,0)*0.475*44/12</f>
        <v>20.023297537740635</v>
      </c>
      <c r="CM160" s="21">
        <f>EXP(-LN(2)/2)*CM159+(1-EXP(-LN(2)/2))/(LN(2)/2)*CG160*CJ160*VLOOKUP('Données projet'!$B$12,Paramètres!$A$1:$I$89,3,0)*0.475*44/12</f>
        <v>4.6641313167707699</v>
      </c>
      <c r="CN160" s="22">
        <f t="shared" si="172"/>
        <v>123.0575398439745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-1.1368683772161603E-13</v>
      </c>
      <c r="CU160" s="17">
        <f>CT160*VLOOKUP('Données projet'!$B$13,Paramètres!$A$1:$I$89,3,0)*VLOOKUP('Données projet'!$B$13,Paramètres!$A$1:$I$89,5,0)</f>
        <v>-8.8675733422860506E-14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197.51452239559433</v>
      </c>
      <c r="CZ160" s="59">
        <f t="shared" si="150"/>
        <v>196.65166921588821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4.8245198611273965</v>
      </c>
      <c r="DG160" s="21">
        <f>EXP(-LN(2)/25)*DG159+(1-EXP(-LN(2)/25))/(LN(2)/25)*Calculateur!DB160*Calculateur!DD160*VLOOKUP('Données projet'!$B$13,Paramètres!$A$1:$I$89,3,0)*0.475*44/12</f>
        <v>2.3656541204645558</v>
      </c>
      <c r="DH160" s="21">
        <f>EXP(-LN(2)/2)*DH159+(1-EXP(-LN(2)/2))/(LN(2)/2)*DB160*DE160*VLOOKUP('Données projet'!$B$13,Paramètres!$A$1:$I$89,3,0)*0.475*44/12</f>
        <v>2.2138333250986606E-12</v>
      </c>
      <c r="DI160" s="22">
        <f t="shared" si="175"/>
        <v>7.1901739815941665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>
        <f>DO160*VLOOKUP('Données projet'!$B$14,Paramètres!$A$1:$I$89,3,0)*VLOOKUP('Données projet'!$B$14,Paramètres!$A$1:$I$89,5,0)</f>
        <v>0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239.26156489359892</v>
      </c>
      <c r="DU160" s="59">
        <f t="shared" si="152"/>
        <v>213.97034450798111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2.8690052482104407</v>
      </c>
      <c r="EB160" s="21">
        <f>EXP(-LN(2)/25)*EB159+(1-EXP(-LN(2)/25))/(LN(2)/25)*Calculateur!DW160*Calculateur!DY160*VLOOKUP('Données projet'!$B$14,Paramètres!$A$1:$I$89,3,0)*0.475*44/12</f>
        <v>9.9652565638480866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12.834261812058527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7.6783333333333319</v>
      </c>
      <c r="EJ160" s="12">
        <f>IF('Données projet'!$A$192&gt;35,EJ159+EI160-ER159,IF(A160&lt;'Données projet'!$A$192,$EG$205^A160,IF(A160='Données projet'!$A$192,'Données projet'!$B$192,EJ159+EI160-ER159)))</f>
        <v>351.18833333333293</v>
      </c>
      <c r="EK160" s="17">
        <f>EJ160*VLOOKUP('Données projet'!$B$15,Paramètres!$A$1:$I$89,3,0)*VLOOKUP('Données projet'!$B$15,Paramètres!$A$1:$I$89,5,0)</f>
        <v>350.62643199999962</v>
      </c>
      <c r="EL160" s="13">
        <f t="shared" si="179"/>
        <v>81.691486665271654</v>
      </c>
      <c r="EM160" s="20">
        <f t="shared" si="180"/>
        <v>752.95370834201412</v>
      </c>
      <c r="EN160" s="59">
        <f t="shared" si="128"/>
        <v>1046.2870416753474</v>
      </c>
      <c r="EO160" s="59">
        <f ca="1">AVERAGE(OFFSET($EN$3,0,0,'Données projet'!$E$15+1,1))-AVERAGE(OFFSET($H$3,0,0,'Données projet'!$E$15+1,1))</f>
        <v>525.74725170626471</v>
      </c>
      <c r="EP160" s="59">
        <f t="shared" si="154"/>
        <v>259.19103598192197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40.611835561404206</v>
      </c>
      <c r="EW160" s="21">
        <f>EXP(-LN(2)/25)*EW159+(1-EXP(-LN(2)/25))/(LN(2)/25)*Calculateur!ER160*Calculateur!ET160*VLOOKUP('Données projet'!$B$15,Paramètres!$A$1:$I$89,3,0)*0.475*44/12</f>
        <v>21.894311130260441</v>
      </c>
      <c r="EX160" s="21">
        <f>EXP(-LN(2)/2)*EX159+(1-EXP(-LN(2)/2))/(LN(2)/2)*ER160*EU160*VLOOKUP('Données projet'!$B$15,Paramètres!$A$1:$I$89,3,0)*0.475*44/12</f>
        <v>6.4252509432670024E-2</v>
      </c>
      <c r="EY160" s="22">
        <f t="shared" si="181"/>
        <v>62.570399201097317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7.6783333333333319</v>
      </c>
      <c r="N161" s="13">
        <f>IF('Données projet'!$A$36&gt;35,N160+M161-V160,IF(A161&lt;'Données projet'!$A$36,$K$205^A161,IF(A161='Données projet'!$A$36,'Données projet'!$B$36,N160+M161-V160)))</f>
        <v>358.86666666666628</v>
      </c>
      <c r="O161" s="13">
        <f>N161*VLOOKUP('Données projet'!$B$9,Paramètres!$A$1:$I$89,3,0)*VLOOKUP('Données projet'!$B$9,Paramètres!$A$1:$I$89,5,0)</f>
        <v>363.89079999999962</v>
      </c>
      <c r="P161" s="13">
        <f t="shared" si="141"/>
        <v>84.416260050559117</v>
      </c>
      <c r="Q161" s="20">
        <f t="shared" si="162"/>
        <v>780.80146292138977</v>
      </c>
      <c r="R161" s="59">
        <f t="shared" si="109"/>
        <v>1074.1347962547231</v>
      </c>
      <c r="S161" s="59">
        <f ca="1">AVERAGE(OFFSET($R$3,0,0,'Données projet'!$E$9+1,1))-AVERAGE(OFFSET($H$3,0,0,'Données projet'!$E$9+1,1))</f>
        <v>533.26035274112917</v>
      </c>
      <c r="T161" s="59">
        <f t="shared" si="142"/>
        <v>262.58149402282521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40.437578834269146</v>
      </c>
      <c r="AA161" s="21">
        <f>EXP(-LN(2)/25)*AA160+(1-EXP(-LN(2)/25))/(LN(2)/25)*Calculateur!V161*Calculateur!X161*VLOOKUP('Données projet'!$B$9,Paramètres!$A$1:$I$89,3,0)*0.475*44/12</f>
        <v>21.6283539479228</v>
      </c>
      <c r="AB161" s="21">
        <f>EXP(-LN(2)/2)*AB160+(1-EXP(-LN(2)/2))/(LN(2)/2)*V161*Y161*VLOOKUP('Données projet'!$B$9,Paramètres!$A$1:$I$89,3,0)*0.475*44/12</f>
        <v>4.6143281770720017E-2</v>
      </c>
      <c r="AC161" s="22">
        <f t="shared" si="163"/>
        <v>62.112076063962668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1.7174999999999976</v>
      </c>
      <c r="AI161" s="13">
        <f>IF('Données projet'!$A$62&gt;35,AI160+AH161-AQ160,IF(A161&lt;'Données projet'!$A$62,$AF$205^A161,IF(A161='Données projet'!$A$62,'Données projet'!$B$62,AI160+AH161-AQ160)))</f>
        <v>129.10750000000053</v>
      </c>
      <c r="AJ161" s="13">
        <f>AI161*VLOOKUP('Données projet'!$B$10,Paramètres!$A$1:$I$89,3,0)*VLOOKUP('Données projet'!$B$10,Paramètres!$A$1:$I$89,5,0)</f>
        <v>116.81646600000047</v>
      </c>
      <c r="AK161" s="13">
        <f t="shared" si="164"/>
        <v>30.931334347171287</v>
      </c>
      <c r="AL161" s="20">
        <f t="shared" si="165"/>
        <v>257.32741893799079</v>
      </c>
      <c r="AM161" s="59">
        <f t="shared" si="113"/>
        <v>550.6607522713241</v>
      </c>
      <c r="AN161" s="59">
        <f ca="1">AVERAGE(OFFSET($AM$3,0,0,'Données projet'!$E$10+1,1))-AVERAGE(OFFSET($H$3,0,0,'Données projet'!$E$10+1,1))</f>
        <v>482.62991869403385</v>
      </c>
      <c r="AO161" s="59">
        <f t="shared" si="144"/>
        <v>310.43914804089906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91.698126566271654</v>
      </c>
      <c r="AV161" s="21">
        <f>EXP(-LN(2)/25)*AV160+(1-EXP(-LN(2)/25))/(LN(2)/25)*Calculateur!AQ161*Calculateur!AS161*VLOOKUP('Données projet'!$B$10,Paramètres!$A$1:$I$89,3,0)*0.475*44/12</f>
        <v>18.517935180136334</v>
      </c>
      <c r="AW161" s="21">
        <f>EXP(-LN(2)/2)*AW160+(1-EXP(-LN(2)/2))/(LN(2)/2)*AQ161*AT161*VLOOKUP('Données projet'!$B$10,Paramètres!$A$1:$I$89,3,0)*0.475*44/12</f>
        <v>3.1358402488708661</v>
      </c>
      <c r="AX161" s="21">
        <f t="shared" si="166"/>
        <v>113.35190199527885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384.34044781465661</v>
      </c>
      <c r="BJ161" s="59">
        <f t="shared" si="146"/>
        <v>374.99493809709708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12.178806332356796</v>
      </c>
      <c r="BQ161" s="21">
        <f>EXP(-LN(2)/25)*BQ160+(1-EXP(-LN(2)/25))/(LN(2)/25)*Calculateur!BL161*Calculateur!BN161*VLOOKUP('Données projet'!$B$11,Paramètres!$A$1:$I$89,3,0)*0.475*44/12</f>
        <v>6.4822028667912228</v>
      </c>
      <c r="BR161" s="21">
        <f>EXP(-LN(2)/2)*BR160+(1-EXP(-LN(2)/2))/(LN(2)/2)*BL161*BO161*VLOOKUP('Données projet'!$B$11,Paramètres!$A$1:$I$89,3,0)*0.475*44/12</f>
        <v>1.24675459260073E-10</v>
      </c>
      <c r="BS161" s="22">
        <f t="shared" si="169"/>
        <v>18.661009199272694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1.7174999999999976</v>
      </c>
      <c r="BY161" s="12">
        <f>IF('Données projet'!$A$114&gt;35,BY160+BX161-CG160,IF(A161&lt;'Données projet'!$A$114,$BV$205^A161,IF(A161='Données projet'!$A$114,'Données projet'!$B$114,BY160+BX161-CG160)))</f>
        <v>129.10750000000053</v>
      </c>
      <c r="BZ161" s="13">
        <f>BY161*VLOOKUP('Données projet'!$B$12,Paramètres!$A$1:$I$89,3,0)*VLOOKUP('Données projet'!$B$12,Paramètres!$A$1:$I$89,5,0)</f>
        <v>122.8586970000005</v>
      </c>
      <c r="CA161" s="13">
        <f t="shared" si="170"/>
        <v>32.340827098127491</v>
      </c>
      <c r="CB161" s="20">
        <f t="shared" si="171"/>
        <v>270.30583780423962</v>
      </c>
      <c r="CC161" s="59">
        <f t="shared" si="119"/>
        <v>563.63917113757293</v>
      </c>
      <c r="CD161" s="59">
        <f ca="1">AVERAGE(OFFSET($CC$3,0,0,'Données projet'!$E$12+1,1))-AVERAGE(OFFSET($H$3,0,0,'Données projet'!$E$12+1,1))</f>
        <v>513.14430745499283</v>
      </c>
      <c r="CE161" s="59">
        <f t="shared" si="148"/>
        <v>324.2490378019823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96.441133112802945</v>
      </c>
      <c r="CL161" s="21">
        <f>EXP(-LN(2)/25)*CL160+(1-EXP(-LN(2)/25))/(LN(2)/25)*Calculateur!CG161*Calculateur!CI161*VLOOKUP('Données projet'!$B$12,Paramètres!$A$1:$I$89,3,0)*0.475*44/12</f>
        <v>19.475759413591664</v>
      </c>
      <c r="CM161" s="21">
        <f>EXP(-LN(2)/2)*CM160+(1-EXP(-LN(2)/2))/(LN(2)/2)*CG161*CJ161*VLOOKUP('Données projet'!$B$12,Paramètres!$A$1:$I$89,3,0)*0.475*44/12</f>
        <v>3.2980388824331528</v>
      </c>
      <c r="CN161" s="22">
        <f t="shared" si="172"/>
        <v>119.21493140882775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-1.1368683772161603E-13</v>
      </c>
      <c r="CU161" s="17">
        <f>CT161*VLOOKUP('Données projet'!$B$13,Paramètres!$A$1:$I$89,3,0)*VLOOKUP('Données projet'!$B$13,Paramètres!$A$1:$I$89,5,0)</f>
        <v>-8.8675733422860506E-14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197.51452239559433</v>
      </c>
      <c r="CZ161" s="59">
        <f t="shared" si="150"/>
        <v>196.65166921588821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4.7299139693172396</v>
      </c>
      <c r="DG161" s="21">
        <f>EXP(-LN(2)/25)*DG160+(1-EXP(-LN(2)/25))/(LN(2)/25)*Calculateur!DB161*Calculateur!DD161*VLOOKUP('Données projet'!$B$13,Paramètres!$A$1:$I$89,3,0)*0.475*44/12</f>
        <v>2.3009651841361092</v>
      </c>
      <c r="DH161" s="21">
        <f>EXP(-LN(2)/2)*DH160+(1-EXP(-LN(2)/2))/(LN(2)/2)*DB161*DE161*VLOOKUP('Données projet'!$B$13,Paramètres!$A$1:$I$89,3,0)*0.475*44/12</f>
        <v>1.5654165565940256E-12</v>
      </c>
      <c r="DI161" s="22">
        <f t="shared" si="175"/>
        <v>7.0308791534549142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>
        <f>DO161*VLOOKUP('Données projet'!$B$14,Paramètres!$A$1:$I$89,3,0)*VLOOKUP('Données projet'!$B$14,Paramètres!$A$1:$I$89,5,0)</f>
        <v>0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239.26156489359892</v>
      </c>
      <c r="DU161" s="59">
        <f t="shared" si="152"/>
        <v>213.97034450798111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2.8127458052134449</v>
      </c>
      <c r="EB161" s="21">
        <f>EXP(-LN(2)/25)*EB160+(1-EXP(-LN(2)/25))/(LN(2)/25)*Calculateur!DW161*Calculateur!DY161*VLOOKUP('Données projet'!$B$14,Paramètres!$A$1:$I$89,3,0)*0.475*44/12</f>
        <v>9.6927560990595936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12.505501904273039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7.6783333333333319</v>
      </c>
      <c r="EJ161" s="12">
        <f>IF('Données projet'!$A$192&gt;35,EJ160+EI161-ER160,IF(A161&lt;'Données projet'!$A$192,$EG$205^A161,IF(A161='Données projet'!$A$192,'Données projet'!$B$192,EJ160+EI161-ER160)))</f>
        <v>358.86666666666628</v>
      </c>
      <c r="EK161" s="17">
        <f>EJ161*VLOOKUP('Données projet'!$B$15,Paramètres!$A$1:$I$89,3,0)*VLOOKUP('Données projet'!$B$15,Paramètres!$A$1:$I$89,5,0)</f>
        <v>358.29247999999961</v>
      </c>
      <c r="EL161" s="13">
        <f t="shared" si="179"/>
        <v>83.26768497654173</v>
      </c>
      <c r="EM161" s="20">
        <f t="shared" si="180"/>
        <v>769.05062066747621</v>
      </c>
      <c r="EN161" s="59">
        <f t="shared" si="128"/>
        <v>1062.3839540008096</v>
      </c>
      <c r="EO161" s="59">
        <f ca="1">AVERAGE(OFFSET($EN$3,0,0,'Données projet'!$E$15+1,1))-AVERAGE(OFFSET($H$3,0,0,'Données projet'!$E$15+1,1))</f>
        <v>525.74725170626471</v>
      </c>
      <c r="EP161" s="59">
        <f t="shared" si="154"/>
        <v>259.19103598192197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39.815462236818853</v>
      </c>
      <c r="EW161" s="21">
        <f>EXP(-LN(2)/25)*EW160+(1-EXP(-LN(2)/25))/(LN(2)/25)*Calculateur!ER161*Calculateur!ET161*VLOOKUP('Données projet'!$B$15,Paramètres!$A$1:$I$89,3,0)*0.475*44/12</f>
        <v>21.295610041031686</v>
      </c>
      <c r="EX161" s="21">
        <f>EXP(-LN(2)/2)*EX160+(1-EXP(-LN(2)/2))/(LN(2)/2)*ER161*EU161*VLOOKUP('Données projet'!$B$15,Paramètres!$A$1:$I$89,3,0)*0.475*44/12</f>
        <v>4.5433385128093584E-2</v>
      </c>
      <c r="EY161" s="22">
        <f t="shared" si="181"/>
        <v>61.156505662978631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7.6783333333333319</v>
      </c>
      <c r="N162" s="13">
        <f>IF('Données projet'!$A$36&gt;35,N161+M162-V161,IF(A162&lt;'Données projet'!$A$36,$K$205^A162,IF(A162='Données projet'!$A$36,'Données projet'!$B$36,N161+M162-V161)))</f>
        <v>366.54499999999962</v>
      </c>
      <c r="O162" s="13">
        <f>N162*VLOOKUP('Données projet'!$B$9,Paramètres!$A$1:$I$89,3,0)*VLOOKUP('Données projet'!$B$9,Paramètres!$A$1:$I$89,5,0)</f>
        <v>371.67662999999965</v>
      </c>
      <c r="P162" s="13">
        <f t="shared" si="141"/>
        <v>86.010225033473873</v>
      </c>
      <c r="Q162" s="20">
        <f t="shared" si="162"/>
        <v>797.13793918329975</v>
      </c>
      <c r="R162" s="59">
        <f t="shared" si="109"/>
        <v>1090.471272516633</v>
      </c>
      <c r="S162" s="59">
        <f ca="1">AVERAGE(OFFSET($R$3,0,0,'Données projet'!$E$9+1,1))-AVERAGE(OFFSET($H$3,0,0,'Données projet'!$E$9+1,1))</f>
        <v>533.26035274112917</v>
      </c>
      <c r="T162" s="59">
        <f t="shared" si="142"/>
        <v>262.58149402282521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39.644622577816804</v>
      </c>
      <c r="AA162" s="21">
        <f>EXP(-LN(2)/25)*AA161+(1-EXP(-LN(2)/25))/(LN(2)/25)*Calculateur!V162*Calculateur!X162*VLOOKUP('Données projet'!$B$9,Paramètres!$A$1:$I$89,3,0)*0.475*44/12</f>
        <v>21.03692547183115</v>
      </c>
      <c r="AB162" s="21">
        <f>EXP(-LN(2)/2)*AB161+(1-EXP(-LN(2)/2))/(LN(2)/2)*V162*Y162*VLOOKUP('Données projet'!$B$9,Paramètres!$A$1:$I$89,3,0)*0.475*44/12</f>
        <v>3.2628227446277726E-2</v>
      </c>
      <c r="AC162" s="22">
        <f t="shared" si="163"/>
        <v>60.714176277094239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1.7174999999999976</v>
      </c>
      <c r="AI162" s="13">
        <f>IF('Données projet'!$A$62&gt;35,AI161+AH162-AQ161,IF(A162&lt;'Données projet'!$A$62,$AF$205^A162,IF(A162='Données projet'!$A$62,'Données projet'!$B$62,AI161+AH162-AQ161)))</f>
        <v>130.82500000000053</v>
      </c>
      <c r="AJ162" s="13">
        <f>AI162*VLOOKUP('Données projet'!$B$10,Paramètres!$A$1:$I$89,3,0)*VLOOKUP('Données projet'!$B$10,Paramètres!$A$1:$I$89,5,0)</f>
        <v>118.37046000000048</v>
      </c>
      <c r="AK162" s="13">
        <f t="shared" si="164"/>
        <v>31.29463394593726</v>
      </c>
      <c r="AL162" s="20">
        <f t="shared" si="165"/>
        <v>260.6667052891749</v>
      </c>
      <c r="AM162" s="59">
        <f t="shared" si="113"/>
        <v>554.00003862250821</v>
      </c>
      <c r="AN162" s="59">
        <f ca="1">AVERAGE(OFFSET($AM$3,0,0,'Données projet'!$E$10+1,1))-AVERAGE(OFFSET($H$3,0,0,'Données projet'!$E$10+1,1))</f>
        <v>482.62991869403385</v>
      </c>
      <c r="AO162" s="59">
        <f t="shared" si="144"/>
        <v>310.43914804089906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89.899982234641612</v>
      </c>
      <c r="AV162" s="21">
        <f>EXP(-LN(2)/25)*AV161+(1-EXP(-LN(2)/25))/(LN(2)/25)*Calculateur!AQ162*Calculateur!AS162*VLOOKUP('Données projet'!$B$10,Paramètres!$A$1:$I$89,3,0)*0.475*44/12</f>
        <v>18.011561268819619</v>
      </c>
      <c r="AW162" s="21">
        <f>EXP(-LN(2)/2)*AW161+(1-EXP(-LN(2)/2))/(LN(2)/2)*AQ162*AT162*VLOOKUP('Données projet'!$B$10,Paramètres!$A$1:$I$89,3,0)*0.475*44/12</f>
        <v>2.2173739046943002</v>
      </c>
      <c r="AX162" s="21">
        <f t="shared" si="166"/>
        <v>110.12891740815553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384.34044781465661</v>
      </c>
      <c r="BJ162" s="59">
        <f t="shared" si="146"/>
        <v>374.99493809709708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11.939987368517654</v>
      </c>
      <c r="BQ162" s="21">
        <f>EXP(-LN(2)/25)*BQ161+(1-EXP(-LN(2)/25))/(LN(2)/25)*Calculateur!BL162*Calculateur!BN162*VLOOKUP('Données projet'!$B$11,Paramètres!$A$1:$I$89,3,0)*0.475*44/12</f>
        <v>6.3049466885145833</v>
      </c>
      <c r="BR162" s="21">
        <f>EXP(-LN(2)/2)*BR161+(1-EXP(-LN(2)/2))/(LN(2)/2)*BL162*BO162*VLOOKUP('Données projet'!$B$11,Paramètres!$A$1:$I$89,3,0)*0.475*44/12</f>
        <v>8.8158862690344762E-11</v>
      </c>
      <c r="BS162" s="22">
        <f t="shared" si="169"/>
        <v>18.2449340571204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1.7174999999999976</v>
      </c>
      <c r="BY162" s="12">
        <f>IF('Données projet'!$A$114&gt;35,BY161+BX162-CG161,IF(A162&lt;'Données projet'!$A$114,$BV$205^A162,IF(A162='Données projet'!$A$114,'Données projet'!$B$114,BY161+BX162-CG161)))</f>
        <v>130.82500000000053</v>
      </c>
      <c r="BZ162" s="13">
        <f>BY162*VLOOKUP('Données projet'!$B$12,Paramètres!$A$1:$I$89,3,0)*VLOOKUP('Données projet'!$B$12,Paramètres!$A$1:$I$89,5,0)</f>
        <v>124.4930700000005</v>
      </c>
      <c r="CA162" s="13">
        <f t="shared" si="170"/>
        <v>32.72068169400864</v>
      </c>
      <c r="CB162" s="20">
        <f t="shared" si="171"/>
        <v>273.8139508670659</v>
      </c>
      <c r="CC162" s="59">
        <f t="shared" si="119"/>
        <v>567.14728420039921</v>
      </c>
      <c r="CD162" s="59">
        <f ca="1">AVERAGE(OFFSET($CC$3,0,0,'Données projet'!$E$12+1,1))-AVERAGE(OFFSET($H$3,0,0,'Données projet'!$E$12+1,1))</f>
        <v>513.14430745499283</v>
      </c>
      <c r="CE162" s="59">
        <f t="shared" si="148"/>
        <v>324.2490378019823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94.549981315743764</v>
      </c>
      <c r="CL162" s="21">
        <f>EXP(-LN(2)/25)*CL161+(1-EXP(-LN(2)/25))/(LN(2)/25)*Calculateur!CG162*Calculateur!CI162*VLOOKUP('Données projet'!$B$12,Paramètres!$A$1:$I$89,3,0)*0.475*44/12</f>
        <v>18.943193748241324</v>
      </c>
      <c r="CM162" s="21">
        <f>EXP(-LN(2)/2)*CM161+(1-EXP(-LN(2)/2))/(LN(2)/2)*CG162*CJ162*VLOOKUP('Données projet'!$B$12,Paramètres!$A$1:$I$89,3,0)*0.475*44/12</f>
        <v>2.3320656583853854</v>
      </c>
      <c r="CN162" s="22">
        <f t="shared" si="172"/>
        <v>115.82524072237048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-1.1368683772161603E-13</v>
      </c>
      <c r="CU162" s="17">
        <f>CT162*VLOOKUP('Données projet'!$B$13,Paramètres!$A$1:$I$89,3,0)*VLOOKUP('Données projet'!$B$13,Paramètres!$A$1:$I$89,5,0)</f>
        <v>-8.8675733422860506E-14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197.51452239559433</v>
      </c>
      <c r="CZ162" s="59">
        <f t="shared" si="150"/>
        <v>196.65166921588821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4.6371632413415833</v>
      </c>
      <c r="DG162" s="21">
        <f>EXP(-LN(2)/25)*DG161+(1-EXP(-LN(2)/25))/(LN(2)/25)*Calculateur!DB162*Calculateur!DD162*VLOOKUP('Données projet'!$B$13,Paramètres!$A$1:$I$89,3,0)*0.475*44/12</f>
        <v>2.238045170173407</v>
      </c>
      <c r="DH162" s="21">
        <f>EXP(-LN(2)/2)*DH161+(1-EXP(-LN(2)/2))/(LN(2)/2)*DB162*DE162*VLOOKUP('Données projet'!$B$13,Paramètres!$A$1:$I$89,3,0)*0.475*44/12</f>
        <v>1.1069166625493303E-12</v>
      </c>
      <c r="DI162" s="22">
        <f t="shared" si="175"/>
        <v>6.8752084115160965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>
        <f>DO162*VLOOKUP('Données projet'!$B$14,Paramètres!$A$1:$I$89,3,0)*VLOOKUP('Données projet'!$B$14,Paramètres!$A$1:$I$89,5,0)</f>
        <v>0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239.26156489359892</v>
      </c>
      <c r="DU162" s="59">
        <f t="shared" si="152"/>
        <v>213.97034450798111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2.7575895755787485</v>
      </c>
      <c r="EB162" s="21">
        <f>EXP(-LN(2)/25)*EB161+(1-EXP(-LN(2)/25))/(LN(2)/25)*Calculateur!DW162*Calculateur!DY162*VLOOKUP('Données projet'!$B$14,Paramètres!$A$1:$I$89,3,0)*0.475*44/12</f>
        <v>9.4277071738109193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12.185296749389668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7.6783333333333319</v>
      </c>
      <c r="EJ162" s="12">
        <f>IF('Données projet'!$A$192&gt;35,EJ161+EI162-ER161,IF(A162&lt;'Données projet'!$A$192,$EG$205^A162,IF(A162='Données projet'!$A$192,'Données projet'!$B$192,EJ161+EI162-ER161)))</f>
        <v>366.54499999999962</v>
      </c>
      <c r="EK162" s="17">
        <f>EJ162*VLOOKUP('Données projet'!$B$15,Paramètres!$A$1:$I$89,3,0)*VLOOKUP('Données projet'!$B$15,Paramètres!$A$1:$I$89,5,0)</f>
        <v>365.95852799999966</v>
      </c>
      <c r="EL162" s="13">
        <f t="shared" si="179"/>
        <v>84.839962331419784</v>
      </c>
      <c r="EM162" s="20">
        <f t="shared" si="180"/>
        <v>785.14070399388891</v>
      </c>
      <c r="EN162" s="59">
        <f t="shared" si="128"/>
        <v>1078.4740373272223</v>
      </c>
      <c r="EO162" s="59">
        <f ca="1">AVERAGE(OFFSET($EN$3,0,0,'Données projet'!$E$15+1,1))-AVERAGE(OFFSET($H$3,0,0,'Données projet'!$E$15+1,1))</f>
        <v>525.74725170626471</v>
      </c>
      <c r="EP162" s="59">
        <f t="shared" si="154"/>
        <v>259.19103598192197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39.034705307388855</v>
      </c>
      <c r="EW162" s="21">
        <f>EXP(-LN(2)/25)*EW161+(1-EXP(-LN(2)/25))/(LN(2)/25)*Calculateur!ER162*Calculateur!ET162*VLOOKUP('Données projet'!$B$15,Paramètres!$A$1:$I$89,3,0)*0.475*44/12</f>
        <v>20.713280464572215</v>
      </c>
      <c r="EX162" s="21">
        <f>EXP(-LN(2)/2)*EX161+(1-EXP(-LN(2)/2))/(LN(2)/2)*ER162*EU162*VLOOKUP('Données projet'!$B$15,Paramètres!$A$1:$I$89,3,0)*0.475*44/12</f>
        <v>3.2126254716335012E-2</v>
      </c>
      <c r="EY162" s="22">
        <f t="shared" si="181"/>
        <v>59.780112026677401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7.6783333333333319</v>
      </c>
      <c r="N163" s="13">
        <f>IF('Données projet'!$A$36&gt;35,N162+M163-V162,IF(A163&lt;'Données projet'!$A$36,$K$205^A163,IF(A163='Données projet'!$A$36,'Données projet'!$B$36,N162+M163-V162)))</f>
        <v>374.22333333333296</v>
      </c>
      <c r="O163" s="13">
        <f>N163*VLOOKUP('Données projet'!$B$9,Paramètres!$A$1:$I$89,3,0)*VLOOKUP('Données projet'!$B$9,Paramètres!$A$1:$I$89,5,0)</f>
        <v>379.46245999999962</v>
      </c>
      <c r="P163" s="13">
        <f t="shared" si="141"/>
        <v>87.600307836777574</v>
      </c>
      <c r="Q163" s="20">
        <f t="shared" si="162"/>
        <v>813.46765398238688</v>
      </c>
      <c r="R163" s="59">
        <f t="shared" si="109"/>
        <v>1106.8009873157202</v>
      </c>
      <c r="S163" s="59">
        <f ca="1">AVERAGE(OFFSET($R$3,0,0,'Données projet'!$E$9+1,1))-AVERAGE(OFFSET($H$3,0,0,'Données projet'!$E$9+1,1))</f>
        <v>533.26035274112917</v>
      </c>
      <c r="T163" s="59">
        <f t="shared" si="142"/>
        <v>262.58149402282521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38.867215709897927</v>
      </c>
      <c r="AA163" s="21">
        <f>EXP(-LN(2)/25)*AA162+(1-EXP(-LN(2)/25))/(LN(2)/25)*Calculateur!V163*Calculateur!X163*VLOOKUP('Données projet'!$B$9,Paramètres!$A$1:$I$89,3,0)*0.475*44/12</f>
        <v>20.461669638520096</v>
      </c>
      <c r="AB163" s="21">
        <f>EXP(-LN(2)/2)*AB162+(1-EXP(-LN(2)/2))/(LN(2)/2)*V163*Y163*VLOOKUP('Données projet'!$B$9,Paramètres!$A$1:$I$89,3,0)*0.475*44/12</f>
        <v>2.3071640885360008E-2</v>
      </c>
      <c r="AC163" s="22">
        <f t="shared" si="163"/>
        <v>59.351956989303389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1.7174999999999976</v>
      </c>
      <c r="AI163" s="13">
        <f>IF('Données projet'!$A$62&gt;35,AI162+AH163-AQ162,IF(A163&lt;'Données projet'!$A$62,$AF$205^A163,IF(A163='Données projet'!$A$62,'Données projet'!$B$62,AI162+AH163-AQ162)))</f>
        <v>132.54250000000053</v>
      </c>
      <c r="AJ163" s="13">
        <f>AI163*VLOOKUP('Données projet'!$B$10,Paramètres!$A$1:$I$89,3,0)*VLOOKUP('Données projet'!$B$10,Paramètres!$A$1:$I$89,5,0)</f>
        <v>119.92445400000048</v>
      </c>
      <c r="AK163" s="13">
        <f t="shared" si="164"/>
        <v>31.657378784489545</v>
      </c>
      <c r="AL163" s="20">
        <f t="shared" si="165"/>
        <v>264.00502543298677</v>
      </c>
      <c r="AM163" s="59">
        <f t="shared" si="113"/>
        <v>557.33835876632008</v>
      </c>
      <c r="AN163" s="59">
        <f ca="1">AVERAGE(OFFSET($AM$3,0,0,'Données projet'!$E$10+1,1))-AVERAGE(OFFSET($H$3,0,0,'Données projet'!$E$10+1,1))</f>
        <v>482.62991869403385</v>
      </c>
      <c r="AO163" s="59">
        <f t="shared" si="144"/>
        <v>310.43914804089906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88.137098416595094</v>
      </c>
      <c r="AV163" s="21">
        <f>EXP(-LN(2)/25)*AV162+(1-EXP(-LN(2)/25))/(LN(2)/25)*Calculateur!AQ163*Calculateur!AS163*VLOOKUP('Données projet'!$B$10,Paramètres!$A$1:$I$89,3,0)*0.475*44/12</f>
        <v>17.519034178736906</v>
      </c>
      <c r="AW163" s="21">
        <f>EXP(-LN(2)/2)*AW162+(1-EXP(-LN(2)/2))/(LN(2)/2)*AQ163*AT163*VLOOKUP('Données projet'!$B$10,Paramètres!$A$1:$I$89,3,0)*0.475*44/12</f>
        <v>1.567920124435433</v>
      </c>
      <c r="AX163" s="21">
        <f t="shared" si="166"/>
        <v>107.22405271976743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384.34044781465661</v>
      </c>
      <c r="BJ163" s="59">
        <f t="shared" si="146"/>
        <v>374.99493809709708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11.705851498894214</v>
      </c>
      <c r="BQ163" s="21">
        <f>EXP(-LN(2)/25)*BQ162+(1-EXP(-LN(2)/25))/(LN(2)/25)*Calculateur!BL163*Calculateur!BN163*VLOOKUP('Données projet'!$B$11,Paramètres!$A$1:$I$89,3,0)*0.475*44/12</f>
        <v>6.1325375897544161</v>
      </c>
      <c r="BR163" s="21">
        <f>EXP(-LN(2)/2)*BR162+(1-EXP(-LN(2)/2))/(LN(2)/2)*BL163*BO163*VLOOKUP('Données projet'!$B$11,Paramètres!$A$1:$I$89,3,0)*0.475*44/12</f>
        <v>6.2337729630036501E-11</v>
      </c>
      <c r="BS163" s="22">
        <f t="shared" si="169"/>
        <v>17.838389088710969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1.7174999999999976</v>
      </c>
      <c r="BY163" s="12">
        <f>IF('Données projet'!$A$114&gt;35,BY162+BX163-CG162,IF(A163&lt;'Données projet'!$A$114,$BV$205^A163,IF(A163='Données projet'!$A$114,'Données projet'!$B$114,BY162+BX163-CG162)))</f>
        <v>132.54250000000053</v>
      </c>
      <c r="BZ163" s="13">
        <f>BY163*VLOOKUP('Données projet'!$B$12,Paramètres!$A$1:$I$89,3,0)*VLOOKUP('Données projet'!$B$12,Paramètres!$A$1:$I$89,5,0)</f>
        <v>126.1274430000005</v>
      </c>
      <c r="CA163" s="13">
        <f t="shared" si="170"/>
        <v>33.099956250116868</v>
      </c>
      <c r="CB163" s="20">
        <f t="shared" si="171"/>
        <v>277.32105369395441</v>
      </c>
      <c r="CC163" s="59">
        <f t="shared" si="119"/>
        <v>570.65438702728773</v>
      </c>
      <c r="CD163" s="59">
        <f ca="1">AVERAGE(OFFSET($CC$3,0,0,'Données projet'!$E$12+1,1))-AVERAGE(OFFSET($H$3,0,0,'Données projet'!$E$12+1,1))</f>
        <v>513.14430745499283</v>
      </c>
      <c r="CE163" s="59">
        <f t="shared" si="148"/>
        <v>324.2490378019823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92.695913851936211</v>
      </c>
      <c r="CL163" s="21">
        <f>EXP(-LN(2)/25)*CL162+(1-EXP(-LN(2)/25))/(LN(2)/25)*Calculateur!CG163*Calculateur!CI163*VLOOKUP('Données projet'!$B$12,Paramètres!$A$1:$I$89,3,0)*0.475*44/12</f>
        <v>18.4251911190164</v>
      </c>
      <c r="CM163" s="21">
        <f>EXP(-LN(2)/2)*CM162+(1-EXP(-LN(2)/2))/(LN(2)/2)*CG163*CJ163*VLOOKUP('Données projet'!$B$12,Paramètres!$A$1:$I$89,3,0)*0.475*44/12</f>
        <v>1.6490194412165766</v>
      </c>
      <c r="CN163" s="22">
        <f t="shared" si="172"/>
        <v>112.7701244121692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-1.1368683772161603E-13</v>
      </c>
      <c r="CU163" s="17">
        <f>CT163*VLOOKUP('Données projet'!$B$13,Paramètres!$A$1:$I$89,3,0)*VLOOKUP('Données projet'!$B$13,Paramètres!$A$1:$I$89,5,0)</f>
        <v>-8.8675733422860506E-14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197.51452239559433</v>
      </c>
      <c r="CZ163" s="59">
        <f t="shared" si="150"/>
        <v>196.65166921588821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4.5462312985691717</v>
      </c>
      <c r="DG163" s="21">
        <f>EXP(-LN(2)/25)*DG162+(1-EXP(-LN(2)/25))/(LN(2)/25)*Calculateur!DB163*Calculateur!DD163*VLOOKUP('Données projet'!$B$13,Paramètres!$A$1:$I$89,3,0)*0.475*44/12</f>
        <v>2.176845707301335</v>
      </c>
      <c r="DH163" s="21">
        <f>EXP(-LN(2)/2)*DH162+(1-EXP(-LN(2)/2))/(LN(2)/2)*DB163*DE163*VLOOKUP('Données projet'!$B$13,Paramètres!$A$1:$I$89,3,0)*0.475*44/12</f>
        <v>7.8270827829701279E-13</v>
      </c>
      <c r="DI163" s="22">
        <f t="shared" si="175"/>
        <v>6.7230770058712892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>
        <f>DO163*VLOOKUP('Données projet'!$B$14,Paramètres!$A$1:$I$89,3,0)*VLOOKUP('Données projet'!$B$14,Paramètres!$A$1:$I$89,5,0)</f>
        <v>0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239.26156489359892</v>
      </c>
      <c r="DU163" s="59">
        <f t="shared" si="152"/>
        <v>213.97034450798111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2.70351492596521</v>
      </c>
      <c r="EB163" s="21">
        <f>EXP(-LN(2)/25)*EB162+(1-EXP(-LN(2)/25))/(LN(2)/25)*Calculateur!DW163*Calculateur!DY163*VLOOKUP('Données projet'!$B$14,Paramètres!$A$1:$I$89,3,0)*0.475*44/12</f>
        <v>9.1699060253614864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11.873420951326697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7.6783333333333319</v>
      </c>
      <c r="EJ163" s="12">
        <f>IF('Données projet'!$A$192&gt;35,EJ162+EI163-ER162,IF(A163&lt;'Données projet'!$A$192,$EG$205^A163,IF(A163='Données projet'!$A$192,'Données projet'!$B$192,EJ162+EI163-ER162)))</f>
        <v>374.22333333333296</v>
      </c>
      <c r="EK163" s="17">
        <f>EJ163*VLOOKUP('Données projet'!$B$15,Paramètres!$A$1:$I$89,3,0)*VLOOKUP('Données projet'!$B$15,Paramètres!$A$1:$I$89,5,0)</f>
        <v>373.62457599999965</v>
      </c>
      <c r="EL163" s="13">
        <f t="shared" si="179"/>
        <v>86.408410327964575</v>
      </c>
      <c r="EM163" s="20">
        <f t="shared" si="180"/>
        <v>801.22411785453767</v>
      </c>
      <c r="EN163" s="59">
        <f t="shared" si="128"/>
        <v>1094.557451187871</v>
      </c>
      <c r="EO163" s="59">
        <f ca="1">AVERAGE(OFFSET($EN$3,0,0,'Données projet'!$E$15+1,1))-AVERAGE(OFFSET($H$3,0,0,'Données projet'!$E$15+1,1))</f>
        <v>525.74725170626471</v>
      </c>
      <c r="EP163" s="59">
        <f t="shared" si="154"/>
        <v>259.19103598192197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38.26925854513027</v>
      </c>
      <c r="EW163" s="21">
        <f>EXP(-LN(2)/25)*EW162+(1-EXP(-LN(2)/25))/(LN(2)/25)*Calculateur!ER163*Calculateur!ET163*VLOOKUP('Données projet'!$B$15,Paramètres!$A$1:$I$89,3,0)*0.475*44/12</f>
        <v>20.146874721004409</v>
      </c>
      <c r="EX163" s="21">
        <f>EXP(-LN(2)/2)*EX162+(1-EXP(-LN(2)/2))/(LN(2)/2)*ER163*EU163*VLOOKUP('Données projet'!$B$15,Paramètres!$A$1:$I$89,3,0)*0.475*44/12</f>
        <v>2.2716692564046792E-2</v>
      </c>
      <c r="EY163" s="22">
        <f t="shared" si="181"/>
        <v>58.438849958698725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7.6783333333333319</v>
      </c>
      <c r="N164" s="13">
        <f>IF('Données projet'!$A$36&gt;35,N163+M164-V163,IF(A164&lt;'Données projet'!$A$36,$K$205^A164,IF(A164='Données projet'!$A$36,'Données projet'!$B$36,N163+M164-V163)))</f>
        <v>381.9016666666663</v>
      </c>
      <c r="O164" s="13">
        <f>N164*VLOOKUP('Données projet'!$B$9,Paramètres!$A$1:$I$89,3,0)*VLOOKUP('Données projet'!$B$9,Paramètres!$A$1:$I$89,5,0)</f>
        <v>387.24828999999966</v>
      </c>
      <c r="P164" s="13">
        <f t="shared" si="141"/>
        <v>89.186597293517707</v>
      </c>
      <c r="Q164" s="20">
        <f t="shared" si="162"/>
        <v>829.79076203620934</v>
      </c>
      <c r="R164" s="59">
        <f t="shared" si="109"/>
        <v>1123.1240953695426</v>
      </c>
      <c r="S164" s="59">
        <f ca="1">AVERAGE(OFFSET($R$3,0,0,'Données projet'!$E$9+1,1))-AVERAGE(OFFSET($H$3,0,0,'Données projet'!$E$9+1,1))</f>
        <v>533.26035274112917</v>
      </c>
      <c r="T164" s="59">
        <f t="shared" si="142"/>
        <v>262.58149402282521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38.10505331648757</v>
      </c>
      <c r="AA164" s="21">
        <f>EXP(-LN(2)/25)*AA163+(1-EXP(-LN(2)/25))/(LN(2)/25)*Calculateur!V164*Calculateur!X164*VLOOKUP('Données projet'!$B$9,Paramètres!$A$1:$I$89,3,0)*0.475*44/12</f>
        <v>19.902144206222324</v>
      </c>
      <c r="AB164" s="21">
        <f>EXP(-LN(2)/2)*AB163+(1-EXP(-LN(2)/2))/(LN(2)/2)*V164*Y164*VLOOKUP('Données projet'!$B$9,Paramètres!$A$1:$I$89,3,0)*0.475*44/12</f>
        <v>1.6314113723138863E-2</v>
      </c>
      <c r="AC164" s="22">
        <f t="shared" si="163"/>
        <v>58.023511636433035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>
        <f>VLOOKUP(A164,'Données projet'!$A$61:$I$81,2,0)</f>
        <v>134.26</v>
      </c>
      <c r="AG164" s="12">
        <f>VLOOKUP(A164,'Données projet'!$A$61:$I$81,9,0)</f>
        <v>1.7174999999999976</v>
      </c>
      <c r="AH164" s="12">
        <f t="array" ref="AH164">INDEX(AG:AG,MIN(IF(ISNUMBER(AG164:AG360),ROW(AG164:AG360),"")))</f>
        <v>1.7174999999999976</v>
      </c>
      <c r="AI164" s="13">
        <f>IF('Données projet'!$A$62&gt;35,AI163+AH164-AQ163,IF(A164&lt;'Données projet'!$A$62,$AF$205^A164,IF(A164='Données projet'!$A$62,'Données projet'!$B$62,AI163+AH164-AQ163)))</f>
        <v>134.26000000000053</v>
      </c>
      <c r="AJ164" s="13">
        <f>AI164*VLOOKUP('Données projet'!$B$10,Paramètres!$A$1:$I$89,3,0)*VLOOKUP('Données projet'!$B$10,Paramètres!$A$1:$I$89,5,0)</f>
        <v>121.47844800000047</v>
      </c>
      <c r="AK164" s="13">
        <f t="shared" si="164"/>
        <v>32.019576882630901</v>
      </c>
      <c r="AL164" s="20">
        <f t="shared" si="165"/>
        <v>267.34239333724963</v>
      </c>
      <c r="AM164" s="59">
        <f t="shared" si="113"/>
        <v>560.67572667058289</v>
      </c>
      <c r="AN164" s="59">
        <f ca="1">AVERAGE(OFFSET($AM$3,0,0,'Données projet'!$E$10+1,1))-AVERAGE(OFFSET($H$3,0,0,'Données projet'!$E$10+1,1))</f>
        <v>482.62991869403385</v>
      </c>
      <c r="AO164" s="59">
        <f t="shared" si="144"/>
        <v>310.43914804089906</v>
      </c>
      <c r="AP164" s="15">
        <f>IF(ISNA(VLOOKUP(A164,'Données projet'!$A$61:$I$81,3,0)),0,VLOOKUP(A164,'Données projet'!$A$61:$I$81,3,0))</f>
        <v>15</v>
      </c>
      <c r="AQ164" s="15">
        <f>IF(ISNA(VLOOKUP(A164,'Données projet'!$A$61:$I$81,4,0)),0,VLOOKUP(A164,'Données projet'!$A$61:$I$81,4,0))</f>
        <v>134.26</v>
      </c>
      <c r="AR164" s="16">
        <f>IF(ISNA(VLOOKUP(A164,'Données projet'!$A$61:$I$81,5,0)),0%,VLOOKUP(A164,'Données projet'!$A$61:$I$81,5,0)*VLOOKUP('Données projet'!$B$10,Paramètres!$A$1:$I$89,7,0))</f>
        <v>0.19350000000000001</v>
      </c>
      <c r="AS164" s="16">
        <f>IF(ISNA(VLOOKUP(A164,'Données projet'!$A$61:$I$81,6,0)),0%,VLOOKUP(A164,'Données projet'!$A$61:$I$81,6,0)*VLOOKUP('Données projet'!$B$10,Paramètres!$A$1:$I$89,7,0))</f>
        <v>2.1500000000000002E-2</v>
      </c>
      <c r="AT164" s="16">
        <f>IF(ISNA(VLOOKUP(A164,'Données projet'!$A$61:$I$81,7,0)),0%,VLOOKUP(A164,'Données projet'!$A$61:$I$81,7,0))</f>
        <v>0.05</v>
      </c>
      <c r="AU164" s="21">
        <f>EXP(-LN(2)/35)*AU163+(1-EXP(-LN(2)/35))/(LN(2)/35)*AQ164*AR164*VLOOKUP('Données projet'!$B$10,Paramètres!$A$1:$I$89,3,0)*0.475*44/12</f>
        <v>112.39405850899264</v>
      </c>
      <c r="AV164" s="21">
        <f>EXP(-LN(2)/25)*AV163+(1-EXP(-LN(2)/25))/(LN(2)/25)*Calculateur!AQ164*Calculateur!AS164*VLOOKUP('Données projet'!$B$10,Paramètres!$A$1:$I$89,3,0)*0.475*44/12</f>
        <v>19.915859812926445</v>
      </c>
      <c r="AW164" s="21">
        <f>EXP(-LN(2)/2)*AW163+(1-EXP(-LN(2)/2))/(LN(2)/2)*AQ164*AT164*VLOOKUP('Données projet'!$B$10,Paramètres!$A$1:$I$89,3,0)*0.475*44/12</f>
        <v>6.8395962139717037</v>
      </c>
      <c r="AX164" s="21">
        <f t="shared" si="166"/>
        <v>139.1495145358908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384.34044781465661</v>
      </c>
      <c r="BJ164" s="59">
        <f t="shared" si="146"/>
        <v>374.99493809709708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11.47630689086531</v>
      </c>
      <c r="BQ164" s="21">
        <f>EXP(-LN(2)/25)*BQ163+(1-EXP(-LN(2)/25))/(LN(2)/25)*Calculateur!BL164*Calculateur!BN164*VLOOKUP('Données projet'!$B$11,Paramètres!$A$1:$I$89,3,0)*0.475*44/12</f>
        <v>5.9648430268664461</v>
      </c>
      <c r="BR164" s="21">
        <f>EXP(-LN(2)/2)*BR163+(1-EXP(-LN(2)/2))/(LN(2)/2)*BL164*BO164*VLOOKUP('Données projet'!$B$11,Paramètres!$A$1:$I$89,3,0)*0.475*44/12</f>
        <v>4.4079431345172381E-11</v>
      </c>
      <c r="BS164" s="22">
        <f t="shared" si="169"/>
        <v>17.441149917775835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>
        <f>VLOOKUP(A164,'Données projet'!$A$113:$I$133,2,0)</f>
        <v>134.26</v>
      </c>
      <c r="BW164" s="12">
        <f>VLOOKUP(A164,'Données projet'!$A$113:$I$133,9,0)</f>
        <v>1.7174999999999976</v>
      </c>
      <c r="BX164" s="12">
        <f t="array" ref="BX164">INDEX(BW:BW,MIN(IF(ISNUMBER(BW164:BW360),ROW(BW164:BW360),"")))</f>
        <v>1.7174999999999976</v>
      </c>
      <c r="BY164" s="12">
        <f>IF('Données projet'!$A$114&gt;35,BY163+BX164-CG163,IF(A164&lt;'Données projet'!$A$114,$BV$205^A164,IF(A164='Données projet'!$A$114,'Données projet'!$B$114,BY163+BX164-CG163)))</f>
        <v>134.26000000000053</v>
      </c>
      <c r="BZ164" s="13">
        <f>BY164*VLOOKUP('Données projet'!$B$12,Paramètres!$A$1:$I$89,3,0)*VLOOKUP('Données projet'!$B$12,Paramètres!$A$1:$I$89,5,0)</f>
        <v>127.76181600000052</v>
      </c>
      <c r="CA164" s="13">
        <f t="shared" si="170"/>
        <v>33.478659151704797</v>
      </c>
      <c r="CB164" s="20">
        <f t="shared" si="171"/>
        <v>280.82716088922007</v>
      </c>
      <c r="CC164" s="59">
        <f t="shared" si="119"/>
        <v>574.16049422255333</v>
      </c>
      <c r="CD164" s="59">
        <f ca="1">AVERAGE(OFFSET($CC$3,0,0,'Données projet'!$E$12+1,1))-AVERAGE(OFFSET($H$3,0,0,'Données projet'!$E$12+1,1))</f>
        <v>513.14430745499283</v>
      </c>
      <c r="CE164" s="59">
        <f t="shared" si="148"/>
        <v>324.2490378019823</v>
      </c>
      <c r="CF164" s="15">
        <f>IF(ISNA(VLOOKUP(A164,'Données projet'!$A$113:$I$133,3,0)),0,VLOOKUP(A164,'Données projet'!$A$113:$I$133,3,0))</f>
        <v>15</v>
      </c>
      <c r="CG164" s="15">
        <f>IF(ISNA(VLOOKUP(A164,'Données projet'!$A$113:$I$133,4,0)),0,VLOOKUP(A164,'Données projet'!$A$113:$I$133,4,0))</f>
        <v>134.26</v>
      </c>
      <c r="CH164" s="16">
        <f>IF(ISNA(VLOOKUP(A164,'Données projet'!$A$113:$I$133,5,0)),0%,VLOOKUP(A164,'Données projet'!$A$113:$I$133,5,0)*VLOOKUP('Données projet'!$B$12,Paramètres!$A$1:$I$89,7,0))</f>
        <v>0.19350000000000001</v>
      </c>
      <c r="CI164" s="16">
        <f>IF(ISNA(VLOOKUP(A164,'Données projet'!$A$113:$I$133,6,0)),0%,VLOOKUP(A164,'Données projet'!$A$113:$I$133,6,0)*VLOOKUP('Données projet'!$B$12,Paramètres!$A$1:$I$89,7,0))</f>
        <v>2.1500000000000002E-2</v>
      </c>
      <c r="CJ164" s="16">
        <f>IF(ISNA(VLOOKUP(A164,'Données projet'!$A$113:$I$133,7,0)),0%,VLOOKUP(A164,'Données projet'!$A$113:$I$133,7,0))</f>
        <v>0.05</v>
      </c>
      <c r="CK164" s="21">
        <f>EXP(-LN(2)/35)*CK163+(1-EXP(-LN(2)/35))/(LN(2)/35)*CG164*CH164*VLOOKUP('Données projet'!$B$12,Paramètres!$A$1:$I$89,3,0)*0.475*44/12</f>
        <v>118.20754429394051</v>
      </c>
      <c r="CL164" s="21">
        <f>EXP(-LN(2)/25)*CL163+(1-EXP(-LN(2)/25))/(LN(2)/25)*Calculateur!CG164*Calculateur!CI164*VLOOKUP('Données projet'!$B$12,Paramètres!$A$1:$I$89,3,0)*0.475*44/12</f>
        <v>20.945990492905402</v>
      </c>
      <c r="CM164" s="21">
        <f>EXP(-LN(2)/2)*CM163+(1-EXP(-LN(2)/2))/(LN(2)/2)*CG164*CJ164*VLOOKUP('Données projet'!$B$12,Paramètres!$A$1:$I$89,3,0)*0.475*44/12</f>
        <v>7.1933684319357587</v>
      </c>
      <c r="CN164" s="22">
        <f t="shared" si="172"/>
        <v>146.34690321878168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-1.1368683772161603E-13</v>
      </c>
      <c r="CU164" s="17">
        <f>CT164*VLOOKUP('Données projet'!$B$13,Paramètres!$A$1:$I$89,3,0)*VLOOKUP('Données projet'!$B$13,Paramètres!$A$1:$I$89,5,0)</f>
        <v>-8.8675733422860506E-14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197.51452239559433</v>
      </c>
      <c r="CZ164" s="59">
        <f t="shared" si="150"/>
        <v>196.65166921588821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4.4570824757315188</v>
      </c>
      <c r="DG164" s="21">
        <f>EXP(-LN(2)/25)*DG163+(1-EXP(-LN(2)/25))/(LN(2)/25)*Calculateur!DB164*Calculateur!DD164*VLOOKUP('Données projet'!$B$13,Paramètres!$A$1:$I$89,3,0)*0.475*44/12</f>
        <v>2.1173197469598395</v>
      </c>
      <c r="DH164" s="21">
        <f>EXP(-LN(2)/2)*DH163+(1-EXP(-LN(2)/2))/(LN(2)/2)*DB164*DE164*VLOOKUP('Données projet'!$B$13,Paramètres!$A$1:$I$89,3,0)*0.475*44/12</f>
        <v>5.5345833127466516E-13</v>
      </c>
      <c r="DI164" s="22">
        <f t="shared" si="175"/>
        <v>6.5744022226919112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>
        <f>DO164*VLOOKUP('Données projet'!$B$14,Paramètres!$A$1:$I$89,3,0)*VLOOKUP('Données projet'!$B$14,Paramètres!$A$1:$I$89,5,0)</f>
        <v>0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239.26156489359892</v>
      </c>
      <c r="DU164" s="59">
        <f t="shared" si="152"/>
        <v>213.97034450798111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2.6505006472483137</v>
      </c>
      <c r="EB164" s="21">
        <f>EXP(-LN(2)/25)*EB163+(1-EXP(-LN(2)/25))/(LN(2)/25)*Calculateur!DW164*Calculateur!DY164*VLOOKUP('Données projet'!$B$14,Paramètres!$A$1:$I$89,3,0)*0.475*44/12</f>
        <v>8.9191544628735766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11.569655110121889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7.6783333333333319</v>
      </c>
      <c r="EJ164" s="12">
        <f>IF('Données projet'!$A$192&gt;35,EJ163+EI164-ER163,IF(A164&lt;'Données projet'!$A$192,$EG$205^A164,IF(A164='Données projet'!$A$192,'Données projet'!$B$192,EJ163+EI164-ER163)))</f>
        <v>381.9016666666663</v>
      </c>
      <c r="EK164" s="17">
        <f>EJ164*VLOOKUP('Données projet'!$B$15,Paramètres!$A$1:$I$89,3,0)*VLOOKUP('Données projet'!$B$15,Paramètres!$A$1:$I$89,5,0)</f>
        <v>381.29062399999964</v>
      </c>
      <c r="EL164" s="13">
        <f t="shared" si="179"/>
        <v>87.973116590553516</v>
      </c>
      <c r="EM164" s="20">
        <f t="shared" si="180"/>
        <v>817.30101486188005</v>
      </c>
      <c r="EN164" s="59">
        <f t="shared" si="128"/>
        <v>1110.6343481952133</v>
      </c>
      <c r="EO164" s="59">
        <f ca="1">AVERAGE(OFFSET($EN$3,0,0,'Données projet'!$E$15+1,1))-AVERAGE(OFFSET($H$3,0,0,'Données projet'!$E$15+1,1))</f>
        <v>525.74725170626471</v>
      </c>
      <c r="EP164" s="59">
        <f t="shared" si="154"/>
        <v>259.19103598192197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37.51882172700315</v>
      </c>
      <c r="EW164" s="21">
        <f>EXP(-LN(2)/25)*EW163+(1-EXP(-LN(2)/25))/(LN(2)/25)*Calculateur!ER164*Calculateur!ET164*VLOOKUP('Données projet'!$B$15,Paramètres!$A$1:$I$89,3,0)*0.475*44/12</f>
        <v>19.595957372280449</v>
      </c>
      <c r="EX164" s="21">
        <f>EXP(-LN(2)/2)*EX163+(1-EXP(-LN(2)/2))/(LN(2)/2)*ER164*EU164*VLOOKUP('Données projet'!$B$15,Paramètres!$A$1:$I$89,3,0)*0.475*44/12</f>
        <v>1.6063127358167506E-2</v>
      </c>
      <c r="EY164" s="22">
        <f t="shared" si="181"/>
        <v>57.130842226641761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7.6783333333333319</v>
      </c>
      <c r="N165" s="13">
        <f>IF('Données projet'!$A$36&gt;35,N164+M165-V164,IF(A165&lt;'Données projet'!$A$36,$K$205^A165,IF(A165='Données projet'!$A$36,'Données projet'!$B$36,N164+M165-V164)))</f>
        <v>389.57999999999964</v>
      </c>
      <c r="O165" s="13">
        <f>N165*VLOOKUP('Données projet'!$B$9,Paramètres!$A$1:$I$89,3,0)*VLOOKUP('Données projet'!$B$9,Paramètres!$A$1:$I$89,5,0)</f>
        <v>395.03411999999969</v>
      </c>
      <c r="P165" s="13">
        <f t="shared" si="141"/>
        <v>90.76917846043375</v>
      </c>
      <c r="Q165" s="20">
        <f t="shared" si="162"/>
        <v>846.10741148525494</v>
      </c>
      <c r="R165" s="59">
        <f t="shared" si="109"/>
        <v>1139.4407448185882</v>
      </c>
      <c r="S165" s="59">
        <f ca="1">AVERAGE(OFFSET($R$3,0,0,'Données projet'!$E$9+1,1))-AVERAGE(OFFSET($H$3,0,0,'Données projet'!$E$9+1,1))</f>
        <v>533.26035274112917</v>
      </c>
      <c r="T165" s="59">
        <f t="shared" si="142"/>
        <v>262.58149402282521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37.357836462738838</v>
      </c>
      <c r="AA165" s="21">
        <f>EXP(-LN(2)/25)*AA164+(1-EXP(-LN(2)/25))/(LN(2)/25)*Calculateur!V165*Calculateur!X165*VLOOKUP('Données projet'!$B$9,Paramètres!$A$1:$I$89,3,0)*0.475*44/12</f>
        <v>19.357919026294898</v>
      </c>
      <c r="AB165" s="21">
        <f>EXP(-LN(2)/2)*AB164+(1-EXP(-LN(2)/2))/(LN(2)/2)*V165*Y165*VLOOKUP('Données projet'!$B$9,Paramètres!$A$1:$I$89,3,0)*0.475*44/12</f>
        <v>1.1535820442680004E-2</v>
      </c>
      <c r="AC165" s="22">
        <f t="shared" si="163"/>
        <v>56.727291309476421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28.737500000000001</v>
      </c>
      <c r="AI165" s="13">
        <f>IF('Données projet'!$A$62&gt;35,AI164+AH165-AQ164,IF(A165&lt;'Données projet'!$A$62,$AF$205^A165,IF(A165='Données projet'!$A$62,'Données projet'!$B$62,AI164+AH165-AQ164)))</f>
        <v>28.737500000000551</v>
      </c>
      <c r="AJ165" s="13">
        <f>AI165*VLOOKUP('Données projet'!$B$10,Paramètres!$A$1:$I$89,3,0)*VLOOKUP('Données projet'!$B$10,Paramètres!$A$1:$I$89,5,0)</f>
        <v>26.001690000000497</v>
      </c>
      <c r="AK165" s="13">
        <f t="shared" si="164"/>
        <v>8.2006345311936819</v>
      </c>
      <c r="AL165" s="20">
        <f t="shared" si="165"/>
        <v>59.569048558496519</v>
      </c>
      <c r="AM165" s="59">
        <f t="shared" si="113"/>
        <v>352.9023818918298</v>
      </c>
      <c r="AN165" s="59">
        <f ca="1">AVERAGE(OFFSET($AM$3,0,0,'Données projet'!$E$10+1,1))-AVERAGE(OFFSET($H$3,0,0,'Données projet'!$E$10+1,1))</f>
        <v>482.62991869403385</v>
      </c>
      <c r="AO165" s="59">
        <f t="shared" si="144"/>
        <v>310.43914804089906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110.19007957523789</v>
      </c>
      <c r="AV165" s="21">
        <f>EXP(-LN(2)/25)*AV164+(1-EXP(-LN(2)/25))/(LN(2)/25)*Calculateur!AQ165*Calculateur!AS165*VLOOKUP('Données projet'!$B$10,Paramètres!$A$1:$I$89,3,0)*0.475*44/12</f>
        <v>19.371259579012424</v>
      </c>
      <c r="AW165" s="21">
        <f>EXP(-LN(2)/2)*AW164+(1-EXP(-LN(2)/2))/(LN(2)/2)*AQ165*AT165*VLOOKUP('Données projet'!$B$10,Paramètres!$A$1:$I$89,3,0)*0.475*44/12</f>
        <v>4.8363248634772287</v>
      </c>
      <c r="AX165" s="21">
        <f t="shared" si="166"/>
        <v>134.39766401772752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384.34044781465661</v>
      </c>
      <c r="BJ165" s="59">
        <f t="shared" si="146"/>
        <v>374.99493809709708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11.251263512591466</v>
      </c>
      <c r="BQ165" s="21">
        <f>EXP(-LN(2)/25)*BQ164+(1-EXP(-LN(2)/25))/(LN(2)/25)*Calculateur!BL165*Calculateur!BN165*VLOOKUP('Données projet'!$B$11,Paramètres!$A$1:$I$89,3,0)*0.475*44/12</f>
        <v>5.8017340806193207</v>
      </c>
      <c r="BR165" s="21">
        <f>EXP(-LN(2)/2)*BR164+(1-EXP(-LN(2)/2))/(LN(2)/2)*BL165*BO165*VLOOKUP('Données projet'!$B$11,Paramètres!$A$1:$I$89,3,0)*0.475*44/12</f>
        <v>3.116886481501825E-11</v>
      </c>
      <c r="BS165" s="22">
        <f t="shared" si="169"/>
        <v>17.052997593241955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5.4001247917767614E-13</v>
      </c>
      <c r="BZ165" s="13">
        <f>BY165*VLOOKUP('Données projet'!$B$12,Paramètres!$A$1:$I$89,3,0)*VLOOKUP('Données projet'!$B$12,Paramètres!$A$1:$I$89,5,0)</f>
        <v>5.1387587518547664E-13</v>
      </c>
      <c r="CA165" s="13">
        <f t="shared" si="170"/>
        <v>6.3806716506132977E-12</v>
      </c>
      <c r="CB165" s="20">
        <f t="shared" si="171"/>
        <v>1.2008003607432866E-11</v>
      </c>
      <c r="CC165" s="59">
        <f t="shared" si="119"/>
        <v>293.33333333334531</v>
      </c>
      <c r="CD165" s="59">
        <f ca="1">AVERAGE(OFFSET($CC$3,0,0,'Données projet'!$E$12+1,1))-AVERAGE(OFFSET($H$3,0,0,'Données projet'!$E$12+1,1))</f>
        <v>513.14430745499283</v>
      </c>
      <c r="CE165" s="59">
        <f t="shared" si="148"/>
        <v>324.2490378019823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115.88956644981913</v>
      </c>
      <c r="CL165" s="21">
        <f>EXP(-LN(2)/25)*CL164+(1-EXP(-LN(2)/25))/(LN(2)/25)*Calculateur!CG165*Calculateur!CI165*VLOOKUP('Données projet'!$B$12,Paramètres!$A$1:$I$89,3,0)*0.475*44/12</f>
        <v>20.373221281375137</v>
      </c>
      <c r="CM165" s="21">
        <f>EXP(-LN(2)/2)*CM164+(1-EXP(-LN(2)/2))/(LN(2)/2)*CG165*CJ165*VLOOKUP('Données projet'!$B$12,Paramètres!$A$1:$I$89,3,0)*0.475*44/12</f>
        <v>5.0864795977950177</v>
      </c>
      <c r="CN165" s="22">
        <f t="shared" si="172"/>
        <v>141.34926732898927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-1.1368683772161603E-13</v>
      </c>
      <c r="CU165" s="17">
        <f>CT165*VLOOKUP('Données projet'!$B$13,Paramètres!$A$1:$I$89,3,0)*VLOOKUP('Données projet'!$B$13,Paramètres!$A$1:$I$89,5,0)</f>
        <v>-8.8675733422860506E-14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197.51452239559433</v>
      </c>
      <c r="CZ165" s="59">
        <f t="shared" si="150"/>
        <v>196.65166921588821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4.3696818069342989</v>
      </c>
      <c r="DG165" s="21">
        <f>EXP(-LN(2)/25)*DG164+(1-EXP(-LN(2)/25))/(LN(2)/25)*Calculateur!DB165*Calculateur!DD165*VLOOKUP('Données projet'!$B$13,Paramètres!$A$1:$I$89,3,0)*0.475*44/12</f>
        <v>2.0594215271342162</v>
      </c>
      <c r="DH165" s="21">
        <f>EXP(-LN(2)/2)*DH164+(1-EXP(-LN(2)/2))/(LN(2)/2)*DB165*DE165*VLOOKUP('Données projet'!$B$13,Paramètres!$A$1:$I$89,3,0)*0.475*44/12</f>
        <v>3.913541391485064E-13</v>
      </c>
      <c r="DI165" s="22">
        <f t="shared" si="175"/>
        <v>6.4291033340689063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>
        <f>DO165*VLOOKUP('Données projet'!$B$14,Paramètres!$A$1:$I$89,3,0)*VLOOKUP('Données projet'!$B$14,Paramètres!$A$1:$I$89,5,0)</f>
        <v>0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239.26156489359892</v>
      </c>
      <c r="DU165" s="59">
        <f t="shared" si="152"/>
        <v>213.97034450798111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2.5985259462015384</v>
      </c>
      <c r="EB165" s="21">
        <f>EXP(-LN(2)/25)*EB164+(1-EXP(-LN(2)/25))/(LN(2)/25)*Calculateur!DW165*Calculateur!DY165*VLOOKUP('Données projet'!$B$14,Paramètres!$A$1:$I$89,3,0)*0.475*44/12</f>
        <v>8.6752597150483499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11.273785661249889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7.6783333333333319</v>
      </c>
      <c r="EJ165" s="12">
        <f>IF('Données projet'!$A$192&gt;35,EJ164+EI165-ER164,IF(A165&lt;'Données projet'!$A$192,$EG$205^A165,IF(A165='Données projet'!$A$192,'Données projet'!$B$192,EJ164+EI165-ER164)))</f>
        <v>389.57999999999964</v>
      </c>
      <c r="EK165" s="17">
        <f>EJ165*VLOOKUP('Données projet'!$B$15,Paramètres!$A$1:$I$89,3,0)*VLOOKUP('Données projet'!$B$15,Paramètres!$A$1:$I$89,5,0)</f>
        <v>388.95667199999963</v>
      </c>
      <c r="EL165" s="13">
        <f t="shared" si="179"/>
        <v>89.534165018636628</v>
      </c>
      <c r="EM165" s="20">
        <f t="shared" si="180"/>
        <v>833.37154114079146</v>
      </c>
      <c r="EN165" s="59">
        <f t="shared" si="128"/>
        <v>1126.7048744741248</v>
      </c>
      <c r="EO165" s="59">
        <f ca="1">AVERAGE(OFFSET($EN$3,0,0,'Données projet'!$E$15+1,1))-AVERAGE(OFFSET($H$3,0,0,'Données projet'!$E$15+1,1))</f>
        <v>525.74725170626471</v>
      </c>
      <c r="EP165" s="59">
        <f t="shared" si="154"/>
        <v>259.19103598192197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36.783100517158246</v>
      </c>
      <c r="EW165" s="21">
        <f>EXP(-LN(2)/25)*EW164+(1-EXP(-LN(2)/25))/(LN(2)/25)*Calculateur!ER165*Calculateur!ET165*VLOOKUP('Données projet'!$B$15,Paramètres!$A$1:$I$89,3,0)*0.475*44/12</f>
        <v>19.060104887428828</v>
      </c>
      <c r="EX165" s="21">
        <f>EXP(-LN(2)/2)*EX164+(1-EXP(-LN(2)/2))/(LN(2)/2)*ER165*EU165*VLOOKUP('Données projet'!$B$15,Paramètres!$A$1:$I$89,3,0)*0.475*44/12</f>
        <v>1.1358346282023396E-2</v>
      </c>
      <c r="EY165" s="22">
        <f t="shared" si="181"/>
        <v>55.854563750869097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7.6783333333333319</v>
      </c>
      <c r="N166" s="13">
        <f>IF('Données projet'!$A$36&gt;35,N165+M166-V165,IF(A166&lt;'Données projet'!$A$36,$K$205^A166,IF(A166='Données projet'!$A$36,'Données projet'!$B$36,N165+M166-V165)))</f>
        <v>397.25833333333298</v>
      </c>
      <c r="O166" s="13">
        <f>N166*VLOOKUP('Données projet'!$B$9,Paramètres!$A$1:$I$89,3,0)*VLOOKUP('Données projet'!$B$9,Paramètres!$A$1:$I$89,5,0)</f>
        <v>402.81994999999966</v>
      </c>
      <c r="P166" s="13">
        <f t="shared" si="141"/>
        <v>92.348132849699439</v>
      </c>
      <c r="Q166" s="20">
        <f t="shared" si="162"/>
        <v>862.41774429655925</v>
      </c>
      <c r="R166" s="59">
        <f t="shared" si="109"/>
        <v>1155.7510776298925</v>
      </c>
      <c r="S166" s="59">
        <f ca="1">AVERAGE(OFFSET($R$3,0,0,'Données projet'!$E$9+1,1))-AVERAGE(OFFSET($H$3,0,0,'Données projet'!$E$9+1,1))</f>
        <v>533.26035274112917</v>
      </c>
      <c r="T166" s="59">
        <f t="shared" si="142"/>
        <v>262.58149402282521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36.625272075734841</v>
      </c>
      <c r="AA166" s="21">
        <f>EXP(-LN(2)/25)*AA165+(1-EXP(-LN(2)/25))/(LN(2)/25)*Calculateur!V166*Calculateur!X166*VLOOKUP('Données projet'!$B$9,Paramètres!$A$1:$I$89,3,0)*0.475*44/12</f>
        <v>18.828575712532146</v>
      </c>
      <c r="AB166" s="21">
        <f>EXP(-LN(2)/2)*AB165+(1-EXP(-LN(2)/2))/(LN(2)/2)*V166*Y166*VLOOKUP('Données projet'!$B$9,Paramètres!$A$1:$I$89,3,0)*0.475*44/12</f>
        <v>8.1570568615694315E-3</v>
      </c>
      <c r="AC166" s="22">
        <f t="shared" si="163"/>
        <v>55.462004845128554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28.737500000000001</v>
      </c>
      <c r="AI166" s="13">
        <f>IF('Données projet'!$A$62&gt;35,AI165+AH166-AQ165,IF(A166&lt;'Données projet'!$A$62,$AF$205^A166,IF(A166='Données projet'!$A$62,'Données projet'!$B$62,AI165+AH166-AQ165)))</f>
        <v>57.475000000000549</v>
      </c>
      <c r="AJ166" s="13">
        <f>AI166*VLOOKUP('Données projet'!$B$10,Paramètres!$A$1:$I$89,3,0)*VLOOKUP('Données projet'!$B$10,Paramètres!$A$1:$I$89,5,0)</f>
        <v>52.003380000000497</v>
      </c>
      <c r="AK166" s="13">
        <f t="shared" si="164"/>
        <v>15.129952402180736</v>
      </c>
      <c r="AL166" s="20">
        <f t="shared" si="165"/>
        <v>116.92388726713232</v>
      </c>
      <c r="AM166" s="59">
        <f t="shared" si="113"/>
        <v>410.25722060046564</v>
      </c>
      <c r="AN166" s="59">
        <f ca="1">AVERAGE(OFFSET($AM$3,0,0,'Données projet'!$E$10+1,1))-AVERAGE(OFFSET($H$3,0,0,'Données projet'!$E$10+1,1))</f>
        <v>482.62991869403385</v>
      </c>
      <c r="AO166" s="59">
        <f t="shared" si="144"/>
        <v>310.43914804089906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108.02931932407965</v>
      </c>
      <c r="AV166" s="21">
        <f>EXP(-LN(2)/25)*AV165+(1-EXP(-LN(2)/25))/(LN(2)/25)*Calculateur!AQ166*Calculateur!AS166*VLOOKUP('Données projet'!$B$10,Paramètres!$A$1:$I$89,3,0)*0.475*44/12</f>
        <v>18.84155146713406</v>
      </c>
      <c r="AW166" s="21">
        <f>EXP(-LN(2)/2)*AW165+(1-EXP(-LN(2)/2))/(LN(2)/2)*AQ166*AT166*VLOOKUP('Données projet'!$B$10,Paramètres!$A$1:$I$89,3,0)*0.475*44/12</f>
        <v>3.4197981069858523</v>
      </c>
      <c r="AX166" s="21">
        <f t="shared" si="166"/>
        <v>130.29066889819958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384.34044781465661</v>
      </c>
      <c r="BJ166" s="59">
        <f t="shared" si="146"/>
        <v>374.99493809709708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11.030633097702665</v>
      </c>
      <c r="BQ166" s="21">
        <f>EXP(-LN(2)/25)*BQ165+(1-EXP(-LN(2)/25))/(LN(2)/25)*Calculateur!BL166*Calculateur!BN166*VLOOKUP('Données projet'!$B$11,Paramètres!$A$1:$I$89,3,0)*0.475*44/12</f>
        <v>5.6430853570848498</v>
      </c>
      <c r="BR166" s="21">
        <f>EXP(-LN(2)/2)*BR165+(1-EXP(-LN(2)/2))/(LN(2)/2)*BL166*BO166*VLOOKUP('Données projet'!$B$11,Paramètres!$A$1:$I$89,3,0)*0.475*44/12</f>
        <v>2.203971567258619E-11</v>
      </c>
      <c r="BS166" s="22">
        <f t="shared" si="169"/>
        <v>16.673718454809556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5.4001247917767614E-13</v>
      </c>
      <c r="BZ166" s="13">
        <f>BY166*VLOOKUP('Données projet'!$B$12,Paramètres!$A$1:$I$89,3,0)*VLOOKUP('Données projet'!$B$12,Paramètres!$A$1:$I$89,5,0)</f>
        <v>5.1387587518547664E-13</v>
      </c>
      <c r="CA166" s="13">
        <f t="shared" si="170"/>
        <v>6.3806716506132977E-12</v>
      </c>
      <c r="CB166" s="20">
        <f t="shared" si="171"/>
        <v>1.2008003607432866E-11</v>
      </c>
      <c r="CC166" s="59">
        <f t="shared" si="119"/>
        <v>293.33333333334531</v>
      </c>
      <c r="CD166" s="59">
        <f ca="1">AVERAGE(OFFSET($CC$3,0,0,'Données projet'!$E$12+1,1))-AVERAGE(OFFSET($H$3,0,0,'Données projet'!$E$12+1,1))</f>
        <v>513.14430745499283</v>
      </c>
      <c r="CE166" s="59">
        <f t="shared" si="148"/>
        <v>324.2490378019823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113.61704273739409</v>
      </c>
      <c r="CL166" s="21">
        <f>EXP(-LN(2)/25)*CL165+(1-EXP(-LN(2)/25))/(LN(2)/25)*Calculateur!CG166*Calculateur!CI166*VLOOKUP('Données projet'!$B$12,Paramètres!$A$1:$I$89,3,0)*0.475*44/12</f>
        <v>19.816114474054789</v>
      </c>
      <c r="CM166" s="21">
        <f>EXP(-LN(2)/2)*CM165+(1-EXP(-LN(2)/2))/(LN(2)/2)*CG166*CJ166*VLOOKUP('Données projet'!$B$12,Paramètres!$A$1:$I$89,3,0)*0.475*44/12</f>
        <v>3.5966842159678802</v>
      </c>
      <c r="CN166" s="22">
        <f t="shared" si="172"/>
        <v>137.02984142741676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-1.1368683772161603E-13</v>
      </c>
      <c r="CU166" s="17">
        <f>CT166*VLOOKUP('Données projet'!$B$13,Paramètres!$A$1:$I$89,3,0)*VLOOKUP('Données projet'!$B$13,Paramètres!$A$1:$I$89,5,0)</f>
        <v>-8.8675733422860506E-14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197.51452239559433</v>
      </c>
      <c r="CZ166" s="59">
        <f t="shared" si="150"/>
        <v>196.65166921588821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4.2839950119430483</v>
      </c>
      <c r="DG166" s="21">
        <f>EXP(-LN(2)/25)*DG165+(1-EXP(-LN(2)/25))/(LN(2)/25)*Calculateur!DB166*Calculateur!DD166*VLOOKUP('Données projet'!$B$13,Paramètres!$A$1:$I$89,3,0)*0.475*44/12</f>
        <v>2.0031065371744599</v>
      </c>
      <c r="DH166" s="21">
        <f>EXP(-LN(2)/2)*DH165+(1-EXP(-LN(2)/2))/(LN(2)/2)*DB166*DE166*VLOOKUP('Données projet'!$B$13,Paramètres!$A$1:$I$89,3,0)*0.475*44/12</f>
        <v>2.7672916563733258E-13</v>
      </c>
      <c r="DI166" s="22">
        <f t="shared" si="175"/>
        <v>6.2871015491177857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>
        <f>DO166*VLOOKUP('Données projet'!$B$14,Paramètres!$A$1:$I$89,3,0)*VLOOKUP('Données projet'!$B$14,Paramètres!$A$1:$I$89,5,0)</f>
        <v>0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239.26156489359892</v>
      </c>
      <c r="DU166" s="59">
        <f t="shared" si="152"/>
        <v>213.97034450798111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2.5475704373408532</v>
      </c>
      <c r="EB166" s="21">
        <f>EXP(-LN(2)/25)*EB165+(1-EXP(-LN(2)/25))/(LN(2)/25)*Calculateur!DW166*Calculateur!DY166*VLOOKUP('Données projet'!$B$14,Paramètres!$A$1:$I$89,3,0)*0.475*44/12</f>
        <v>8.4380342819282728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10.985604719269126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7.6783333333333319</v>
      </c>
      <c r="EJ166" s="12">
        <f>IF('Données projet'!$A$192&gt;35,EJ165+EI166-ER165,IF(A166&lt;'Données projet'!$A$192,$EG$205^A166,IF(A166='Données projet'!$A$192,'Données projet'!$B$192,EJ165+EI166-ER165)))</f>
        <v>397.25833333333298</v>
      </c>
      <c r="EK166" s="17">
        <f>EJ166*VLOOKUP('Données projet'!$B$15,Paramètres!$A$1:$I$89,3,0)*VLOOKUP('Données projet'!$B$15,Paramètres!$A$1:$I$89,5,0)</f>
        <v>396.62271999999967</v>
      </c>
      <c r="EL166" s="13">
        <f t="shared" si="179"/>
        <v>91.091636015325633</v>
      </c>
      <c r="EM166" s="20">
        <f t="shared" si="180"/>
        <v>849.43583672669149</v>
      </c>
      <c r="EN166" s="59">
        <f t="shared" si="128"/>
        <v>1142.7691700600249</v>
      </c>
      <c r="EO166" s="59">
        <f ca="1">AVERAGE(OFFSET($EN$3,0,0,'Données projet'!$E$15+1,1))-AVERAGE(OFFSET($H$3,0,0,'Données projet'!$E$15+1,1))</f>
        <v>525.74725170626471</v>
      </c>
      <c r="EP166" s="59">
        <f t="shared" si="154"/>
        <v>259.19103598192197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36.06180635149277</v>
      </c>
      <c r="EW166" s="21">
        <f>EXP(-LN(2)/25)*EW165+(1-EXP(-LN(2)/25))/(LN(2)/25)*Calculateur!ER166*Calculateur!ET166*VLOOKUP('Données projet'!$B$15,Paramètres!$A$1:$I$89,3,0)*0.475*44/12</f>
        <v>18.538905316954732</v>
      </c>
      <c r="EX166" s="21">
        <f>EXP(-LN(2)/2)*EX165+(1-EXP(-LN(2)/2))/(LN(2)/2)*ER166*EU166*VLOOKUP('Données projet'!$B$15,Paramètres!$A$1:$I$89,3,0)*0.475*44/12</f>
        <v>8.031563679083753E-3</v>
      </c>
      <c r="EY166" s="22">
        <f t="shared" si="181"/>
        <v>54.608743232126585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7.6783333333333319</v>
      </c>
      <c r="N167" s="13">
        <f>IF('Données projet'!$A$36&gt;35,N166+M167-V166,IF(A167&lt;'Données projet'!$A$36,$K$205^A167,IF(A167='Données projet'!$A$36,'Données projet'!$B$36,N166+M167-V166)))</f>
        <v>404.93666666666633</v>
      </c>
      <c r="O167" s="13">
        <f>N167*VLOOKUP('Données projet'!$B$9,Paramètres!$A$1:$I$89,3,0)*VLOOKUP('Données projet'!$B$9,Paramètres!$A$1:$I$89,5,0)</f>
        <v>410.6057799999997</v>
      </c>
      <c r="P167" s="13">
        <f t="shared" si="141"/>
        <v>93.923538642241823</v>
      </c>
      <c r="Q167" s="20">
        <f t="shared" si="162"/>
        <v>878.72189663523716</v>
      </c>
      <c r="R167" s="59">
        <f t="shared" si="109"/>
        <v>1172.0552299685705</v>
      </c>
      <c r="S167" s="59">
        <f ca="1">AVERAGE(OFFSET($R$3,0,0,'Données projet'!$E$9+1,1))-AVERAGE(OFFSET($H$3,0,0,'Données projet'!$E$9+1,1))</f>
        <v>533.26035274112917</v>
      </c>
      <c r="T167" s="59">
        <f t="shared" si="142"/>
        <v>262.58149402282521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35.907072829539835</v>
      </c>
      <c r="AA167" s="21">
        <f>EXP(-LN(2)/25)*AA166+(1-EXP(-LN(2)/25))/(LN(2)/25)*Calculateur!V167*Calculateur!X167*VLOOKUP('Données projet'!$B$9,Paramètres!$A$1:$I$89,3,0)*0.475*44/12</f>
        <v>18.313707319521193</v>
      </c>
      <c r="AB167" s="21">
        <f>EXP(-LN(2)/2)*AB166+(1-EXP(-LN(2)/2))/(LN(2)/2)*V167*Y167*VLOOKUP('Données projet'!$B$9,Paramètres!$A$1:$I$89,3,0)*0.475*44/12</f>
        <v>5.7679102213400021E-3</v>
      </c>
      <c r="AC167" s="22">
        <f t="shared" si="163"/>
        <v>54.226548059282365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28.737500000000001</v>
      </c>
      <c r="AI167" s="13">
        <f>IF('Données projet'!$A$62&gt;35,AI166+AH167-AQ166,IF(A167&lt;'Données projet'!$A$62,$AF$205^A167,IF(A167='Données projet'!$A$62,'Données projet'!$B$62,AI166+AH167-AQ166)))</f>
        <v>86.212500000000546</v>
      </c>
      <c r="AJ167" s="13">
        <f>AI167*VLOOKUP('Données projet'!$B$10,Paramètres!$A$1:$I$89,3,0)*VLOOKUP('Données projet'!$B$10,Paramètres!$A$1:$I$89,5,0)</f>
        <v>78.005070000000487</v>
      </c>
      <c r="AK167" s="13">
        <f t="shared" si="164"/>
        <v>21.648698808025351</v>
      </c>
      <c r="AL167" s="20">
        <f t="shared" si="165"/>
        <v>173.56364734064496</v>
      </c>
      <c r="AM167" s="59">
        <f t="shared" si="113"/>
        <v>466.89698067397831</v>
      </c>
      <c r="AN167" s="59">
        <f ca="1">AVERAGE(OFFSET($AM$3,0,0,'Données projet'!$E$10+1,1))-AVERAGE(OFFSET($H$3,0,0,'Données projet'!$E$10+1,1))</f>
        <v>482.62991869403385</v>
      </c>
      <c r="AO167" s="59">
        <f t="shared" si="144"/>
        <v>310.43914804089906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105.91093026351301</v>
      </c>
      <c r="AV167" s="21">
        <f>EXP(-LN(2)/25)*AV166+(1-EXP(-LN(2)/25))/(LN(2)/25)*Calculateur!AQ167*Calculateur!AS167*VLOOKUP('Données projet'!$B$10,Paramètres!$A$1:$I$89,3,0)*0.475*44/12</f>
        <v>18.32632825143115</v>
      </c>
      <c r="AW167" s="21">
        <f>EXP(-LN(2)/2)*AW166+(1-EXP(-LN(2)/2))/(LN(2)/2)*AQ167*AT167*VLOOKUP('Données projet'!$B$10,Paramètres!$A$1:$I$89,3,0)*0.475*44/12</f>
        <v>2.4181624317386148</v>
      </c>
      <c r="AX167" s="21">
        <f t="shared" si="166"/>
        <v>126.65542094668277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384.34044781465661</v>
      </c>
      <c r="BJ167" s="59">
        <f t="shared" si="146"/>
        <v>374.99493809709708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10.814329110678569</v>
      </c>
      <c r="BQ167" s="21">
        <f>EXP(-LN(2)/25)*BQ166+(1-EXP(-LN(2)/25))/(LN(2)/25)*Calculateur!BL167*Calculateur!BN167*VLOOKUP('Données projet'!$B$11,Paramètres!$A$1:$I$89,3,0)*0.475*44/12</f>
        <v>5.4887748912384033</v>
      </c>
      <c r="BR167" s="21">
        <f>EXP(-LN(2)/2)*BR166+(1-EXP(-LN(2)/2))/(LN(2)/2)*BL167*BO167*VLOOKUP('Données projet'!$B$11,Paramètres!$A$1:$I$89,3,0)*0.475*44/12</f>
        <v>1.5584432407509125E-11</v>
      </c>
      <c r="BS167" s="22">
        <f t="shared" si="169"/>
        <v>16.303104001932557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5.4001247917767614E-13</v>
      </c>
      <c r="BZ167" s="13">
        <f>BY167*VLOOKUP('Données projet'!$B$12,Paramètres!$A$1:$I$89,3,0)*VLOOKUP('Données projet'!$B$12,Paramètres!$A$1:$I$89,5,0)</f>
        <v>5.1387587518547664E-13</v>
      </c>
      <c r="CA167" s="13">
        <f t="shared" si="170"/>
        <v>6.3806716506132977E-12</v>
      </c>
      <c r="CB167" s="20">
        <f t="shared" si="171"/>
        <v>1.2008003607432866E-11</v>
      </c>
      <c r="CC167" s="59">
        <f t="shared" si="119"/>
        <v>293.33333333334531</v>
      </c>
      <c r="CD167" s="59">
        <f ca="1">AVERAGE(OFFSET($CC$3,0,0,'Données projet'!$E$12+1,1))-AVERAGE(OFFSET($H$3,0,0,'Données projet'!$E$12+1,1))</f>
        <v>513.14430745499283</v>
      </c>
      <c r="CE167" s="59">
        <f t="shared" si="148"/>
        <v>324.2490378019823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111.38908182886709</v>
      </c>
      <c r="CL167" s="21">
        <f>EXP(-LN(2)/25)*CL166+(1-EXP(-LN(2)/25))/(LN(2)/25)*Calculateur!CG167*Calculateur!CI167*VLOOKUP('Données projet'!$B$12,Paramètres!$A$1:$I$89,3,0)*0.475*44/12</f>
        <v>19.274241781677592</v>
      </c>
      <c r="CM167" s="21">
        <f>EXP(-LN(2)/2)*CM166+(1-EXP(-LN(2)/2))/(LN(2)/2)*CG167*CJ167*VLOOKUP('Données projet'!$B$12,Paramètres!$A$1:$I$89,3,0)*0.475*44/12</f>
        <v>2.5432397988975093</v>
      </c>
      <c r="CN167" s="22">
        <f t="shared" si="172"/>
        <v>133.2065634094422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-1.1368683772161603E-13</v>
      </c>
      <c r="CU167" s="17">
        <f>CT167*VLOOKUP('Données projet'!$B$13,Paramètres!$A$1:$I$89,3,0)*VLOOKUP('Données projet'!$B$13,Paramètres!$A$1:$I$89,5,0)</f>
        <v>-8.8675733422860506E-14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197.51452239559433</v>
      </c>
      <c r="CZ167" s="59">
        <f t="shared" si="150"/>
        <v>196.65166921588821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4.1999884827377922</v>
      </c>
      <c r="DG167" s="21">
        <f>EXP(-LN(2)/25)*DG166+(1-EXP(-LN(2)/25))/(LN(2)/25)*Calculateur!DB167*Calculateur!DD167*VLOOKUP('Données projet'!$B$13,Paramètres!$A$1:$I$89,3,0)*0.475*44/12</f>
        <v>1.9483314835766297</v>
      </c>
      <c r="DH167" s="21">
        <f>EXP(-LN(2)/2)*DH166+(1-EXP(-LN(2)/2))/(LN(2)/2)*DB167*DE167*VLOOKUP('Données projet'!$B$13,Paramètres!$A$1:$I$89,3,0)*0.475*44/12</f>
        <v>1.956770695742532E-13</v>
      </c>
      <c r="DI167" s="22">
        <f t="shared" si="175"/>
        <v>6.1483199663146175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>
        <f>DO167*VLOOKUP('Données projet'!$B$14,Paramètres!$A$1:$I$89,3,0)*VLOOKUP('Données projet'!$B$14,Paramètres!$A$1:$I$89,5,0)</f>
        <v>0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239.26156489359892</v>
      </c>
      <c r="DU167" s="59">
        <f t="shared" si="152"/>
        <v>213.97034450798111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2.4976141349291345</v>
      </c>
      <c r="EB167" s="21">
        <f>EXP(-LN(2)/25)*EB166+(1-EXP(-LN(2)/25))/(LN(2)/25)*Calculateur!DW167*Calculateur!DY167*VLOOKUP('Données projet'!$B$14,Paramètres!$A$1:$I$89,3,0)*0.475*44/12</f>
        <v>8.2072957907520063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10.704909925681141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7.6783333333333319</v>
      </c>
      <c r="EJ167" s="12">
        <f>IF('Données projet'!$A$192&gt;35,EJ166+EI167-ER166,IF(A167&lt;'Données projet'!$A$192,$EG$205^A167,IF(A167='Données projet'!$A$192,'Données projet'!$B$192,EJ166+EI167-ER166)))</f>
        <v>404.93666666666633</v>
      </c>
      <c r="EK167" s="17">
        <f>EJ167*VLOOKUP('Données projet'!$B$15,Paramètres!$A$1:$I$89,3,0)*VLOOKUP('Données projet'!$B$15,Paramètres!$A$1:$I$89,5,0)</f>
        <v>404.28876799999966</v>
      </c>
      <c r="EL167" s="13">
        <f t="shared" si="179"/>
        <v>92.645606697811033</v>
      </c>
      <c r="EM167" s="20">
        <f t="shared" si="180"/>
        <v>865.49403593202032</v>
      </c>
      <c r="EN167" s="59">
        <f t="shared" si="128"/>
        <v>1158.8273692653536</v>
      </c>
      <c r="EO167" s="59">
        <f ca="1">AVERAGE(OFFSET($EN$3,0,0,'Données projet'!$E$15+1,1))-AVERAGE(OFFSET($H$3,0,0,'Données projet'!$E$15+1,1))</f>
        <v>525.74725170626471</v>
      </c>
      <c r="EP167" s="59">
        <f t="shared" si="154"/>
        <v>259.19103598192197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35.354656324469993</v>
      </c>
      <c r="EW167" s="21">
        <f>EXP(-LN(2)/25)*EW166+(1-EXP(-LN(2)/25))/(LN(2)/25)*Calculateur!ER167*Calculateur!ET167*VLOOKUP('Données projet'!$B$15,Paramètres!$A$1:$I$89,3,0)*0.475*44/12</f>
        <v>18.031957976143946</v>
      </c>
      <c r="EX167" s="21">
        <f>EXP(-LN(2)/2)*EX166+(1-EXP(-LN(2)/2))/(LN(2)/2)*ER167*EU167*VLOOKUP('Données projet'!$B$15,Paramètres!$A$1:$I$89,3,0)*0.475*44/12</f>
        <v>5.679173141011698E-3</v>
      </c>
      <c r="EY167" s="22">
        <f t="shared" si="181"/>
        <v>53.392293473754954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7.6783333333333319</v>
      </c>
      <c r="N168" s="13">
        <f>IF('Données projet'!$A$36&gt;35,N167+M168-V167,IF(A168&lt;'Données projet'!$A$36,$K$205^A168,IF(A168='Données projet'!$A$36,'Données projet'!$B$36,N167+M168-V167)))</f>
        <v>412.61499999999967</v>
      </c>
      <c r="O168" s="13">
        <f>N168*VLOOKUP('Données projet'!$B$9,Paramètres!$A$1:$I$89,3,0)*VLOOKUP('Données projet'!$B$9,Paramètres!$A$1:$I$89,5,0)</f>
        <v>418.39160999999967</v>
      </c>
      <c r="P168" s="13">
        <f t="shared" si="141"/>
        <v>95.495470884423355</v>
      </c>
      <c r="Q168" s="20">
        <f t="shared" si="162"/>
        <v>895.0199992070369</v>
      </c>
      <c r="R168" s="59">
        <f t="shared" si="109"/>
        <v>1188.3533325403703</v>
      </c>
      <c r="S168" s="59">
        <f ca="1">AVERAGE(OFFSET($R$3,0,0,'Données projet'!$E$9+1,1))-AVERAGE(OFFSET($H$3,0,0,'Données projet'!$E$9+1,1))</f>
        <v>533.26035274112917</v>
      </c>
      <c r="T168" s="59">
        <f t="shared" si="142"/>
        <v>262.58149402282521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35.202957032504429</v>
      </c>
      <c r="AA168" s="21">
        <f>EXP(-LN(2)/25)*AA167+(1-EXP(-LN(2)/25))/(LN(2)/25)*Calculateur!V168*Calculateur!X168*VLOOKUP('Données projet'!$B$9,Paramètres!$A$1:$I$89,3,0)*0.475*44/12</f>
        <v>17.812918029792876</v>
      </c>
      <c r="AB168" s="21">
        <f>EXP(-LN(2)/2)*AB167+(1-EXP(-LN(2)/2))/(LN(2)/2)*V168*Y168*VLOOKUP('Données projet'!$B$9,Paramètres!$A$1:$I$89,3,0)*0.475*44/12</f>
        <v>4.0785284307847157E-3</v>
      </c>
      <c r="AC168" s="22">
        <f t="shared" si="163"/>
        <v>53.019953590728086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>
        <f>VLOOKUP(A168,'Données projet'!$A$61:$I$81,2,0)</f>
        <v>114.95</v>
      </c>
      <c r="AG168" s="12">
        <f>VLOOKUP(A168,'Données projet'!$A$61:$I$81,9,0)</f>
        <v>28.737500000000001</v>
      </c>
      <c r="AH168" s="12">
        <f t="array" ref="AH168">INDEX(AG:AG,MIN(IF(ISNUMBER(AG168:AG364),ROW(AG168:AG364),"")))</f>
        <v>28.737500000000001</v>
      </c>
      <c r="AI168" s="13">
        <f>IF('Données projet'!$A$62&gt;35,AI167+AH168-AQ167,IF(A168&lt;'Données projet'!$A$62,$AF$205^A168,IF(A168='Données projet'!$A$62,'Données projet'!$B$62,AI167+AH168-AQ167)))</f>
        <v>114.95000000000054</v>
      </c>
      <c r="AJ168" s="13">
        <f>AI168*VLOOKUP('Données projet'!$B$10,Paramètres!$A$1:$I$89,3,0)*VLOOKUP('Données projet'!$B$10,Paramètres!$A$1:$I$89,5,0)</f>
        <v>104.00676000000048</v>
      </c>
      <c r="AK168" s="13">
        <f t="shared" si="164"/>
        <v>27.914359409812008</v>
      </c>
      <c r="AL168" s="20">
        <f t="shared" si="165"/>
        <v>229.76261630542342</v>
      </c>
      <c r="AM168" s="59">
        <f t="shared" si="113"/>
        <v>523.09594963875679</v>
      </c>
      <c r="AN168" s="59">
        <f ca="1">AVERAGE(OFFSET($AM$3,0,0,'Données projet'!$E$10+1,1))-AVERAGE(OFFSET($H$3,0,0,'Données projet'!$E$10+1,1))</f>
        <v>482.62991869403385</v>
      </c>
      <c r="AO168" s="59">
        <f t="shared" si="144"/>
        <v>310.43914804089906</v>
      </c>
      <c r="AP168" s="15">
        <f>IF(ISNA(VLOOKUP(A168,'Données projet'!$A$61:$I$81,3,0)),0,VLOOKUP(A168,'Données projet'!$A$61:$I$81,3,0))</f>
        <v>16</v>
      </c>
      <c r="AQ168" s="15">
        <f>IF(ISNA(VLOOKUP(A168,'Données projet'!$A$61:$I$81,4,0)),0,VLOOKUP(A168,'Données projet'!$A$61:$I$81,4,0))</f>
        <v>114.95</v>
      </c>
      <c r="AR168" s="16">
        <f>IF(ISNA(VLOOKUP(A168,'Données projet'!$A$61:$I$81,5,0)),0%,VLOOKUP(A168,'Données projet'!$A$61:$I$81,5,0)*VLOOKUP('Données projet'!$B$10,Paramètres!$A$1:$I$89,7,0))</f>
        <v>0.19350000000000001</v>
      </c>
      <c r="AS168" s="16">
        <f>IF(ISNA(VLOOKUP(A168,'Données projet'!$A$61:$I$81,6,0)),0%,VLOOKUP(A168,'Données projet'!$A$61:$I$81,6,0)*VLOOKUP('Données projet'!$B$10,Paramètres!$A$1:$I$89,7,0))</f>
        <v>2.1500000000000002E-2</v>
      </c>
      <c r="AT168" s="16">
        <f>IF(ISNA(VLOOKUP(A168,'Données projet'!$A$61:$I$81,7,0)),0%,VLOOKUP(A168,'Données projet'!$A$61:$I$81,7,0))</f>
        <v>0.05</v>
      </c>
      <c r="AU168" s="21">
        <f>EXP(-LN(2)/35)*AU167+(1-EXP(-LN(2)/35))/(LN(2)/35)*AQ168*AR168*VLOOKUP('Données projet'!$B$10,Paramètres!$A$1:$I$89,3,0)*0.475*44/12</f>
        <v>126.08201345964008</v>
      </c>
      <c r="AV168" s="21">
        <f>EXP(-LN(2)/25)*AV167+(1-EXP(-LN(2)/25))/(LN(2)/25)*Calculateur!AQ168*Calculateur!AS168*VLOOKUP('Données projet'!$B$10,Paramètres!$A$1:$I$89,3,0)*0.475*44/12</f>
        <v>20.287453103226497</v>
      </c>
      <c r="AW168" s="21">
        <f>EXP(-LN(2)/2)*AW167+(1-EXP(-LN(2)/2))/(LN(2)/2)*AQ168*AT168*VLOOKUP('Données projet'!$B$10,Paramètres!$A$1:$I$89,3,0)*0.475*44/12</f>
        <v>6.6165579215380816</v>
      </c>
      <c r="AX168" s="21">
        <f t="shared" si="166"/>
        <v>152.98602448440468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384.34044781465661</v>
      </c>
      <c r="BJ168" s="59">
        <f t="shared" si="146"/>
        <v>374.99493809709708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10.60226671290761</v>
      </c>
      <c r="BQ168" s="21">
        <f>EXP(-LN(2)/25)*BQ167+(1-EXP(-LN(2)/25))/(LN(2)/25)*Calculateur!BL168*Calculateur!BN168*VLOOKUP('Données projet'!$B$11,Paramètres!$A$1:$I$89,3,0)*0.475*44/12</f>
        <v>5.3386840531953625</v>
      </c>
      <c r="BR168" s="21">
        <f>EXP(-LN(2)/2)*BR167+(1-EXP(-LN(2)/2))/(LN(2)/2)*BL168*BO168*VLOOKUP('Données projet'!$B$11,Paramètres!$A$1:$I$89,3,0)*0.475*44/12</f>
        <v>1.1019857836293095E-11</v>
      </c>
      <c r="BS168" s="22">
        <f t="shared" si="169"/>
        <v>15.940950766113993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5.4001247917767614E-13</v>
      </c>
      <c r="BZ168" s="13">
        <f>BY168*VLOOKUP('Données projet'!$B$12,Paramètres!$A$1:$I$89,3,0)*VLOOKUP('Données projet'!$B$12,Paramètres!$A$1:$I$89,5,0)</f>
        <v>5.1387587518547664E-13</v>
      </c>
      <c r="CA168" s="13">
        <f t="shared" si="170"/>
        <v>6.3806716506132977E-12</v>
      </c>
      <c r="CB168" s="20">
        <f t="shared" si="171"/>
        <v>1.2008003607432866E-11</v>
      </c>
      <c r="CC168" s="59">
        <f t="shared" si="119"/>
        <v>293.33333333334531</v>
      </c>
      <c r="CD168" s="59">
        <f ca="1">AVERAGE(OFFSET($CC$3,0,0,'Données projet'!$E$12+1,1))-AVERAGE(OFFSET($H$3,0,0,'Données projet'!$E$12+1,1))</f>
        <v>513.14430745499283</v>
      </c>
      <c r="CE168" s="59">
        <f t="shared" si="148"/>
        <v>324.2490378019823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109.20480987483434</v>
      </c>
      <c r="CL168" s="21">
        <f>EXP(-LN(2)/25)*CL167+(1-EXP(-LN(2)/25))/(LN(2)/25)*Calculateur!CG168*Calculateur!CI168*VLOOKUP('Données projet'!$B$12,Paramètres!$A$1:$I$89,3,0)*0.475*44/12</f>
        <v>18.747186626569295</v>
      </c>
      <c r="CM168" s="21">
        <f>EXP(-LN(2)/2)*CM167+(1-EXP(-LN(2)/2))/(LN(2)/2)*CG168*CJ168*VLOOKUP('Données projet'!$B$12,Paramètres!$A$1:$I$89,3,0)*0.475*44/12</f>
        <v>1.7983421079839403</v>
      </c>
      <c r="CN168" s="22">
        <f t="shared" si="172"/>
        <v>129.75033860938757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-1.1368683772161603E-13</v>
      </c>
      <c r="CU168" s="17">
        <f>CT168*VLOOKUP('Données projet'!$B$13,Paramètres!$A$1:$I$89,3,0)*VLOOKUP('Données projet'!$B$13,Paramètres!$A$1:$I$89,5,0)</f>
        <v>-8.8675733422860506E-14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197.51452239559433</v>
      </c>
      <c r="CZ168" s="59">
        <f t="shared" si="150"/>
        <v>196.65166921588821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4.117629270331328</v>
      </c>
      <c r="DG168" s="21">
        <f>EXP(-LN(2)/25)*DG167+(1-EXP(-LN(2)/25))/(LN(2)/25)*Calculateur!DB168*Calculateur!DD168*VLOOKUP('Données projet'!$B$13,Paramètres!$A$1:$I$89,3,0)*0.475*44/12</f>
        <v>1.8950542566999269</v>
      </c>
      <c r="DH168" s="21">
        <f>EXP(-LN(2)/2)*DH167+(1-EXP(-LN(2)/2))/(LN(2)/2)*DB168*DE168*VLOOKUP('Données projet'!$B$13,Paramètres!$A$1:$I$89,3,0)*0.475*44/12</f>
        <v>1.3836458281866629E-13</v>
      </c>
      <c r="DI168" s="22">
        <f t="shared" si="175"/>
        <v>6.0126835270313936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>
        <f>DO168*VLOOKUP('Données projet'!$B$14,Paramètres!$A$1:$I$89,3,0)*VLOOKUP('Données projet'!$B$14,Paramètres!$A$1:$I$89,5,0)</f>
        <v>0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239.26156489359892</v>
      </c>
      <c r="DU168" s="59">
        <f t="shared" si="152"/>
        <v>213.97034450798111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2.4486374451373738</v>
      </c>
      <c r="EB168" s="21">
        <f>EXP(-LN(2)/25)*EB167+(1-EXP(-LN(2)/25))/(LN(2)/25)*Calculateur!DW168*Calculateur!DY168*VLOOKUP('Données projet'!$B$14,Paramètres!$A$1:$I$89,3,0)*0.475*44/12</f>
        <v>7.9828668557509648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10.431504300888339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7.6783333333333319</v>
      </c>
      <c r="EJ168" s="12">
        <f>IF('Données projet'!$A$192&gt;35,EJ167+EI168-ER167,IF(A168&lt;'Données projet'!$A$192,$EG$205^A168,IF(A168='Données projet'!$A$192,'Données projet'!$B$192,EJ167+EI168-ER167)))</f>
        <v>412.61499999999967</v>
      </c>
      <c r="EK168" s="17">
        <f>EJ168*VLOOKUP('Données projet'!$B$15,Paramètres!$A$1:$I$89,3,0)*VLOOKUP('Données projet'!$B$15,Paramètres!$A$1:$I$89,5,0)</f>
        <v>411.95481599999965</v>
      </c>
      <c r="EL168" s="13">
        <f t="shared" si="179"/>
        <v>94.19615109136798</v>
      </c>
      <c r="EM168" s="20">
        <f t="shared" si="180"/>
        <v>881.54626768413198</v>
      </c>
      <c r="EN168" s="59">
        <f t="shared" si="128"/>
        <v>1174.8796010174653</v>
      </c>
      <c r="EO168" s="59">
        <f ca="1">AVERAGE(OFFSET($EN$3,0,0,'Données projet'!$E$15+1,1))-AVERAGE(OFFSET($H$3,0,0,'Données projet'!$E$15+1,1))</f>
        <v>525.74725170626471</v>
      </c>
      <c r="EP168" s="59">
        <f t="shared" si="154"/>
        <v>259.19103598192197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34.661373078158206</v>
      </c>
      <c r="EW168" s="21">
        <f>EXP(-LN(2)/25)*EW167+(1-EXP(-LN(2)/25))/(LN(2)/25)*Calculateur!ER168*Calculateur!ET168*VLOOKUP('Données projet'!$B$15,Paramètres!$A$1:$I$89,3,0)*0.475*44/12</f>
        <v>17.538873137026833</v>
      </c>
      <c r="EX168" s="21">
        <f>EXP(-LN(2)/2)*EX167+(1-EXP(-LN(2)/2))/(LN(2)/2)*ER168*EU168*VLOOKUP('Données projet'!$B$15,Paramètres!$A$1:$I$89,3,0)*0.475*44/12</f>
        <v>4.0157818395418765E-3</v>
      </c>
      <c r="EY168" s="22">
        <f t="shared" si="181"/>
        <v>52.204261997024581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7.6783333333333319</v>
      </c>
      <c r="N169" s="13">
        <f>IF('Données projet'!$A$36&gt;35,N168+M169-V168,IF(A169&lt;'Données projet'!$A$36,$K$205^A169,IF(A169='Données projet'!$A$36,'Données projet'!$B$36,N168+M169-V168)))</f>
        <v>420.29333333333301</v>
      </c>
      <c r="O169" s="13">
        <f>N169*VLOOKUP('Données projet'!$B$9,Paramètres!$A$1:$I$89,3,0)*VLOOKUP('Données projet'!$B$9,Paramètres!$A$1:$I$89,5,0)</f>
        <v>426.17743999999971</v>
      </c>
      <c r="P169" s="13">
        <f t="shared" si="141"/>
        <v>97.064001669669764</v>
      </c>
      <c r="Q169" s="20">
        <f t="shared" si="162"/>
        <v>911.31217757467437</v>
      </c>
      <c r="R169" s="59">
        <f t="shared" si="109"/>
        <v>1204.6455109080077</v>
      </c>
      <c r="S169" s="59">
        <f ca="1">AVERAGE(OFFSET($R$3,0,0,'Données projet'!$E$9+1,1))-AVERAGE(OFFSET($H$3,0,0,'Données projet'!$E$9+1,1))</f>
        <v>533.26035274112917</v>
      </c>
      <c r="T169" s="59">
        <f t="shared" si="142"/>
        <v>262.58149402282521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34.512648516780658</v>
      </c>
      <c r="AA169" s="21">
        <f>EXP(-LN(2)/25)*AA168+(1-EXP(-LN(2)/25))/(LN(2)/25)*Calculateur!V169*Calculateur!X169*VLOOKUP('Données projet'!$B$9,Paramètres!$A$1:$I$89,3,0)*0.475*44/12</f>
        <v>17.32582284952754</v>
      </c>
      <c r="AB169" s="21">
        <f>EXP(-LN(2)/2)*AB168+(1-EXP(-LN(2)/2))/(LN(2)/2)*V169*Y169*VLOOKUP('Données projet'!$B$9,Paramètres!$A$1:$I$89,3,0)*0.475*44/12</f>
        <v>2.8839551106700011E-3</v>
      </c>
      <c r="AC169" s="22">
        <f t="shared" si="163"/>
        <v>51.841355321418867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5.4001247917767614E-13</v>
      </c>
      <c r="AJ169" s="13">
        <f>AI169*VLOOKUP('Données projet'!$B$10,Paramètres!$A$1:$I$89,3,0)*VLOOKUP('Données projet'!$B$10,Paramètres!$A$1:$I$89,5,0)</f>
        <v>4.8860329115996133E-13</v>
      </c>
      <c r="AK169" s="13">
        <f t="shared" si="164"/>
        <v>6.1025862939685007E-12</v>
      </c>
      <c r="AL169" s="20">
        <f t="shared" si="165"/>
        <v>1.1479655194098737E-11</v>
      </c>
      <c r="AM169" s="59">
        <f t="shared" si="113"/>
        <v>293.3333333333448</v>
      </c>
      <c r="AN169" s="59">
        <f ca="1">AVERAGE(OFFSET($AM$3,0,0,'Données projet'!$E$10+1,1))-AVERAGE(OFFSET($H$3,0,0,'Données projet'!$E$10+1,1))</f>
        <v>482.62991869403385</v>
      </c>
      <c r="AO169" s="59">
        <f t="shared" si="144"/>
        <v>310.43914804089906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123.60962207813127</v>
      </c>
      <c r="AV169" s="21">
        <f>EXP(-LN(2)/25)*AV168+(1-EXP(-LN(2)/25))/(LN(2)/25)*Calculateur!AQ169*Calculateur!AS169*VLOOKUP('Données projet'!$B$10,Paramètres!$A$1:$I$89,3,0)*0.475*44/12</f>
        <v>19.732691631247977</v>
      </c>
      <c r="AW169" s="21">
        <f>EXP(-LN(2)/2)*AW168+(1-EXP(-LN(2)/2))/(LN(2)/2)*AQ169*AT169*VLOOKUP('Données projet'!$B$10,Paramètres!$A$1:$I$89,3,0)*0.475*44/12</f>
        <v>4.6786129744331459</v>
      </c>
      <c r="AX169" s="21">
        <f t="shared" si="166"/>
        <v>148.02092668381241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384.34044781465661</v>
      </c>
      <c r="BJ169" s="59">
        <f t="shared" si="146"/>
        <v>374.99493809709708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10.394362729411649</v>
      </c>
      <c r="BQ169" s="21">
        <f>EXP(-LN(2)/25)*BQ168+(1-EXP(-LN(2)/25))/(LN(2)/25)*Calculateur!BL169*Calculateur!BN169*VLOOKUP('Données projet'!$B$11,Paramètres!$A$1:$I$89,3,0)*0.475*44/12</f>
        <v>5.1926974570115423</v>
      </c>
      <c r="BR169" s="21">
        <f>EXP(-LN(2)/2)*BR168+(1-EXP(-LN(2)/2))/(LN(2)/2)*BL169*BO169*VLOOKUP('Données projet'!$B$11,Paramètres!$A$1:$I$89,3,0)*0.475*44/12</f>
        <v>7.7922162037545626E-12</v>
      </c>
      <c r="BS169" s="22">
        <f t="shared" si="169"/>
        <v>15.587060186430984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5.4001247917767614E-13</v>
      </c>
      <c r="BZ169" s="13">
        <f>BY169*VLOOKUP('Données projet'!$B$12,Paramètres!$A$1:$I$89,3,0)*VLOOKUP('Données projet'!$B$12,Paramètres!$A$1:$I$89,5,0)</f>
        <v>5.1387587518547664E-13</v>
      </c>
      <c r="CA169" s="13">
        <f t="shared" si="170"/>
        <v>6.3806716506132977E-12</v>
      </c>
      <c r="CB169" s="20">
        <f t="shared" si="171"/>
        <v>1.2008003607432866E-11</v>
      </c>
      <c r="CC169" s="59">
        <f t="shared" si="119"/>
        <v>293.33333333334531</v>
      </c>
      <c r="CD169" s="59">
        <f ca="1">AVERAGE(OFFSET($CC$3,0,0,'Données projet'!$E$12+1,1))-AVERAGE(OFFSET($H$3,0,0,'Données projet'!$E$12+1,1))</f>
        <v>513.14430745499283</v>
      </c>
      <c r="CE169" s="59">
        <f t="shared" si="148"/>
        <v>324.2490378019823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107.06337016154583</v>
      </c>
      <c r="CL169" s="21">
        <f>EXP(-LN(2)/25)*CL168+(1-EXP(-LN(2)/25))/(LN(2)/25)*Calculateur!CG169*Calculateur!CI169*VLOOKUP('Données projet'!$B$12,Paramètres!$A$1:$I$89,3,0)*0.475*44/12</f>
        <v>18.234543822394059</v>
      </c>
      <c r="CM169" s="21">
        <f>EXP(-LN(2)/2)*CM168+(1-EXP(-LN(2)/2))/(LN(2)/2)*CG169*CJ169*VLOOKUP('Données projet'!$B$12,Paramètres!$A$1:$I$89,3,0)*0.475*44/12</f>
        <v>1.2716198994487549</v>
      </c>
      <c r="CN169" s="22">
        <f t="shared" si="172"/>
        <v>126.56953388338864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-1.1368683772161603E-13</v>
      </c>
      <c r="CU169" s="17">
        <f>CT169*VLOOKUP('Données projet'!$B$13,Paramètres!$A$1:$I$89,3,0)*VLOOKUP('Données projet'!$B$13,Paramètres!$A$1:$I$89,5,0)</f>
        <v>-8.8675733422860506E-14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197.51452239559433</v>
      </c>
      <c r="CZ169" s="59">
        <f t="shared" si="150"/>
        <v>196.65166921588821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4.0368850718459948</v>
      </c>
      <c r="DG169" s="21">
        <f>EXP(-LN(2)/25)*DG168+(1-EXP(-LN(2)/25))/(LN(2)/25)*Calculateur!DB169*Calculateur!DD169*VLOOKUP('Données projet'!$B$13,Paramètres!$A$1:$I$89,3,0)*0.475*44/12</f>
        <v>1.8432338983938952</v>
      </c>
      <c r="DH169" s="21">
        <f>EXP(-LN(2)/2)*DH168+(1-EXP(-LN(2)/2))/(LN(2)/2)*DB169*DE169*VLOOKUP('Données projet'!$B$13,Paramètres!$A$1:$I$89,3,0)*0.475*44/12</f>
        <v>9.7838534787126599E-14</v>
      </c>
      <c r="DI169" s="22">
        <f t="shared" si="175"/>
        <v>5.8801189702399874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>
        <f>DO169*VLOOKUP('Données projet'!$B$14,Paramètres!$A$1:$I$89,3,0)*VLOOKUP('Données projet'!$B$14,Paramètres!$A$1:$I$89,5,0)</f>
        <v>0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239.26156489359892</v>
      </c>
      <c r="DU169" s="59">
        <f t="shared" si="152"/>
        <v>213.97034450798111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2.4006211583595984</v>
      </c>
      <c r="EB169" s="21">
        <f>EXP(-LN(2)/25)*EB168+(1-EXP(-LN(2)/25))/(LN(2)/25)*Calculateur!DW169*Calculateur!DY169*VLOOKUP('Données projet'!$B$14,Paramètres!$A$1:$I$89,3,0)*0.475*44/12</f>
        <v>7.7645749417797321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10.16519610013933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7.6783333333333319</v>
      </c>
      <c r="EJ169" s="12">
        <f>IF('Données projet'!$A$192&gt;35,EJ168+EI169-ER168,IF(A169&lt;'Données projet'!$A$192,$EG$205^A169,IF(A169='Données projet'!$A$192,'Données projet'!$B$192,EJ168+EI169-ER168)))</f>
        <v>420.29333333333301</v>
      </c>
      <c r="EK169" s="17">
        <f>EJ169*VLOOKUP('Données projet'!$B$15,Paramètres!$A$1:$I$89,3,0)*VLOOKUP('Données projet'!$B$15,Paramètres!$A$1:$I$89,5,0)</f>
        <v>419.62086399999976</v>
      </c>
      <c r="EL169" s="13">
        <f t="shared" si="179"/>
        <v>95.743340308512657</v>
      </c>
      <c r="EM169" s="20">
        <f t="shared" si="180"/>
        <v>897.59265583732576</v>
      </c>
      <c r="EN169" s="59">
        <f t="shared" si="128"/>
        <v>1190.925989170659</v>
      </c>
      <c r="EO169" s="59">
        <f ca="1">AVERAGE(OFFSET($EN$3,0,0,'Données projet'!$E$15+1,1))-AVERAGE(OFFSET($H$3,0,0,'Données projet'!$E$15+1,1))</f>
        <v>525.74725170626471</v>
      </c>
      <c r="EP169" s="59">
        <f t="shared" si="154"/>
        <v>259.19103598192197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33.981684693445565</v>
      </c>
      <c r="EW169" s="21">
        <f>EXP(-LN(2)/25)*EW168+(1-EXP(-LN(2)/25))/(LN(2)/25)*Calculateur!ER169*Calculateur!ET169*VLOOKUP('Données projet'!$B$15,Paramètres!$A$1:$I$89,3,0)*0.475*44/12</f>
        <v>17.05927172876558</v>
      </c>
      <c r="EX169" s="21">
        <f>EXP(-LN(2)/2)*EX168+(1-EXP(-LN(2)/2))/(LN(2)/2)*ER169*EU169*VLOOKUP('Données projet'!$B$15,Paramètres!$A$1:$I$89,3,0)*0.475*44/12</f>
        <v>2.839586570505849E-3</v>
      </c>
      <c r="EY169" s="22">
        <f t="shared" si="181"/>
        <v>51.043796008781655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7.6783333333333319</v>
      </c>
      <c r="N170" s="13">
        <f>IF('Données projet'!$A$36&gt;35,N169+M170-V169,IF(A170&lt;'Données projet'!$A$36,$K$205^A170,IF(A170='Données projet'!$A$36,'Données projet'!$B$36,N169+M170-V169)))</f>
        <v>427.97166666666635</v>
      </c>
      <c r="O170" s="13">
        <f>N170*VLOOKUP('Données projet'!$B$9,Paramètres!$A$1:$I$89,3,0)*VLOOKUP('Données projet'!$B$9,Paramètres!$A$1:$I$89,5,0)</f>
        <v>433.96326999999974</v>
      </c>
      <c r="P170" s="13">
        <f t="shared" si="141"/>
        <v>98.629200306449263</v>
      </c>
      <c r="Q170" s="20">
        <f t="shared" si="162"/>
        <v>927.59855245039887</v>
      </c>
      <c r="R170" s="59">
        <f t="shared" si="109"/>
        <v>1220.9318857837322</v>
      </c>
      <c r="S170" s="59">
        <f ca="1">AVERAGE(OFFSET($R$3,0,0,'Données projet'!$E$9+1,1))-AVERAGE(OFFSET($H$3,0,0,'Données projet'!$E$9+1,1))</f>
        <v>533.26035274112917</v>
      </c>
      <c r="T170" s="59">
        <f t="shared" si="142"/>
        <v>262.58149402282521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33.83587653000361</v>
      </c>
      <c r="AA170" s="21">
        <f>EXP(-LN(2)/25)*AA169+(1-EXP(-LN(2)/25))/(LN(2)/25)*Calculateur!V170*Calculateur!X170*VLOOKUP('Données projet'!$B$9,Paramètres!$A$1:$I$89,3,0)*0.475*44/12</f>
        <v>16.852047312581785</v>
      </c>
      <c r="AB170" s="21">
        <f>EXP(-LN(2)/2)*AB169+(1-EXP(-LN(2)/2))/(LN(2)/2)*V170*Y170*VLOOKUP('Données projet'!$B$9,Paramètres!$A$1:$I$89,3,0)*0.475*44/12</f>
        <v>2.0392642153923579E-3</v>
      </c>
      <c r="AC170" s="22">
        <f t="shared" si="163"/>
        <v>50.689963106800782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5.4001247917767614E-13</v>
      </c>
      <c r="AJ170" s="13">
        <f>AI170*VLOOKUP('Données projet'!$B$10,Paramètres!$A$1:$I$89,3,0)*VLOOKUP('Données projet'!$B$10,Paramètres!$A$1:$I$89,5,0)</f>
        <v>4.8860329115996133E-13</v>
      </c>
      <c r="AK170" s="13">
        <f t="shared" si="164"/>
        <v>6.1025862939685007E-12</v>
      </c>
      <c r="AL170" s="20">
        <f t="shared" si="165"/>
        <v>1.1479655194098737E-11</v>
      </c>
      <c r="AM170" s="59">
        <f t="shared" si="113"/>
        <v>293.3333333333448</v>
      </c>
      <c r="AN170" s="59">
        <f ca="1">AVERAGE(OFFSET($AM$3,0,0,'Données projet'!$E$10+1,1))-AVERAGE(OFFSET($H$3,0,0,'Données projet'!$E$10+1,1))</f>
        <v>482.62991869403385</v>
      </c>
      <c r="AO170" s="59">
        <f t="shared" si="144"/>
        <v>310.43914804089906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121.185712783604</v>
      </c>
      <c r="AV170" s="21">
        <f>EXP(-LN(2)/25)*AV169+(1-EXP(-LN(2)/25))/(LN(2)/25)*Calculateur!AQ170*Calculateur!AS170*VLOOKUP('Données projet'!$B$10,Paramètres!$A$1:$I$89,3,0)*0.475*44/12</f>
        <v>19.193100140894348</v>
      </c>
      <c r="AW170" s="21">
        <f>EXP(-LN(2)/2)*AW169+(1-EXP(-LN(2)/2))/(LN(2)/2)*AQ170*AT170*VLOOKUP('Données projet'!$B$10,Paramètres!$A$1:$I$89,3,0)*0.475*44/12</f>
        <v>3.3082789607690408</v>
      </c>
      <c r="AX170" s="21">
        <f t="shared" si="166"/>
        <v>143.68709188526739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384.34044781465661</v>
      </c>
      <c r="BJ170" s="59">
        <f t="shared" si="146"/>
        <v>374.99493809709708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10.190535616223135</v>
      </c>
      <c r="BQ170" s="21">
        <f>EXP(-LN(2)/25)*BQ169+(1-EXP(-LN(2)/25))/(LN(2)/25)*Calculateur!BL170*Calculateur!BN170*VLOOKUP('Données projet'!$B$11,Paramètres!$A$1:$I$89,3,0)*0.475*44/12</f>
        <v>5.05070287197747</v>
      </c>
      <c r="BR170" s="21">
        <f>EXP(-LN(2)/2)*BR169+(1-EXP(-LN(2)/2))/(LN(2)/2)*BL170*BO170*VLOOKUP('Données projet'!$B$11,Paramètres!$A$1:$I$89,3,0)*0.475*44/12</f>
        <v>5.5099289181465476E-12</v>
      </c>
      <c r="BS170" s="22">
        <f t="shared" si="169"/>
        <v>15.241238488206115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5.4001247917767614E-13</v>
      </c>
      <c r="BZ170" s="13">
        <f>BY170*VLOOKUP('Données projet'!$B$12,Paramètres!$A$1:$I$89,3,0)*VLOOKUP('Données projet'!$B$12,Paramètres!$A$1:$I$89,5,0)</f>
        <v>5.1387587518547664E-13</v>
      </c>
      <c r="CA170" s="13">
        <f t="shared" si="170"/>
        <v>6.3806716506132977E-12</v>
      </c>
      <c r="CB170" s="20">
        <f t="shared" si="171"/>
        <v>1.2008003607432866E-11</v>
      </c>
      <c r="CC170" s="59">
        <f t="shared" si="119"/>
        <v>293.33333333334531</v>
      </c>
      <c r="CD170" s="59">
        <f ca="1">AVERAGE(OFFSET($CC$3,0,0,'Données projet'!$E$12+1,1))-AVERAGE(OFFSET($H$3,0,0,'Données projet'!$E$12+1,1))</f>
        <v>513.14430745499283</v>
      </c>
      <c r="CE170" s="59">
        <f t="shared" si="148"/>
        <v>324.2490378019823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104.96392277488566</v>
      </c>
      <c r="CL170" s="21">
        <f>EXP(-LN(2)/25)*CL169+(1-EXP(-LN(2)/25))/(LN(2)/25)*Calculateur!CG170*Calculateur!CI170*VLOOKUP('Données projet'!$B$12,Paramètres!$A$1:$I$89,3,0)*0.475*44/12</f>
        <v>17.73591926265771</v>
      </c>
      <c r="CM170" s="21">
        <f>EXP(-LN(2)/2)*CM169+(1-EXP(-LN(2)/2))/(LN(2)/2)*CG170*CJ170*VLOOKUP('Données projet'!$B$12,Paramètres!$A$1:$I$89,3,0)*0.475*44/12</f>
        <v>0.89917105399197028</v>
      </c>
      <c r="CN170" s="22">
        <f t="shared" si="172"/>
        <v>123.59901309153533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-1.1368683772161603E-13</v>
      </c>
      <c r="CU170" s="17">
        <f>CT170*VLOOKUP('Données projet'!$B$13,Paramètres!$A$1:$I$89,3,0)*VLOOKUP('Données projet'!$B$13,Paramètres!$A$1:$I$89,5,0)</f>
        <v>-8.8675733422860506E-14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197.51452239559433</v>
      </c>
      <c r="CZ170" s="59">
        <f t="shared" si="150"/>
        <v>196.65166921588821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3.957724217843861</v>
      </c>
      <c r="DG170" s="21">
        <f>EXP(-LN(2)/25)*DG169+(1-EXP(-LN(2)/25))/(LN(2)/25)*Calculateur!DB170*Calculateur!DD170*VLOOKUP('Données projet'!$B$13,Paramètres!$A$1:$I$89,3,0)*0.475*44/12</f>
        <v>1.7928305705108563</v>
      </c>
      <c r="DH170" s="21">
        <f>EXP(-LN(2)/2)*DH169+(1-EXP(-LN(2)/2))/(LN(2)/2)*DB170*DE170*VLOOKUP('Données projet'!$B$13,Paramètres!$A$1:$I$89,3,0)*0.475*44/12</f>
        <v>6.9182291409333145E-14</v>
      </c>
      <c r="DI170" s="22">
        <f t="shared" si="175"/>
        <v>5.750554788354787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>
        <f>DO170*VLOOKUP('Données projet'!$B$14,Paramètres!$A$1:$I$89,3,0)*VLOOKUP('Données projet'!$B$14,Paramètres!$A$1:$I$89,5,0)</f>
        <v>0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239.26156489359892</v>
      </c>
      <c r="DU170" s="59">
        <f t="shared" si="152"/>
        <v>213.97034450798111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2.3535464416784921</v>
      </c>
      <c r="EB170" s="21">
        <f>EXP(-LN(2)/25)*EB169+(1-EXP(-LN(2)/25))/(LN(2)/25)*Calculateur!DW170*Calculateur!DY170*VLOOKUP('Données projet'!$B$14,Paramètres!$A$1:$I$89,3,0)*0.475*44/12</f>
        <v>7.5522522316755154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9.905798673354008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7.6783333333333319</v>
      </c>
      <c r="EJ170" s="12">
        <f>IF('Données projet'!$A$192&gt;35,EJ169+EI170-ER169,IF(A170&lt;'Données projet'!$A$192,$EG$205^A170,IF(A170='Données projet'!$A$192,'Données projet'!$B$192,EJ169+EI170-ER169)))</f>
        <v>427.97166666666635</v>
      </c>
      <c r="EK170" s="17">
        <f>EJ170*VLOOKUP('Données projet'!$B$15,Paramètres!$A$1:$I$89,3,0)*VLOOKUP('Données projet'!$B$15,Paramètres!$A$1:$I$89,5,0)</f>
        <v>427.28691199999975</v>
      </c>
      <c r="EL170" s="13">
        <f t="shared" si="179"/>
        <v>97.287242714696134</v>
      </c>
      <c r="EM170" s="20">
        <f t="shared" si="180"/>
        <v>913.63331946142853</v>
      </c>
      <c r="EN170" s="59">
        <f t="shared" si="128"/>
        <v>1206.9666527947618</v>
      </c>
      <c r="EO170" s="59">
        <f ca="1">AVERAGE(OFFSET($EN$3,0,0,'Données projet'!$E$15+1,1))-AVERAGE(OFFSET($H$3,0,0,'Données projet'!$E$15+1,1))</f>
        <v>525.74725170626471</v>
      </c>
      <c r="EP170" s="59">
        <f t="shared" si="154"/>
        <v>259.19103598192197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33.315324583388161</v>
      </c>
      <c r="EW170" s="21">
        <f>EXP(-LN(2)/25)*EW169+(1-EXP(-LN(2)/25))/(LN(2)/25)*Calculateur!ER170*Calculateur!ET170*VLOOKUP('Données projet'!$B$15,Paramètres!$A$1:$I$89,3,0)*0.475*44/12</f>
        <v>16.592785046234376</v>
      </c>
      <c r="EX170" s="21">
        <f>EXP(-LN(2)/2)*EX169+(1-EXP(-LN(2)/2))/(LN(2)/2)*ER170*EU170*VLOOKUP('Données projet'!$B$15,Paramètres!$A$1:$I$89,3,0)*0.475*44/12</f>
        <v>2.0078909197709383E-3</v>
      </c>
      <c r="EY170" s="22">
        <f t="shared" si="181"/>
        <v>49.910117520542308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>
        <f>VLOOKUP(A171,'Données projet'!$A$35:$I$55,2,0)</f>
        <v>435.65</v>
      </c>
      <c r="L171" s="12">
        <f>VLOOKUP(A171,'Données projet'!$A$35:$I$55,9,0)</f>
        <v>7.6783333333333319</v>
      </c>
      <c r="M171" s="12">
        <f t="array" ref="M171">INDEX(L:L,MIN(IF(ISNUMBER(L171:L367),ROW(L171:L367),"")))</f>
        <v>7.6783333333333319</v>
      </c>
      <c r="N171" s="13">
        <f>IF('Données projet'!$A$36&gt;35,N170+M171-V170,IF(A171&lt;'Données projet'!$A$36,$K$205^A171,IF(A171='Données projet'!$A$36,'Données projet'!$B$36,N170+M171-V170)))</f>
        <v>435.64999999999969</v>
      </c>
      <c r="O171" s="13">
        <f>N171*VLOOKUP('Données projet'!$B$9,Paramètres!$A$1:$I$89,3,0)*VLOOKUP('Données projet'!$B$9,Paramètres!$A$1:$I$89,5,0)</f>
        <v>441.74909999999966</v>
      </c>
      <c r="P171" s="13">
        <f t="shared" si="141"/>
        <v>100.19113347385638</v>
      </c>
      <c r="Q171" s="20">
        <f t="shared" si="162"/>
        <v>943.879239966966</v>
      </c>
      <c r="R171" s="59">
        <f t="shared" si="109"/>
        <v>1237.2125733002993</v>
      </c>
      <c r="S171" s="59">
        <f ca="1">AVERAGE(OFFSET($R$3,0,0,'Données projet'!$E$9+1,1))-AVERAGE(OFFSET($H$3,0,0,'Données projet'!$E$9+1,1))</f>
        <v>533.26035274112917</v>
      </c>
      <c r="T171" s="59">
        <f t="shared" si="142"/>
        <v>262.58149402282521</v>
      </c>
      <c r="U171" s="15">
        <f>IF(ISNA(VLOOKUP(A171,'Données projet'!$A$35:$I$55,3,0)),0,VLOOKUP(A171,'Données projet'!$A$35:$I$55,3,0))</f>
        <v>12</v>
      </c>
      <c r="V171" s="15">
        <f>IF(ISNA(VLOOKUP(A171,'Données projet'!$A$35:$I$55,4,0)),0,VLOOKUP(A171,'Données projet'!$A$35:$I$55,4,0))</f>
        <v>71.37</v>
      </c>
      <c r="W171" s="16">
        <f>IF(ISNA(VLOOKUP(A171,'Données projet'!$A$35:$I$55,5,0)),0%,VLOOKUP(A171,'Données projet'!$A$35:$I$55,5,0)*VLOOKUP('Données projet'!$B$9,Paramètres!$A$1:$I$89,7,0))</f>
        <v>0.215</v>
      </c>
      <c r="X171" s="16">
        <f>IF(ISNA(VLOOKUP(A171,'Données projet'!$A$35:$I$55,6,0)),0%,VLOOKUP(A171,'Données projet'!$A$35:$I$55,6,0)*VLOOKUP('Données projet'!$B$9,Paramètres!$A$1:$I$89,7,0))</f>
        <v>8.6000000000000007E-2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50.372802378531105</v>
      </c>
      <c r="AA171" s="21">
        <f>EXP(-LN(2)/25)*AA170+(1-EXP(-LN(2)/25))/(LN(2)/25)*Calculateur!V171*Calculateur!X171*VLOOKUP('Données projet'!$B$9,Paramètres!$A$1:$I$89,3,0)*0.475*44/12</f>
        <v>23.244308038786613</v>
      </c>
      <c r="AB171" s="21">
        <f>EXP(-LN(2)/2)*AB170+(1-EXP(-LN(2)/2))/(LN(2)/2)*V171*Y171*VLOOKUP('Données projet'!$B$9,Paramètres!$A$1:$I$89,3,0)*0.475*44/12</f>
        <v>1.4419775553350005E-3</v>
      </c>
      <c r="AC171" s="22">
        <f t="shared" si="163"/>
        <v>73.618552394873049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5.4001247917767614E-13</v>
      </c>
      <c r="AJ171" s="13">
        <f>AI171*VLOOKUP('Données projet'!$B$10,Paramètres!$A$1:$I$89,3,0)*VLOOKUP('Données projet'!$B$10,Paramètres!$A$1:$I$89,5,0)</f>
        <v>4.8860329115996133E-13</v>
      </c>
      <c r="AK171" s="13">
        <f t="shared" si="164"/>
        <v>6.1025862939685007E-12</v>
      </c>
      <c r="AL171" s="20">
        <f t="shared" si="165"/>
        <v>1.1479655194098737E-11</v>
      </c>
      <c r="AM171" s="59">
        <f t="shared" si="113"/>
        <v>293.3333333333448</v>
      </c>
      <c r="AN171" s="59">
        <f ca="1">AVERAGE(OFFSET($AM$3,0,0,'Données projet'!$E$10+1,1))-AVERAGE(OFFSET($H$3,0,0,'Données projet'!$E$10+1,1))</f>
        <v>482.62991869403385</v>
      </c>
      <c r="AO171" s="59">
        <f t="shared" si="144"/>
        <v>310.43914804089906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118.80933487190373</v>
      </c>
      <c r="AV171" s="21">
        <f>EXP(-LN(2)/25)*AV170+(1-EXP(-LN(2)/25))/(LN(2)/25)*Calculateur!AQ171*Calculateur!AS171*VLOOKUP('Données projet'!$B$10,Paramètres!$A$1:$I$89,3,0)*0.475*44/12</f>
        <v>18.66826380822032</v>
      </c>
      <c r="AW171" s="21">
        <f>EXP(-LN(2)/2)*AW170+(1-EXP(-LN(2)/2))/(LN(2)/2)*AQ171*AT171*VLOOKUP('Données projet'!$B$10,Paramètres!$A$1:$I$89,3,0)*0.475*44/12</f>
        <v>2.339306487216573</v>
      </c>
      <c r="AX171" s="21">
        <f t="shared" si="166"/>
        <v>139.81690516734062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384.34044781465661</v>
      </c>
      <c r="BJ171" s="59">
        <f t="shared" si="146"/>
        <v>374.99493809709708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9.9907054284019843</v>
      </c>
      <c r="BQ171" s="21">
        <f>EXP(-LN(2)/25)*BQ170+(1-EXP(-LN(2)/25))/(LN(2)/25)*Calculateur!BL171*Calculateur!BN171*VLOOKUP('Données projet'!$B$11,Paramètres!$A$1:$I$89,3,0)*0.475*44/12</f>
        <v>4.9125911363383254</v>
      </c>
      <c r="BR171" s="21">
        <f>EXP(-LN(2)/2)*BR170+(1-EXP(-LN(2)/2))/(LN(2)/2)*BL171*BO171*VLOOKUP('Données projet'!$B$11,Paramètres!$A$1:$I$89,3,0)*0.475*44/12</f>
        <v>3.8961081018772813E-12</v>
      </c>
      <c r="BS171" s="22">
        <f t="shared" si="169"/>
        <v>14.903296564744204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5.4001247917767614E-13</v>
      </c>
      <c r="BZ171" s="13">
        <f>BY171*VLOOKUP('Données projet'!$B$12,Paramètres!$A$1:$I$89,3,0)*VLOOKUP('Données projet'!$B$12,Paramètres!$A$1:$I$89,5,0)</f>
        <v>5.1387587518547664E-13</v>
      </c>
      <c r="CA171" s="13">
        <f t="shared" si="170"/>
        <v>6.3806716506132977E-12</v>
      </c>
      <c r="CB171" s="20">
        <f t="shared" si="171"/>
        <v>1.2008003607432866E-11</v>
      </c>
      <c r="CC171" s="59">
        <f t="shared" si="119"/>
        <v>293.33333333334531</v>
      </c>
      <c r="CD171" s="59">
        <f ca="1">AVERAGE(OFFSET($CC$3,0,0,'Données projet'!$E$12+1,1))-AVERAGE(OFFSET($H$3,0,0,'Données projet'!$E$12+1,1))</f>
        <v>513.14430745499283</v>
      </c>
      <c r="CE171" s="59">
        <f t="shared" si="148"/>
        <v>324.2490378019823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102.90564427094142</v>
      </c>
      <c r="CL171" s="21">
        <f>EXP(-LN(2)/25)*CL170+(1-EXP(-LN(2)/25))/(LN(2)/25)*Calculateur!CG171*Calculateur!CI171*VLOOKUP('Données projet'!$B$12,Paramètres!$A$1:$I$89,3,0)*0.475*44/12</f>
        <v>17.250929617728875</v>
      </c>
      <c r="CM171" s="21">
        <f>EXP(-LN(2)/2)*CM170+(1-EXP(-LN(2)/2))/(LN(2)/2)*CG171*CJ171*VLOOKUP('Données projet'!$B$12,Paramètres!$A$1:$I$89,3,0)*0.475*44/12</f>
        <v>0.63580994972437743</v>
      </c>
      <c r="CN171" s="22">
        <f t="shared" si="172"/>
        <v>120.79238383839467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-1.1368683772161603E-13</v>
      </c>
      <c r="CU171" s="17">
        <f>CT171*VLOOKUP('Données projet'!$B$13,Paramètres!$A$1:$I$89,3,0)*VLOOKUP('Données projet'!$B$13,Paramètres!$A$1:$I$89,5,0)</f>
        <v>-8.8675733422860506E-14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197.51452239559433</v>
      </c>
      <c r="CZ171" s="59">
        <f t="shared" si="150"/>
        <v>196.65166921588821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3.8801156599053557</v>
      </c>
      <c r="DG171" s="21">
        <f>EXP(-LN(2)/25)*DG170+(1-EXP(-LN(2)/25))/(LN(2)/25)*Calculateur!DB171*Calculateur!DD171*VLOOKUP('Données projet'!$B$13,Paramètres!$A$1:$I$89,3,0)*0.475*44/12</f>
        <v>1.7438055242793749</v>
      </c>
      <c r="DH171" s="21">
        <f>EXP(-LN(2)/2)*DH170+(1-EXP(-LN(2)/2))/(LN(2)/2)*DB171*DE171*VLOOKUP('Données projet'!$B$13,Paramètres!$A$1:$I$89,3,0)*0.475*44/12</f>
        <v>4.89192673935633E-14</v>
      </c>
      <c r="DI171" s="22">
        <f t="shared" si="175"/>
        <v>5.6239211841847796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>
        <f>DO171*VLOOKUP('Données projet'!$B$14,Paramètres!$A$1:$I$89,3,0)*VLOOKUP('Données projet'!$B$14,Paramètres!$A$1:$I$89,5,0)</f>
        <v>0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239.26156489359892</v>
      </c>
      <c r="DU171" s="59">
        <f t="shared" si="152"/>
        <v>213.97034450798111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2.3073948314787605</v>
      </c>
      <c r="EB171" s="21">
        <f>EXP(-LN(2)/25)*EB170+(1-EXP(-LN(2)/25))/(LN(2)/25)*Calculateur!DW171*Calculateur!DY171*VLOOKUP('Données projet'!$B$14,Paramètres!$A$1:$I$89,3,0)*0.475*44/12</f>
        <v>7.3457354972446645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9.6531303287234245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>
        <f>VLOOKUP(A171,'Données projet'!$A$191:$I$211,2,0)</f>
        <v>435.65</v>
      </c>
      <c r="EH171" s="12">
        <f>VLOOKUP(A171,'Données projet'!$A$191:$I$211,9,0)</f>
        <v>7.6783333333333319</v>
      </c>
      <c r="EI171" s="12">
        <f t="array" ref="EI171">INDEX(EH:EH,MIN(IF(ISNUMBER(EH171:EH367),ROW(EH171:EH367),"")))</f>
        <v>7.6783333333333319</v>
      </c>
      <c r="EJ171" s="12">
        <f>IF('Données projet'!$A$192&gt;35,EJ170+EI171-ER170,IF(A171&lt;'Données projet'!$A$192,$EG$205^A171,IF(A171='Données projet'!$A$192,'Données projet'!$B$192,EJ170+EI171-ER170)))</f>
        <v>435.64999999999969</v>
      </c>
      <c r="EK171" s="17">
        <f>EJ171*VLOOKUP('Données projet'!$B$15,Paramètres!$A$1:$I$89,3,0)*VLOOKUP('Données projet'!$B$15,Paramètres!$A$1:$I$89,5,0)</f>
        <v>434.95295999999973</v>
      </c>
      <c r="EL171" s="13">
        <f t="shared" si="179"/>
        <v>98.827924081771371</v>
      </c>
      <c r="EM171" s="20">
        <f t="shared" si="180"/>
        <v>929.66837310908465</v>
      </c>
      <c r="EN171" s="59">
        <f t="shared" si="128"/>
        <v>1223.001706442418</v>
      </c>
      <c r="EO171" s="59">
        <f ca="1">AVERAGE(OFFSET($EN$3,0,0,'Données projet'!$E$15+1,1))-AVERAGE(OFFSET($H$3,0,0,'Données projet'!$E$15+1,1))</f>
        <v>525.74725170626471</v>
      </c>
      <c r="EP171" s="59">
        <f t="shared" si="154"/>
        <v>259.19103598192197</v>
      </c>
      <c r="EQ171" s="15">
        <f>IF(ISNA(VLOOKUP(A171,'Données projet'!$A$191:$I$211,3,0)),0,VLOOKUP(A171,'Données projet'!$A$191:$I$211,3,0))</f>
        <v>12</v>
      </c>
      <c r="ER171" s="15">
        <f>IF(ISNA(VLOOKUP(A171,'Données projet'!$A$191:$I$211,4,0)),0,VLOOKUP(A171,'Données projet'!$A$191:$I$211,4,0))</f>
        <v>71.37</v>
      </c>
      <c r="ES171" s="16">
        <f>IF(ISNA(VLOOKUP(A171,'Données projet'!$A$191:$I$211,5,0)),0%,VLOOKUP(A171,'Données projet'!$A$191:$I$211,5,0)*VLOOKUP('Données projet'!$B$15,Paramètres!$A$1:$I$89,7,0))</f>
        <v>0.215</v>
      </c>
      <c r="ET171" s="16">
        <f>IF(ISNA(VLOOKUP(A171,'Données projet'!$A$191:$I$211,6,0)),0%,VLOOKUP(A171,'Données projet'!$A$191:$I$211,6,0)*VLOOKUP('Données projet'!$B$15,Paramètres!$A$1:$I$89,7,0))</f>
        <v>8.6000000000000007E-2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49.59783618809216</v>
      </c>
      <c r="EW171" s="21">
        <f>EXP(-LN(2)/25)*EW170+(1-EXP(-LN(2)/25))/(LN(2)/25)*Calculateur!ER171*Calculateur!ET171*VLOOKUP('Données projet'!$B$15,Paramètres!$A$1:$I$89,3,0)*0.475*44/12</f>
        <v>22.88670329972836</v>
      </c>
      <c r="EX171" s="21">
        <f>EXP(-LN(2)/2)*EX170+(1-EXP(-LN(2)/2))/(LN(2)/2)*ER171*EU171*VLOOKUP('Données projet'!$B$15,Paramètres!$A$1:$I$89,3,0)*0.475*44/12</f>
        <v>1.4197932852529245E-3</v>
      </c>
      <c r="EY171" s="22">
        <f t="shared" si="181"/>
        <v>72.485959281105764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7.688333333333337</v>
      </c>
      <c r="N172" s="13">
        <f>IF('Données projet'!$A$36&gt;35,N171+M172-V171,IF(A172&lt;'Données projet'!$A$36,$K$205^A172,IF(A172='Données projet'!$A$36,'Données projet'!$B$36,N171+M172-V171)))</f>
        <v>371.96833333333302</v>
      </c>
      <c r="O172" s="13">
        <f>N172*VLOOKUP('Données projet'!$B$9,Paramètres!$A$1:$I$89,3,0)*VLOOKUP('Données projet'!$B$9,Paramètres!$A$1:$I$89,5,0)</f>
        <v>377.1758899999997</v>
      </c>
      <c r="P172" s="13">
        <f t="shared" si="141"/>
        <v>87.133724046486122</v>
      </c>
      <c r="Q172" s="20">
        <f t="shared" si="162"/>
        <v>808.6725777976294</v>
      </c>
      <c r="R172" s="59">
        <f t="shared" si="109"/>
        <v>1102.0059111309627</v>
      </c>
      <c r="S172" s="59">
        <f ca="1">AVERAGE(OFFSET($R$3,0,0,'Données projet'!$E$9+1,1))-AVERAGE(OFFSET($H$3,0,0,'Données projet'!$E$9+1,1))</f>
        <v>533.26035274112917</v>
      </c>
      <c r="T172" s="59">
        <f t="shared" si="142"/>
        <v>262.58149402282521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49.385022448263783</v>
      </c>
      <c r="AA172" s="21">
        <f>EXP(-LN(2)/25)*AA171+(1-EXP(-LN(2)/25))/(LN(2)/25)*Calculateur!V172*Calculateur!X172*VLOOKUP('Données projet'!$B$9,Paramètres!$A$1:$I$89,3,0)*0.475*44/12</f>
        <v>22.608691213100958</v>
      </c>
      <c r="AB172" s="21">
        <f>EXP(-LN(2)/2)*AB171+(1-EXP(-LN(2)/2))/(LN(2)/2)*V172*Y172*VLOOKUP('Données projet'!$B$9,Paramètres!$A$1:$I$89,3,0)*0.475*44/12</f>
        <v>1.0196321076961789E-3</v>
      </c>
      <c r="AC172" s="22">
        <f t="shared" si="163"/>
        <v>71.994733293472436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5.4001247917767614E-13</v>
      </c>
      <c r="AJ172" s="13">
        <f>AI172*VLOOKUP('Données projet'!$B$10,Paramètres!$A$1:$I$89,3,0)*VLOOKUP('Données projet'!$B$10,Paramètres!$A$1:$I$89,5,0)</f>
        <v>4.8860329115996133E-13</v>
      </c>
      <c r="AK172" s="13">
        <f t="shared" si="164"/>
        <v>6.1025862939685007E-12</v>
      </c>
      <c r="AL172" s="20">
        <f t="shared" si="165"/>
        <v>1.1479655194098737E-11</v>
      </c>
      <c r="AM172" s="59">
        <f t="shared" si="113"/>
        <v>293.3333333333448</v>
      </c>
      <c r="AN172" s="59">
        <f ca="1">AVERAGE(OFFSET($AM$3,0,0,'Données projet'!$E$10+1,1))-AVERAGE(OFFSET($H$3,0,0,'Données projet'!$E$10+1,1))</f>
        <v>482.62991869403385</v>
      </c>
      <c r="AO172" s="59">
        <f t="shared" si="144"/>
        <v>310.43914804089906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116.47955628160449</v>
      </c>
      <c r="AV172" s="21">
        <f>EXP(-LN(2)/25)*AV171+(1-EXP(-LN(2)/25))/(LN(2)/25)*Calculateur!AQ172*Calculateur!AS172*VLOOKUP('Données projet'!$B$10,Paramètres!$A$1:$I$89,3,0)*0.475*44/12</f>
        <v>18.15777915266321</v>
      </c>
      <c r="AW172" s="21">
        <f>EXP(-LN(2)/2)*AW171+(1-EXP(-LN(2)/2))/(LN(2)/2)*AQ172*AT172*VLOOKUP('Données projet'!$B$10,Paramètres!$A$1:$I$89,3,0)*0.475*44/12</f>
        <v>1.6541394803845204</v>
      </c>
      <c r="AX172" s="21">
        <f t="shared" si="166"/>
        <v>136.29147491465221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384.34044781465661</v>
      </c>
      <c r="BJ172" s="59">
        <f t="shared" si="146"/>
        <v>374.99493809709708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9.7947937886796268</v>
      </c>
      <c r="BQ172" s="21">
        <f>EXP(-LN(2)/25)*BQ171+(1-EXP(-LN(2)/25))/(LN(2)/25)*Calculateur!BL172*Calculateur!BN172*VLOOKUP('Données projet'!$B$11,Paramètres!$A$1:$I$89,3,0)*0.475*44/12</f>
        <v>4.778256073373214</v>
      </c>
      <c r="BR172" s="21">
        <f>EXP(-LN(2)/2)*BR171+(1-EXP(-LN(2)/2))/(LN(2)/2)*BL172*BO172*VLOOKUP('Données projet'!$B$11,Paramètres!$A$1:$I$89,3,0)*0.475*44/12</f>
        <v>2.7549644590732738E-12</v>
      </c>
      <c r="BS172" s="22">
        <f t="shared" si="169"/>
        <v>14.573049862055596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5.4001247917767614E-13</v>
      </c>
      <c r="BZ172" s="13">
        <f>BY172*VLOOKUP('Données projet'!$B$12,Paramètres!$A$1:$I$89,3,0)*VLOOKUP('Données projet'!$B$12,Paramètres!$A$1:$I$89,5,0)</f>
        <v>5.1387587518547664E-13</v>
      </c>
      <c r="CA172" s="13">
        <f t="shared" si="170"/>
        <v>6.3806716506132977E-12</v>
      </c>
      <c r="CB172" s="20">
        <f t="shared" si="171"/>
        <v>1.2008003607432866E-11</v>
      </c>
      <c r="CC172" s="59">
        <f t="shared" si="119"/>
        <v>293.33333333334531</v>
      </c>
      <c r="CD172" s="59">
        <f ca="1">AVERAGE(OFFSET($CC$3,0,0,'Données projet'!$E$12+1,1))-AVERAGE(OFFSET($H$3,0,0,'Données projet'!$E$12+1,1))</f>
        <v>513.14430745499283</v>
      </c>
      <c r="CE172" s="59">
        <f t="shared" si="148"/>
        <v>324.2490378019823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100.88772735303361</v>
      </c>
      <c r="CL172" s="21">
        <f>EXP(-LN(2)/25)*CL171+(1-EXP(-LN(2)/25))/(LN(2)/25)*Calculateur!CG172*Calculateur!CI172*VLOOKUP('Données projet'!$B$12,Paramètres!$A$1:$I$89,3,0)*0.475*44/12</f>
        <v>16.779202040145119</v>
      </c>
      <c r="CM172" s="21">
        <f>EXP(-LN(2)/2)*CM171+(1-EXP(-LN(2)/2))/(LN(2)/2)*CG172*CJ172*VLOOKUP('Données projet'!$B$12,Paramètres!$A$1:$I$89,3,0)*0.475*44/12</f>
        <v>0.44958552699598514</v>
      </c>
      <c r="CN172" s="22">
        <f t="shared" si="172"/>
        <v>118.11651492017472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-1.1368683772161603E-13</v>
      </c>
      <c r="CU172" s="17">
        <f>CT172*VLOOKUP('Données projet'!$B$13,Paramètres!$A$1:$I$89,3,0)*VLOOKUP('Données projet'!$B$13,Paramètres!$A$1:$I$89,5,0)</f>
        <v>-8.8675733422860506E-14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197.51452239559433</v>
      </c>
      <c r="CZ172" s="59">
        <f t="shared" si="150"/>
        <v>196.65166921588821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3.8040289584514784</v>
      </c>
      <c r="DG172" s="21">
        <f>EXP(-LN(2)/25)*DG171+(1-EXP(-LN(2)/25))/(LN(2)/25)*Calculateur!DB172*Calculateur!DD172*VLOOKUP('Données projet'!$B$13,Paramètres!$A$1:$I$89,3,0)*0.475*44/12</f>
        <v>1.6961210705152083</v>
      </c>
      <c r="DH172" s="21">
        <f>EXP(-LN(2)/2)*DH171+(1-EXP(-LN(2)/2))/(LN(2)/2)*DB172*DE172*VLOOKUP('Données projet'!$B$13,Paramètres!$A$1:$I$89,3,0)*0.475*44/12</f>
        <v>3.4591145704666573E-14</v>
      </c>
      <c r="DI172" s="22">
        <f t="shared" si="175"/>
        <v>5.5001500289667211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>
        <f>DO172*VLOOKUP('Données projet'!$B$14,Paramètres!$A$1:$I$89,3,0)*VLOOKUP('Données projet'!$B$14,Paramètres!$A$1:$I$89,5,0)</f>
        <v>0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239.26156489359892</v>
      </c>
      <c r="DU172" s="59">
        <f t="shared" si="152"/>
        <v>213.97034450798111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2.2621482262053427</v>
      </c>
      <c r="EB172" s="21">
        <f>EXP(-LN(2)/25)*EB171+(1-EXP(-LN(2)/25))/(LN(2)/25)*Calculateur!DW172*Calculateur!DY172*VLOOKUP('Données projet'!$B$14,Paramètres!$A$1:$I$89,3,0)*0.475*44/12</f>
        <v>7.1448659737770681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9.4070141999824113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7.688333333333337</v>
      </c>
      <c r="EJ172" s="12">
        <f>IF('Données projet'!$A$192&gt;35,EJ171+EI172-ER171,IF(A172&lt;'Données projet'!$A$192,$EG$205^A172,IF(A172='Données projet'!$A$192,'Données projet'!$B$192,EJ171+EI172-ER171)))</f>
        <v>371.96833333333302</v>
      </c>
      <c r="EK172" s="17">
        <f>EJ172*VLOOKUP('Données projet'!$B$15,Paramètres!$A$1:$I$89,3,0)*VLOOKUP('Données projet'!$B$15,Paramètres!$A$1:$I$89,5,0)</f>
        <v>371.3731839999997</v>
      </c>
      <c r="EL172" s="13">
        <f t="shared" si="179"/>
        <v>85.948174917844767</v>
      </c>
      <c r="EM172" s="20">
        <f t="shared" si="180"/>
        <v>796.50136678191245</v>
      </c>
      <c r="EN172" s="59">
        <f t="shared" si="128"/>
        <v>1089.8347001152458</v>
      </c>
      <c r="EO172" s="59">
        <f ca="1">AVERAGE(OFFSET($EN$3,0,0,'Données projet'!$E$15+1,1))-AVERAGE(OFFSET($H$3,0,0,'Données projet'!$E$15+1,1))</f>
        <v>525.74725170626471</v>
      </c>
      <c r="EP172" s="59">
        <f t="shared" si="154"/>
        <v>259.19103598192197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48.625252872136642</v>
      </c>
      <c r="EW172" s="21">
        <f>EXP(-LN(2)/25)*EW171+(1-EXP(-LN(2)/25))/(LN(2)/25)*Calculateur!ER172*Calculateur!ET172*VLOOKUP('Données projet'!$B$15,Paramètres!$A$1:$I$89,3,0)*0.475*44/12</f>
        <v>22.260865194437869</v>
      </c>
      <c r="EX172" s="21">
        <f>EXP(-LN(2)/2)*EX171+(1-EXP(-LN(2)/2))/(LN(2)/2)*ER172*EU172*VLOOKUP('Données projet'!$B$15,Paramètres!$A$1:$I$89,3,0)*0.475*44/12</f>
        <v>1.0039454598854691E-3</v>
      </c>
      <c r="EY172" s="22">
        <f t="shared" si="181"/>
        <v>70.887122012034396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7.688333333333337</v>
      </c>
      <c r="N173" s="13">
        <f>IF('Données projet'!$A$36&gt;35,N172+M173-V172,IF(A173&lt;'Données projet'!$A$36,$K$205^A173,IF(A173='Données projet'!$A$36,'Données projet'!$B$36,N172+M173-V172)))</f>
        <v>379.65666666666635</v>
      </c>
      <c r="O173" s="13">
        <f>N173*VLOOKUP('Données projet'!$B$9,Paramètres!$A$1:$I$89,3,0)*VLOOKUP('Données projet'!$B$9,Paramètres!$A$1:$I$89,5,0)</f>
        <v>384.97185999999971</v>
      </c>
      <c r="P173" s="13">
        <f t="shared" si="141"/>
        <v>88.723183476832745</v>
      </c>
      <c r="Q173" s="20">
        <f t="shared" si="162"/>
        <v>825.01886738881649</v>
      </c>
      <c r="R173" s="59">
        <f t="shared" si="109"/>
        <v>1118.3522007221497</v>
      </c>
      <c r="S173" s="59">
        <f ca="1">AVERAGE(OFFSET($R$3,0,0,'Données projet'!$E$9+1,1))-AVERAGE(OFFSET($H$3,0,0,'Données projet'!$E$9+1,1))</f>
        <v>533.26035274112917</v>
      </c>
      <c r="T173" s="59">
        <f t="shared" si="142"/>
        <v>262.58149402282521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48.416612279942733</v>
      </c>
      <c r="AA173" s="21">
        <f>EXP(-LN(2)/25)*AA172+(1-EXP(-LN(2)/25))/(LN(2)/25)*Calculateur!V173*Calculateur!X173*VLOOKUP('Données projet'!$B$9,Paramètres!$A$1:$I$89,3,0)*0.475*44/12</f>
        <v>21.990455362939315</v>
      </c>
      <c r="AB173" s="21">
        <f>EXP(-LN(2)/2)*AB172+(1-EXP(-LN(2)/2))/(LN(2)/2)*V173*Y173*VLOOKUP('Données projet'!$B$9,Paramètres!$A$1:$I$89,3,0)*0.475*44/12</f>
        <v>7.2098877766750026E-4</v>
      </c>
      <c r="AC173" s="22">
        <f t="shared" si="163"/>
        <v>70.407788631659727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5.4001247917767614E-13</v>
      </c>
      <c r="AJ173" s="13">
        <f>AI173*VLOOKUP('Données projet'!$B$10,Paramètres!$A$1:$I$89,3,0)*VLOOKUP('Données projet'!$B$10,Paramètres!$A$1:$I$89,5,0)</f>
        <v>4.8860329115996133E-13</v>
      </c>
      <c r="AK173" s="13">
        <f t="shared" si="164"/>
        <v>6.1025862939685007E-12</v>
      </c>
      <c r="AL173" s="20">
        <f t="shared" si="165"/>
        <v>1.1479655194098737E-11</v>
      </c>
      <c r="AM173" s="59">
        <f t="shared" si="113"/>
        <v>293.3333333333448</v>
      </c>
      <c r="AN173" s="59">
        <f ca="1">AVERAGE(OFFSET($AM$3,0,0,'Données projet'!$E$10+1,1))-AVERAGE(OFFSET($H$3,0,0,'Données projet'!$E$10+1,1))</f>
        <v>482.62991869403385</v>
      </c>
      <c r="AO173" s="59">
        <f t="shared" si="144"/>
        <v>310.43914804089906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114.1954632284364</v>
      </c>
      <c r="AV173" s="21">
        <f>EXP(-LN(2)/25)*AV172+(1-EXP(-LN(2)/25))/(LN(2)/25)*Calculateur!AQ173*Calculateur!AS173*VLOOKUP('Données projet'!$B$10,Paramètres!$A$1:$I$89,3,0)*0.475*44/12</f>
        <v>17.661253726857527</v>
      </c>
      <c r="AW173" s="21">
        <f>EXP(-LN(2)/2)*AW172+(1-EXP(-LN(2)/2))/(LN(2)/2)*AQ173*AT173*VLOOKUP('Données projet'!$B$10,Paramètres!$A$1:$I$89,3,0)*0.475*44/12</f>
        <v>1.1696532436082865</v>
      </c>
      <c r="AX173" s="21">
        <f t="shared" si="166"/>
        <v>133.02637019890221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384.34044781465661</v>
      </c>
      <c r="BJ173" s="59">
        <f t="shared" si="146"/>
        <v>374.99493809709708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9.6027238567179243</v>
      </c>
      <c r="BQ173" s="21">
        <f>EXP(-LN(2)/25)*BQ172+(1-EXP(-LN(2)/25))/(LN(2)/25)*Calculateur!BL173*Calculateur!BN173*VLOOKUP('Données projet'!$B$11,Paramètres!$A$1:$I$89,3,0)*0.475*44/12</f>
        <v>4.6475944097692574</v>
      </c>
      <c r="BR173" s="21">
        <f>EXP(-LN(2)/2)*BR172+(1-EXP(-LN(2)/2))/(LN(2)/2)*BL173*BO173*VLOOKUP('Données projet'!$B$11,Paramètres!$A$1:$I$89,3,0)*0.475*44/12</f>
        <v>1.9480540509386407E-12</v>
      </c>
      <c r="BS173" s="22">
        <f t="shared" si="169"/>
        <v>14.250318266489129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5.4001247917767614E-13</v>
      </c>
      <c r="BZ173" s="13">
        <f>BY173*VLOOKUP('Données projet'!$B$12,Paramètres!$A$1:$I$89,3,0)*VLOOKUP('Données projet'!$B$12,Paramètres!$A$1:$I$89,5,0)</f>
        <v>5.1387587518547664E-13</v>
      </c>
      <c r="CA173" s="13">
        <f t="shared" si="170"/>
        <v>6.3806716506132977E-12</v>
      </c>
      <c r="CB173" s="20">
        <f t="shared" si="171"/>
        <v>1.2008003607432866E-11</v>
      </c>
      <c r="CC173" s="59">
        <f t="shared" si="119"/>
        <v>293.33333333334531</v>
      </c>
      <c r="CD173" s="59">
        <f ca="1">AVERAGE(OFFSET($CC$3,0,0,'Données projet'!$E$12+1,1))-AVERAGE(OFFSET($H$3,0,0,'Données projet'!$E$12+1,1))</f>
        <v>513.14430745499283</v>
      </c>
      <c r="CE173" s="59">
        <f t="shared" si="148"/>
        <v>324.2490378019823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98.909380555078187</v>
      </c>
      <c r="CL173" s="21">
        <f>EXP(-LN(2)/25)*CL172+(1-EXP(-LN(2)/25))/(LN(2)/25)*Calculateur!CG173*Calculateur!CI173*VLOOKUP('Données projet'!$B$12,Paramètres!$A$1:$I$89,3,0)*0.475*44/12</f>
        <v>16.320373877977463</v>
      </c>
      <c r="CM173" s="21">
        <f>EXP(-LN(2)/2)*CM172+(1-EXP(-LN(2)/2))/(LN(2)/2)*CG173*CJ173*VLOOKUP('Données projet'!$B$12,Paramètres!$A$1:$I$89,3,0)*0.475*44/12</f>
        <v>0.31790497486218872</v>
      </c>
      <c r="CN173" s="22">
        <f t="shared" si="172"/>
        <v>115.54765940791783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-1.1368683772161603E-13</v>
      </c>
      <c r="CU173" s="17">
        <f>CT173*VLOOKUP('Données projet'!$B$13,Paramètres!$A$1:$I$89,3,0)*VLOOKUP('Données projet'!$B$13,Paramètres!$A$1:$I$89,5,0)</f>
        <v>-8.8675733422860506E-14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197.51452239559433</v>
      </c>
      <c r="CZ173" s="59">
        <f t="shared" si="150"/>
        <v>196.65166921588821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3.7294342708048061</v>
      </c>
      <c r="DG173" s="21">
        <f>EXP(-LN(2)/25)*DG172+(1-EXP(-LN(2)/25))/(LN(2)/25)*Calculateur!DB173*Calculateur!DD173*VLOOKUP('Données projet'!$B$13,Paramètres!$A$1:$I$89,3,0)*0.475*44/12</f>
        <v>1.6497405506468394</v>
      </c>
      <c r="DH173" s="21">
        <f>EXP(-LN(2)/2)*DH172+(1-EXP(-LN(2)/2))/(LN(2)/2)*DB173*DE173*VLOOKUP('Données projet'!$B$13,Paramètres!$A$1:$I$89,3,0)*0.475*44/12</f>
        <v>2.445963369678165E-14</v>
      </c>
      <c r="DI173" s="22">
        <f t="shared" si="175"/>
        <v>5.3791748214516701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>
        <f>DO173*VLOOKUP('Données projet'!$B$14,Paramètres!$A$1:$I$89,3,0)*VLOOKUP('Données projet'!$B$14,Paramètres!$A$1:$I$89,5,0)</f>
        <v>0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239.26156489359892</v>
      </c>
      <c r="DU173" s="59">
        <f t="shared" si="152"/>
        <v>213.97034450798111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2.2177888792636327</v>
      </c>
      <c r="EB173" s="21">
        <f>EXP(-LN(2)/25)*EB172+(1-EXP(-LN(2)/25))/(LN(2)/25)*Calculateur!DW173*Calculateur!DY173*VLOOKUP('Données projet'!$B$14,Paramètres!$A$1:$I$89,3,0)*0.475*44/12</f>
        <v>6.9494892379919628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9.167278117255595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7.688333333333337</v>
      </c>
      <c r="EJ173" s="12">
        <f>IF('Données projet'!$A$192&gt;35,EJ172+EI173-ER172,IF(A173&lt;'Données projet'!$A$192,$EG$205^A173,IF(A173='Données projet'!$A$192,'Données projet'!$B$192,EJ172+EI173-ER172)))</f>
        <v>379.65666666666635</v>
      </c>
      <c r="EK173" s="17">
        <f>EJ173*VLOOKUP('Données projet'!$B$15,Paramètres!$A$1:$I$89,3,0)*VLOOKUP('Données projet'!$B$15,Paramètres!$A$1:$I$89,5,0)</f>
        <v>379.04921599999972</v>
      </c>
      <c r="EL173" s="13">
        <f t="shared" si="179"/>
        <v>87.516008023099928</v>
      </c>
      <c r="EM173" s="20">
        <f t="shared" si="180"/>
        <v>812.60109850689844</v>
      </c>
      <c r="EN173" s="59">
        <f t="shared" si="128"/>
        <v>1105.9344318402318</v>
      </c>
      <c r="EO173" s="59">
        <f ca="1">AVERAGE(OFFSET($EN$3,0,0,'Données projet'!$E$15+1,1))-AVERAGE(OFFSET($H$3,0,0,'Données projet'!$E$15+1,1))</f>
        <v>525.74725170626471</v>
      </c>
      <c r="EP173" s="59">
        <f t="shared" si="154"/>
        <v>259.19103598192197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47.67174132178976</v>
      </c>
      <c r="EW173" s="21">
        <f>EXP(-LN(2)/25)*EW172+(1-EXP(-LN(2)/25))/(LN(2)/25)*Calculateur!ER173*Calculateur!ET173*VLOOKUP('Données projet'!$B$15,Paramètres!$A$1:$I$89,3,0)*0.475*44/12</f>
        <v>21.652140665047941</v>
      </c>
      <c r="EX173" s="21">
        <f>EXP(-LN(2)/2)*EX172+(1-EXP(-LN(2)/2))/(LN(2)/2)*ER173*EU173*VLOOKUP('Données projet'!$B$15,Paramètres!$A$1:$I$89,3,0)*0.475*44/12</f>
        <v>7.0989664262646225E-4</v>
      </c>
      <c r="EY173" s="22">
        <f t="shared" si="181"/>
        <v>69.324591883480338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7.688333333333337</v>
      </c>
      <c r="N174" s="13">
        <f>IF('Données projet'!$A$36&gt;35,N173+M174-V173,IF(A174&lt;'Données projet'!$A$36,$K$205^A174,IF(A174='Données projet'!$A$36,'Données projet'!$B$36,N173+M174-V173)))</f>
        <v>387.34499999999969</v>
      </c>
      <c r="O174" s="13">
        <f>N174*VLOOKUP('Données projet'!$B$9,Paramètres!$A$1:$I$89,3,0)*VLOOKUP('Données projet'!$B$9,Paramètres!$A$1:$I$89,5,0)</f>
        <v>392.76782999999972</v>
      </c>
      <c r="P174" s="13">
        <f t="shared" si="141"/>
        <v>90.308900394988783</v>
      </c>
      <c r="Q174" s="20">
        <f t="shared" si="162"/>
        <v>841.35863877127156</v>
      </c>
      <c r="R174" s="59">
        <f t="shared" si="109"/>
        <v>1134.6919721046049</v>
      </c>
      <c r="S174" s="59">
        <f ca="1">AVERAGE(OFFSET($R$3,0,0,'Données projet'!$E$9+1,1))-AVERAGE(OFFSET($H$3,0,0,'Données projet'!$E$9+1,1))</f>
        <v>533.26035274112917</v>
      </c>
      <c r="T174" s="59">
        <f t="shared" si="142"/>
        <v>262.58149402282521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47.467192044350583</v>
      </c>
      <c r="AA174" s="21">
        <f>EXP(-LN(2)/25)*AA173+(1-EXP(-LN(2)/25))/(LN(2)/25)*Calculateur!V174*Calculateur!X174*VLOOKUP('Données projet'!$B$9,Paramètres!$A$1:$I$89,3,0)*0.475*44/12</f>
        <v>21.38912520461195</v>
      </c>
      <c r="AB174" s="21">
        <f>EXP(-LN(2)/2)*AB173+(1-EXP(-LN(2)/2))/(LN(2)/2)*V174*Y174*VLOOKUP('Données projet'!$B$9,Paramètres!$A$1:$I$89,3,0)*0.475*44/12</f>
        <v>5.0981605384808947E-4</v>
      </c>
      <c r="AC174" s="22">
        <f t="shared" si="163"/>
        <v>68.85682706501639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5.4001247917767614E-13</v>
      </c>
      <c r="AJ174" s="13">
        <f>AI174*VLOOKUP('Données projet'!$B$10,Paramètres!$A$1:$I$89,3,0)*VLOOKUP('Données projet'!$B$10,Paramètres!$A$1:$I$89,5,0)</f>
        <v>4.8860329115996133E-13</v>
      </c>
      <c r="AK174" s="13">
        <f t="shared" si="164"/>
        <v>6.1025862939685007E-12</v>
      </c>
      <c r="AL174" s="20">
        <f t="shared" si="165"/>
        <v>1.1479655194098737E-11</v>
      </c>
      <c r="AM174" s="59">
        <f t="shared" si="113"/>
        <v>293.3333333333448</v>
      </c>
      <c r="AN174" s="59">
        <f ca="1">AVERAGE(OFFSET($AM$3,0,0,'Données projet'!$E$10+1,1))-AVERAGE(OFFSET($H$3,0,0,'Données projet'!$E$10+1,1))</f>
        <v>482.62991869403385</v>
      </c>
      <c r="AO174" s="59">
        <f t="shared" si="144"/>
        <v>310.43914804089906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111.95615984688173</v>
      </c>
      <c r="AV174" s="21">
        <f>EXP(-LN(2)/25)*AV173+(1-EXP(-LN(2)/25))/(LN(2)/25)*Calculateur!AQ174*Calculateur!AS174*VLOOKUP('Données projet'!$B$10,Paramètres!$A$1:$I$89,3,0)*0.475*44/12</f>
        <v>17.17830581493164</v>
      </c>
      <c r="AW174" s="21">
        <f>EXP(-LN(2)/2)*AW173+(1-EXP(-LN(2)/2))/(LN(2)/2)*AQ174*AT174*VLOOKUP('Données projet'!$B$10,Paramètres!$A$1:$I$89,3,0)*0.475*44/12</f>
        <v>0.82706974019226021</v>
      </c>
      <c r="AX174" s="21">
        <f t="shared" si="166"/>
        <v>129.96153540200564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384.34044781465661</v>
      </c>
      <c r="BJ174" s="59">
        <f t="shared" si="146"/>
        <v>374.99493809709708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9.4144202989708994</v>
      </c>
      <c r="BQ174" s="21">
        <f>EXP(-LN(2)/25)*BQ173+(1-EXP(-LN(2)/25))/(LN(2)/25)*Calculateur!BL174*Calculateur!BN174*VLOOKUP('Données projet'!$B$11,Paramètres!$A$1:$I$89,3,0)*0.475*44/12</f>
        <v>4.5205056962277492</v>
      </c>
      <c r="BR174" s="21">
        <f>EXP(-LN(2)/2)*BR173+(1-EXP(-LN(2)/2))/(LN(2)/2)*BL174*BO174*VLOOKUP('Données projet'!$B$11,Paramètres!$A$1:$I$89,3,0)*0.475*44/12</f>
        <v>1.3774822295366369E-12</v>
      </c>
      <c r="BS174" s="22">
        <f t="shared" si="169"/>
        <v>13.934925995200025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5.4001247917767614E-13</v>
      </c>
      <c r="BZ174" s="13">
        <f>BY174*VLOOKUP('Données projet'!$B$12,Paramètres!$A$1:$I$89,3,0)*VLOOKUP('Données projet'!$B$12,Paramètres!$A$1:$I$89,5,0)</f>
        <v>5.1387587518547664E-13</v>
      </c>
      <c r="CA174" s="13">
        <f t="shared" si="170"/>
        <v>6.3806716506132977E-12</v>
      </c>
      <c r="CB174" s="20">
        <f t="shared" si="171"/>
        <v>1.2008003607432866E-11</v>
      </c>
      <c r="CC174" s="59">
        <f t="shared" si="119"/>
        <v>293.33333333334531</v>
      </c>
      <c r="CD174" s="59">
        <f ca="1">AVERAGE(OFFSET($CC$3,0,0,'Données projet'!$E$12+1,1))-AVERAGE(OFFSET($H$3,0,0,'Données projet'!$E$12+1,1))</f>
        <v>513.14430745499283</v>
      </c>
      <c r="CE174" s="59">
        <f t="shared" si="148"/>
        <v>324.2490378019823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96.969827931158278</v>
      </c>
      <c r="CL174" s="21">
        <f>EXP(-LN(2)/25)*CL173+(1-EXP(-LN(2)/25))/(LN(2)/25)*Calculateur!CG174*Calculateur!CI174*VLOOKUP('Données projet'!$B$12,Paramètres!$A$1:$I$89,3,0)*0.475*44/12</f>
        <v>15.874092396033008</v>
      </c>
      <c r="CM174" s="21">
        <f>EXP(-LN(2)/2)*CM173+(1-EXP(-LN(2)/2))/(LN(2)/2)*CG174*CJ174*VLOOKUP('Données projet'!$B$12,Paramètres!$A$1:$I$89,3,0)*0.475*44/12</f>
        <v>0.22479276349799257</v>
      </c>
      <c r="CN174" s="22">
        <f t="shared" si="172"/>
        <v>113.06871309068927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-1.1368683772161603E-13</v>
      </c>
      <c r="CU174" s="17">
        <f>CT174*VLOOKUP('Données projet'!$B$13,Paramètres!$A$1:$I$89,3,0)*VLOOKUP('Données projet'!$B$13,Paramètres!$A$1:$I$89,5,0)</f>
        <v>-8.8675733422860506E-14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197.51452239559433</v>
      </c>
      <c r="CZ174" s="59">
        <f t="shared" si="150"/>
        <v>196.65166921588821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3.6563023394846179</v>
      </c>
      <c r="DG174" s="21">
        <f>EXP(-LN(2)/25)*DG173+(1-EXP(-LN(2)/25))/(LN(2)/25)*Calculateur!DB174*Calculateur!DD174*VLOOKUP('Données projet'!$B$13,Paramètres!$A$1:$I$89,3,0)*0.475*44/12</f>
        <v>1.6046283085333166</v>
      </c>
      <c r="DH174" s="21">
        <f>EXP(-LN(2)/2)*DH173+(1-EXP(-LN(2)/2))/(LN(2)/2)*DB174*DE174*VLOOKUP('Données projet'!$B$13,Paramètres!$A$1:$I$89,3,0)*0.475*44/12</f>
        <v>1.7295572852333286E-14</v>
      </c>
      <c r="DI174" s="22">
        <f t="shared" si="175"/>
        <v>5.2609306480179514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>
        <f>DO174*VLOOKUP('Données projet'!$B$14,Paramètres!$A$1:$I$89,3,0)*VLOOKUP('Données projet'!$B$14,Paramètres!$A$1:$I$89,5,0)</f>
        <v>0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239.26156489359892</v>
      </c>
      <c r="DU174" s="59">
        <f t="shared" si="152"/>
        <v>213.97034450798111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2.1742993920589195</v>
      </c>
      <c r="EB174" s="21">
        <f>EXP(-LN(2)/25)*EB173+(1-EXP(-LN(2)/25))/(LN(2)/25)*Calculateur!DW174*Calculateur!DY174*VLOOKUP('Données projet'!$B$14,Paramètres!$A$1:$I$89,3,0)*0.475*44/12</f>
        <v>6.7594550893213166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8.9337544813802356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7.688333333333337</v>
      </c>
      <c r="EJ174" s="12">
        <f>IF('Données projet'!$A$192&gt;35,EJ173+EI174-ER173,IF(A174&lt;'Données projet'!$A$192,$EG$205^A174,IF(A174='Données projet'!$A$192,'Données projet'!$B$192,EJ173+EI174-ER173)))</f>
        <v>387.34499999999969</v>
      </c>
      <c r="EK174" s="17">
        <f>EJ174*VLOOKUP('Données projet'!$B$15,Paramètres!$A$1:$I$89,3,0)*VLOOKUP('Données projet'!$B$15,Paramètres!$A$1:$I$89,5,0)</f>
        <v>386.72524799999968</v>
      </c>
      <c r="EL174" s="13">
        <f t="shared" si="179"/>
        <v>89.080149537115219</v>
      </c>
      <c r="EM174" s="20">
        <f t="shared" si="180"/>
        <v>828.69440071047518</v>
      </c>
      <c r="EN174" s="59">
        <f t="shared" si="128"/>
        <v>1122.0277340438086</v>
      </c>
      <c r="EO174" s="59">
        <f ca="1">AVERAGE(OFFSET($EN$3,0,0,'Données projet'!$E$15+1,1))-AVERAGE(OFFSET($H$3,0,0,'Données projet'!$E$15+1,1))</f>
        <v>525.74725170626471</v>
      </c>
      <c r="EP174" s="59">
        <f t="shared" si="154"/>
        <v>259.19103598192197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46.736927551360566</v>
      </c>
      <c r="EW174" s="21">
        <f>EXP(-LN(2)/25)*EW173+(1-EXP(-LN(2)/25))/(LN(2)/25)*Calculateur!ER174*Calculateur!ET174*VLOOKUP('Données projet'!$B$15,Paramètres!$A$1:$I$89,3,0)*0.475*44/12</f>
        <v>21.060061739925615</v>
      </c>
      <c r="EX174" s="21">
        <f>EXP(-LN(2)/2)*EX173+(1-EXP(-LN(2)/2))/(LN(2)/2)*ER174*EU174*VLOOKUP('Données projet'!$B$15,Paramètres!$A$1:$I$89,3,0)*0.475*44/12</f>
        <v>5.0197272994273456E-4</v>
      </c>
      <c r="EY174" s="22">
        <f t="shared" si="181"/>
        <v>67.797491264016131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7.688333333333337</v>
      </c>
      <c r="N175" s="13">
        <f>IF('Données projet'!$A$36&gt;35,N174+M175-V174,IF(A175&lt;'Données projet'!$A$36,$K$205^A175,IF(A175='Données projet'!$A$36,'Données projet'!$B$36,N174+M175-V174)))</f>
        <v>395.03333333333302</v>
      </c>
      <c r="O175" s="13">
        <f>N175*VLOOKUP('Données projet'!$B$9,Paramètres!$A$1:$I$89,3,0)*VLOOKUP('Données projet'!$B$9,Paramètres!$A$1:$I$89,5,0)</f>
        <v>400.56379999999973</v>
      </c>
      <c r="P175" s="13">
        <f t="shared" si="141"/>
        <v>91.890957647280629</v>
      </c>
      <c r="Q175" s="20">
        <f t="shared" si="162"/>
        <v>857.69203623567989</v>
      </c>
      <c r="R175" s="59">
        <f t="shared" si="109"/>
        <v>1151.0253695690133</v>
      </c>
      <c r="S175" s="59">
        <f ca="1">AVERAGE(OFFSET($R$3,0,0,'Données projet'!$E$9+1,1))-AVERAGE(OFFSET($H$3,0,0,'Données projet'!$E$9+1,1))</f>
        <v>533.26035274112917</v>
      </c>
      <c r="T175" s="59">
        <f t="shared" si="142"/>
        <v>262.58149402282521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46.536389360489231</v>
      </c>
      <c r="AA175" s="21">
        <f>EXP(-LN(2)/25)*AA174+(1-EXP(-LN(2)/25))/(LN(2)/25)*Calculateur!V175*Calculateur!X175*VLOOKUP('Données projet'!$B$9,Paramètres!$A$1:$I$89,3,0)*0.475*44/12</f>
        <v>20.804238451086629</v>
      </c>
      <c r="AB175" s="21">
        <f>EXP(-LN(2)/2)*AB174+(1-EXP(-LN(2)/2))/(LN(2)/2)*V175*Y175*VLOOKUP('Données projet'!$B$9,Paramètres!$A$1:$I$89,3,0)*0.475*44/12</f>
        <v>3.6049438883375013E-4</v>
      </c>
      <c r="AC175" s="22">
        <f t="shared" si="163"/>
        <v>67.340988305964686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5.4001247917767614E-13</v>
      </c>
      <c r="AJ175" s="13">
        <f>AI175*VLOOKUP('Données projet'!$B$10,Paramètres!$A$1:$I$89,3,0)*VLOOKUP('Données projet'!$B$10,Paramètres!$A$1:$I$89,5,0)</f>
        <v>4.8860329115996133E-13</v>
      </c>
      <c r="AK175" s="13">
        <f t="shared" si="164"/>
        <v>6.1025862939685007E-12</v>
      </c>
      <c r="AL175" s="20">
        <f t="shared" si="165"/>
        <v>1.1479655194098737E-11</v>
      </c>
      <c r="AM175" s="59">
        <f t="shared" si="113"/>
        <v>293.3333333333448</v>
      </c>
      <c r="AN175" s="59">
        <f ca="1">AVERAGE(OFFSET($AM$3,0,0,'Données projet'!$E$10+1,1))-AVERAGE(OFFSET($H$3,0,0,'Données projet'!$E$10+1,1))</f>
        <v>482.62991869403385</v>
      </c>
      <c r="AO175" s="59">
        <f t="shared" si="144"/>
        <v>310.43914804089906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109.76076783879915</v>
      </c>
      <c r="AV175" s="21">
        <f>EXP(-LN(2)/25)*AV174+(1-EXP(-LN(2)/25))/(LN(2)/25)*Calculateur!AQ175*Calculateur!AS175*VLOOKUP('Données projet'!$B$10,Paramètres!$A$1:$I$89,3,0)*0.475*44/12</f>
        <v>16.708564139054495</v>
      </c>
      <c r="AW175" s="21">
        <f>EXP(-LN(2)/2)*AW174+(1-EXP(-LN(2)/2))/(LN(2)/2)*AQ175*AT175*VLOOKUP('Données projet'!$B$10,Paramètres!$A$1:$I$89,3,0)*0.475*44/12</f>
        <v>0.58482662180414324</v>
      </c>
      <c r="AX175" s="21">
        <f t="shared" si="166"/>
        <v>127.05415859965778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384.34044781465661</v>
      </c>
      <c r="BJ175" s="59">
        <f t="shared" si="146"/>
        <v>374.99493809709708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9.2298092591374647</v>
      </c>
      <c r="BQ175" s="21">
        <f>EXP(-LN(2)/25)*BQ174+(1-EXP(-LN(2)/25))/(LN(2)/25)*Calculateur!BL175*Calculateur!BN175*VLOOKUP('Données projet'!$B$11,Paramètres!$A$1:$I$89,3,0)*0.475*44/12</f>
        <v>4.3968922302413382</v>
      </c>
      <c r="BR175" s="21">
        <f>EXP(-LN(2)/2)*BR174+(1-EXP(-LN(2)/2))/(LN(2)/2)*BL175*BO175*VLOOKUP('Données projet'!$B$11,Paramètres!$A$1:$I$89,3,0)*0.475*44/12</f>
        <v>9.7402702546932033E-13</v>
      </c>
      <c r="BS175" s="22">
        <f t="shared" si="169"/>
        <v>13.626701489379776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5.4001247917767614E-13</v>
      </c>
      <c r="BZ175" s="13">
        <f>BY175*VLOOKUP('Données projet'!$B$12,Paramètres!$A$1:$I$89,3,0)*VLOOKUP('Données projet'!$B$12,Paramètres!$A$1:$I$89,5,0)</f>
        <v>5.1387587518547664E-13</v>
      </c>
      <c r="CA175" s="13">
        <f t="shared" si="170"/>
        <v>6.3806716506132977E-12</v>
      </c>
      <c r="CB175" s="20">
        <f t="shared" si="171"/>
        <v>1.2008003607432866E-11</v>
      </c>
      <c r="CC175" s="59">
        <f t="shared" si="119"/>
        <v>293.33333333334531</v>
      </c>
      <c r="CD175" s="59">
        <f ca="1">AVERAGE(OFFSET($CC$3,0,0,'Données projet'!$E$12+1,1))-AVERAGE(OFFSET($H$3,0,0,'Données projet'!$E$12+1,1))</f>
        <v>513.14430745499283</v>
      </c>
      <c r="CE175" s="59">
        <f t="shared" si="148"/>
        <v>324.2490378019823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95.068308751183139</v>
      </c>
      <c r="CL175" s="21">
        <f>EXP(-LN(2)/25)*CL174+(1-EXP(-LN(2)/25))/(LN(2)/25)*Calculateur!CG175*Calculateur!CI175*VLOOKUP('Données projet'!$B$12,Paramètres!$A$1:$I$89,3,0)*0.475*44/12</f>
        <v>15.440014504681248</v>
      </c>
      <c r="CM175" s="21">
        <f>EXP(-LN(2)/2)*CM174+(1-EXP(-LN(2)/2))/(LN(2)/2)*CG175*CJ175*VLOOKUP('Données projet'!$B$12,Paramètres!$A$1:$I$89,3,0)*0.475*44/12</f>
        <v>0.15895248743109436</v>
      </c>
      <c r="CN175" s="22">
        <f t="shared" si="172"/>
        <v>110.66727574329548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-1.1368683772161603E-13</v>
      </c>
      <c r="CU175" s="17">
        <f>CT175*VLOOKUP('Données projet'!$B$13,Paramètres!$A$1:$I$89,3,0)*VLOOKUP('Données projet'!$B$13,Paramètres!$A$1:$I$89,5,0)</f>
        <v>-8.8675733422860506E-14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197.51452239559433</v>
      </c>
      <c r="CZ175" s="59">
        <f t="shared" si="150"/>
        <v>196.65166921588821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3.5846044807315454</v>
      </c>
      <c r="DG175" s="21">
        <f>EXP(-LN(2)/25)*DG174+(1-EXP(-LN(2)/25))/(LN(2)/25)*Calculateur!DB175*Calculateur!DD175*VLOOKUP('Données projet'!$B$13,Paramètres!$A$1:$I$89,3,0)*0.475*44/12</f>
        <v>1.5607496630527378</v>
      </c>
      <c r="DH175" s="21">
        <f>EXP(-LN(2)/2)*DH174+(1-EXP(-LN(2)/2))/(LN(2)/2)*DB175*DE175*VLOOKUP('Données projet'!$B$13,Paramètres!$A$1:$I$89,3,0)*0.475*44/12</f>
        <v>1.2229816848390825E-14</v>
      </c>
      <c r="DI175" s="22">
        <f t="shared" si="175"/>
        <v>5.1453541437842958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>
        <f>DO175*VLOOKUP('Données projet'!$B$14,Paramètres!$A$1:$I$89,3,0)*VLOOKUP('Données projet'!$B$14,Paramètres!$A$1:$I$89,5,0)</f>
        <v>0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239.26156489359892</v>
      </c>
      <c r="DU175" s="59">
        <f t="shared" si="152"/>
        <v>213.97034450798111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2.1316627071723229</v>
      </c>
      <c r="EB175" s="21">
        <f>EXP(-LN(2)/25)*EB174+(1-EXP(-LN(2)/25))/(LN(2)/25)*Calculateur!DW175*Calculateur!DY175*VLOOKUP('Données projet'!$B$14,Paramètres!$A$1:$I$89,3,0)*0.475*44/12</f>
        <v>6.5746174344395314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8.7062801416118543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7.688333333333337</v>
      </c>
      <c r="EJ175" s="12">
        <f>IF('Données projet'!$A$192&gt;35,EJ174+EI175-ER174,IF(A175&lt;'Données projet'!$A$192,$EG$205^A175,IF(A175='Données projet'!$A$192,'Données projet'!$B$192,EJ174+EI175-ER174)))</f>
        <v>395.03333333333302</v>
      </c>
      <c r="EK175" s="17">
        <f>EJ175*VLOOKUP('Données projet'!$B$15,Paramètres!$A$1:$I$89,3,0)*VLOOKUP('Données projet'!$B$15,Paramètres!$A$1:$I$89,5,0)</f>
        <v>394.4012799999997</v>
      </c>
      <c r="EL175" s="13">
        <f t="shared" si="179"/>
        <v>90.640681179002584</v>
      </c>
      <c r="EM175" s="20">
        <f t="shared" si="180"/>
        <v>844.78141572009554</v>
      </c>
      <c r="EN175" s="59">
        <f t="shared" si="128"/>
        <v>1138.1147490534288</v>
      </c>
      <c r="EO175" s="59">
        <f ca="1">AVERAGE(OFFSET($EN$3,0,0,'Données projet'!$E$15+1,1))-AVERAGE(OFFSET($H$3,0,0,'Données projet'!$E$15+1,1))</f>
        <v>525.74725170626471</v>
      </c>
      <c r="EP175" s="59">
        <f t="shared" si="154"/>
        <v>259.19103598192197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45.820444908789391</v>
      </c>
      <c r="EW175" s="21">
        <f>EXP(-LN(2)/25)*EW174+(1-EXP(-LN(2)/25))/(LN(2)/25)*Calculateur!ER175*Calculateur!ET175*VLOOKUP('Données projet'!$B$15,Paramètres!$A$1:$I$89,3,0)*0.475*44/12</f>
        <v>20.484173244146834</v>
      </c>
      <c r="EX175" s="21">
        <f>EXP(-LN(2)/2)*EX174+(1-EXP(-LN(2)/2))/(LN(2)/2)*ER175*EU175*VLOOKUP('Données projet'!$B$15,Paramètres!$A$1:$I$89,3,0)*0.475*44/12</f>
        <v>3.5494832131323113E-4</v>
      </c>
      <c r="EY175" s="22">
        <f t="shared" si="181"/>
        <v>66.304973101257545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7.688333333333337</v>
      </c>
      <c r="N176" s="13">
        <f>IF('Données projet'!$A$36&gt;35,N175+M176-V175,IF(A176&lt;'Données projet'!$A$36,$K$205^A176,IF(A176='Données projet'!$A$36,'Données projet'!$B$36,N175+M176-V175)))</f>
        <v>402.72166666666635</v>
      </c>
      <c r="O176" s="13">
        <f>N176*VLOOKUP('Données projet'!$B$9,Paramètres!$A$1:$I$89,3,0)*VLOOKUP('Données projet'!$B$9,Paramètres!$A$1:$I$89,5,0)</f>
        <v>408.35976999999968</v>
      </c>
      <c r="P176" s="13">
        <f t="shared" si="141"/>
        <v>93.469434670776693</v>
      </c>
      <c r="Q176" s="20">
        <f t="shared" si="162"/>
        <v>874.01919813493544</v>
      </c>
      <c r="R176" s="59">
        <f t="shared" si="109"/>
        <v>1167.3525314682688</v>
      </c>
      <c r="S176" s="59">
        <f ca="1">AVERAGE(OFFSET($R$3,0,0,'Données projet'!$E$9+1,1))-AVERAGE(OFFSET($H$3,0,0,'Données projet'!$E$9+1,1))</f>
        <v>533.26035274112917</v>
      </c>
      <c r="T176" s="59">
        <f t="shared" si="142"/>
        <v>262.58149402282521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45.623839149524819</v>
      </c>
      <c r="AA176" s="21">
        <f>EXP(-LN(2)/25)*AA175+(1-EXP(-LN(2)/25))/(LN(2)/25)*Calculateur!V176*Calculateur!X176*VLOOKUP('Données projet'!$B$9,Paramètres!$A$1:$I$89,3,0)*0.475*44/12</f>
        <v>20.235345456594313</v>
      </c>
      <c r="AB176" s="21">
        <f>EXP(-LN(2)/2)*AB175+(1-EXP(-LN(2)/2))/(LN(2)/2)*V176*Y176*VLOOKUP('Données projet'!$B$9,Paramètres!$A$1:$I$89,3,0)*0.475*44/12</f>
        <v>2.5490802692404473E-4</v>
      </c>
      <c r="AC176" s="22">
        <f t="shared" si="163"/>
        <v>65.859439514146047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5.4001247917767614E-13</v>
      </c>
      <c r="AJ176" s="13">
        <f>AI176*VLOOKUP('Données projet'!$B$10,Paramètres!$A$1:$I$89,3,0)*VLOOKUP('Données projet'!$B$10,Paramètres!$A$1:$I$89,5,0)</f>
        <v>4.8860329115996133E-13</v>
      </c>
      <c r="AK176" s="13">
        <f t="shared" si="164"/>
        <v>6.1025862939685007E-12</v>
      </c>
      <c r="AL176" s="20">
        <f t="shared" si="165"/>
        <v>1.1479655194098737E-11</v>
      </c>
      <c r="AM176" s="59">
        <f t="shared" si="113"/>
        <v>293.3333333333448</v>
      </c>
      <c r="AN176" s="59">
        <f ca="1">AVERAGE(OFFSET($AM$3,0,0,'Données projet'!$E$10+1,1))-AVERAGE(OFFSET($H$3,0,0,'Données projet'!$E$10+1,1))</f>
        <v>482.62991869403385</v>
      </c>
      <c r="AO176" s="59">
        <f t="shared" si="144"/>
        <v>310.43914804089906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107.60842612893818</v>
      </c>
      <c r="AV176" s="21">
        <f>EXP(-LN(2)/25)*AV175+(1-EXP(-LN(2)/25))/(LN(2)/25)*Calculateur!AQ176*Calculateur!AS176*VLOOKUP('Données projet'!$B$10,Paramètres!$A$1:$I$89,3,0)*0.475*44/12</f>
        <v>16.251667574006849</v>
      </c>
      <c r="AW176" s="21">
        <f>EXP(-LN(2)/2)*AW175+(1-EXP(-LN(2)/2))/(LN(2)/2)*AQ176*AT176*VLOOKUP('Données projet'!$B$10,Paramètres!$A$1:$I$89,3,0)*0.475*44/12</f>
        <v>0.4135348700961301</v>
      </c>
      <c r="AX176" s="21">
        <f t="shared" si="166"/>
        <v>124.27362857304115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384.34044781465661</v>
      </c>
      <c r="BJ176" s="59">
        <f t="shared" si="146"/>
        <v>374.99493809709708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9.0488183291935478</v>
      </c>
      <c r="BQ176" s="21">
        <f>EXP(-LN(2)/25)*BQ175+(1-EXP(-LN(2)/25))/(LN(2)/25)*Calculateur!BL176*Calculateur!BN176*VLOOKUP('Données projet'!$B$11,Paramètres!$A$1:$I$89,3,0)*0.475*44/12</f>
        <v>4.2766589809828757</v>
      </c>
      <c r="BR176" s="21">
        <f>EXP(-LN(2)/2)*BR175+(1-EXP(-LN(2)/2))/(LN(2)/2)*BL176*BO176*VLOOKUP('Données projet'!$B$11,Paramètres!$A$1:$I$89,3,0)*0.475*44/12</f>
        <v>6.8874111476831845E-13</v>
      </c>
      <c r="BS176" s="22">
        <f t="shared" si="169"/>
        <v>13.325477310177114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5.4001247917767614E-13</v>
      </c>
      <c r="BZ176" s="13">
        <f>BY176*VLOOKUP('Données projet'!$B$12,Paramètres!$A$1:$I$89,3,0)*VLOOKUP('Données projet'!$B$12,Paramètres!$A$1:$I$89,5,0)</f>
        <v>5.1387587518547664E-13</v>
      </c>
      <c r="CA176" s="13">
        <f t="shared" si="170"/>
        <v>6.3806716506132977E-12</v>
      </c>
      <c r="CB176" s="20">
        <f t="shared" si="171"/>
        <v>1.2008003607432866E-11</v>
      </c>
      <c r="CC176" s="59">
        <f t="shared" si="119"/>
        <v>293.33333333334531</v>
      </c>
      <c r="CD176" s="59">
        <f ca="1">AVERAGE(OFFSET($CC$3,0,0,'Données projet'!$E$12+1,1))-AVERAGE(OFFSET($H$3,0,0,'Données projet'!$E$12+1,1))</f>
        <v>513.14430745499283</v>
      </c>
      <c r="CE176" s="59">
        <f t="shared" si="148"/>
        <v>324.2490378019823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93.204077202515137</v>
      </c>
      <c r="CL176" s="21">
        <f>EXP(-LN(2)/25)*CL175+(1-EXP(-LN(2)/25))/(LN(2)/25)*Calculateur!CG176*Calculateur!CI176*VLOOKUP('Données projet'!$B$12,Paramètres!$A$1:$I$89,3,0)*0.475*44/12</f>
        <v>15.017806496095664</v>
      </c>
      <c r="CM176" s="21">
        <f>EXP(-LN(2)/2)*CM175+(1-EXP(-LN(2)/2))/(LN(2)/2)*CG176*CJ176*VLOOKUP('Données projet'!$B$12,Paramètres!$A$1:$I$89,3,0)*0.475*44/12</f>
        <v>0.11239638174899629</v>
      </c>
      <c r="CN176" s="22">
        <f t="shared" si="172"/>
        <v>108.33428008035979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-1.1368683772161603E-13</v>
      </c>
      <c r="CU176" s="17">
        <f>CT176*VLOOKUP('Données projet'!$B$13,Paramètres!$A$1:$I$89,3,0)*VLOOKUP('Données projet'!$B$13,Paramètres!$A$1:$I$89,5,0)</f>
        <v>-8.8675733422860506E-14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197.51452239559433</v>
      </c>
      <c r="CZ176" s="59">
        <f t="shared" si="150"/>
        <v>196.65166921588821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3.5143125732572447</v>
      </c>
      <c r="DG176" s="21">
        <f>EXP(-LN(2)/25)*DG175+(1-EXP(-LN(2)/25))/(LN(2)/25)*Calculateur!DB176*Calculateur!DD176*VLOOKUP('Données projet'!$B$13,Paramètres!$A$1:$I$89,3,0)*0.475*44/12</f>
        <v>1.518070881440303</v>
      </c>
      <c r="DH176" s="21">
        <f>EXP(-LN(2)/2)*DH175+(1-EXP(-LN(2)/2))/(LN(2)/2)*DB176*DE176*VLOOKUP('Données projet'!$B$13,Paramètres!$A$1:$I$89,3,0)*0.475*44/12</f>
        <v>8.6477864261666431E-15</v>
      </c>
      <c r="DI176" s="22">
        <f t="shared" si="175"/>
        <v>5.0323834546975563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>
        <f>DO176*VLOOKUP('Données projet'!$B$14,Paramètres!$A$1:$I$89,3,0)*VLOOKUP('Données projet'!$B$14,Paramètres!$A$1:$I$89,5,0)</f>
        <v>0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239.26156489359892</v>
      </c>
      <c r="DU176" s="59">
        <f t="shared" si="152"/>
        <v>213.97034450798111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2.0898621016705423</v>
      </c>
      <c r="EB176" s="21">
        <f>EXP(-LN(2)/25)*EB175+(1-EXP(-LN(2)/25))/(LN(2)/25)*Calculateur!DW176*Calculateur!DY176*VLOOKUP('Données projet'!$B$14,Paramètres!$A$1:$I$89,3,0)*0.475*44/12</f>
        <v>6.3948341749506783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8.4846962766212215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7.688333333333337</v>
      </c>
      <c r="EJ176" s="12">
        <f>IF('Données projet'!$A$192&gt;35,EJ175+EI176-ER175,IF(A176&lt;'Données projet'!$A$192,$EG$205^A176,IF(A176='Données projet'!$A$192,'Données projet'!$B$192,EJ175+EI176-ER175)))</f>
        <v>402.72166666666635</v>
      </c>
      <c r="EK176" s="17">
        <f>EJ176*VLOOKUP('Données projet'!$B$15,Paramètres!$A$1:$I$89,3,0)*VLOOKUP('Données projet'!$B$15,Paramètres!$A$1:$I$89,5,0)</f>
        <v>402.07731199999967</v>
      </c>
      <c r="EL176" s="13">
        <f t="shared" si="179"/>
        <v>92.197681305002718</v>
      </c>
      <c r="EM176" s="20">
        <f t="shared" si="180"/>
        <v>860.86228000621247</v>
      </c>
      <c r="EN176" s="59">
        <f t="shared" si="128"/>
        <v>1154.1956133395458</v>
      </c>
      <c r="EO176" s="59">
        <f ca="1">AVERAGE(OFFSET($EN$3,0,0,'Données projet'!$E$15+1,1))-AVERAGE(OFFSET($H$3,0,0,'Données projet'!$E$15+1,1))</f>
        <v>525.74725170626471</v>
      </c>
      <c r="EP176" s="59">
        <f t="shared" si="154"/>
        <v>259.19103598192197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44.921933931839817</v>
      </c>
      <c r="EW176" s="21">
        <f>EXP(-LN(2)/25)*EW175+(1-EXP(-LN(2)/25))/(LN(2)/25)*Calculateur!ER176*Calculateur!ET176*VLOOKUP('Données projet'!$B$15,Paramètres!$A$1:$I$89,3,0)*0.475*44/12</f>
        <v>19.924032449569786</v>
      </c>
      <c r="EX176" s="21">
        <f>EXP(-LN(2)/2)*EX175+(1-EXP(-LN(2)/2))/(LN(2)/2)*ER176*EU176*VLOOKUP('Données projet'!$B$15,Paramètres!$A$1:$I$89,3,0)*0.475*44/12</f>
        <v>2.5098636497136728E-4</v>
      </c>
      <c r="EY176" s="22">
        <f t="shared" si="181"/>
        <v>64.846217367774571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7.688333333333337</v>
      </c>
      <c r="N177" s="13">
        <f>IF('Données projet'!$A$36&gt;35,N176+M177-V176,IF(A177&lt;'Données projet'!$A$36,$K$205^A177,IF(A177='Données projet'!$A$36,'Données projet'!$B$36,N176+M177-V176)))</f>
        <v>410.40999999999968</v>
      </c>
      <c r="O177" s="13">
        <f>N177*VLOOKUP('Données projet'!$B$9,Paramètres!$A$1:$I$89,3,0)*VLOOKUP('Données projet'!$B$9,Paramètres!$A$1:$I$89,5,0)</f>
        <v>416.1557399999997</v>
      </c>
      <c r="P177" s="13">
        <f t="shared" si="141"/>
        <v>95.044407695945651</v>
      </c>
      <c r="Q177" s="20">
        <f t="shared" si="162"/>
        <v>890.34025723710477</v>
      </c>
      <c r="R177" s="59">
        <f t="shared" si="109"/>
        <v>1183.6735905704381</v>
      </c>
      <c r="S177" s="59">
        <f ca="1">AVERAGE(OFFSET($R$3,0,0,'Données projet'!$E$9+1,1))-AVERAGE(OFFSET($H$3,0,0,'Données projet'!$E$9+1,1))</f>
        <v>533.26035274112917</v>
      </c>
      <c r="T177" s="59">
        <f t="shared" si="142"/>
        <v>262.58149402282521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44.72918349159675</v>
      </c>
      <c r="AA177" s="21">
        <f>EXP(-LN(2)/25)*AA176+(1-EXP(-LN(2)/25))/(LN(2)/25)*Calculateur!V177*Calculateur!X177*VLOOKUP('Données projet'!$B$9,Paramètres!$A$1:$I$89,3,0)*0.475*44/12</f>
        <v>19.682008870953172</v>
      </c>
      <c r="AB177" s="21">
        <f>EXP(-LN(2)/2)*AB176+(1-EXP(-LN(2)/2))/(LN(2)/2)*V177*Y177*VLOOKUP('Données projet'!$B$9,Paramètres!$A$1:$I$89,3,0)*0.475*44/12</f>
        <v>1.8024719441687507E-4</v>
      </c>
      <c r="AC177" s="22">
        <f t="shared" si="163"/>
        <v>64.411372609744348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5.4001247917767614E-13</v>
      </c>
      <c r="AJ177" s="13">
        <f>AI177*VLOOKUP('Données projet'!$B$10,Paramètres!$A$1:$I$89,3,0)*VLOOKUP('Données projet'!$B$10,Paramètres!$A$1:$I$89,5,0)</f>
        <v>4.8860329115996133E-13</v>
      </c>
      <c r="AK177" s="13">
        <f t="shared" si="164"/>
        <v>6.1025862939685007E-12</v>
      </c>
      <c r="AL177" s="20">
        <f t="shared" si="165"/>
        <v>1.1479655194098737E-11</v>
      </c>
      <c r="AM177" s="59">
        <f t="shared" si="113"/>
        <v>293.3333333333448</v>
      </c>
      <c r="AN177" s="59">
        <f ca="1">AVERAGE(OFFSET($AM$3,0,0,'Données projet'!$E$10+1,1))-AVERAGE(OFFSET($H$3,0,0,'Données projet'!$E$10+1,1))</f>
        <v>482.62991869403385</v>
      </c>
      <c r="AO177" s="59">
        <f t="shared" si="144"/>
        <v>310.43914804089906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105.49829052720875</v>
      </c>
      <c r="AV177" s="21">
        <f>EXP(-LN(2)/25)*AV176+(1-EXP(-LN(2)/25))/(LN(2)/25)*Calculateur!AQ177*Calculateur!AS177*VLOOKUP('Données projet'!$B$10,Paramètres!$A$1:$I$89,3,0)*0.475*44/12</f>
        <v>15.807264869557578</v>
      </c>
      <c r="AW177" s="21">
        <f>EXP(-LN(2)/2)*AW176+(1-EXP(-LN(2)/2))/(LN(2)/2)*AQ177*AT177*VLOOKUP('Données projet'!$B$10,Paramètres!$A$1:$I$89,3,0)*0.475*44/12</f>
        <v>0.29241331090207162</v>
      </c>
      <c r="AX177" s="21">
        <f t="shared" si="166"/>
        <v>121.5979687076684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384.34044781465661</v>
      </c>
      <c r="BJ177" s="59">
        <f t="shared" si="146"/>
        <v>374.99493809709708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8.8713765209922641</v>
      </c>
      <c r="BQ177" s="21">
        <f>EXP(-LN(2)/25)*BQ176+(1-EXP(-LN(2)/25))/(LN(2)/25)*Calculateur!BL177*Calculateur!BN177*VLOOKUP('Données projet'!$B$11,Paramètres!$A$1:$I$89,3,0)*0.475*44/12</f>
        <v>4.1597135162481775</v>
      </c>
      <c r="BR177" s="21">
        <f>EXP(-LN(2)/2)*BR176+(1-EXP(-LN(2)/2))/(LN(2)/2)*BL177*BO177*VLOOKUP('Données projet'!$B$11,Paramètres!$A$1:$I$89,3,0)*0.475*44/12</f>
        <v>4.8701351273466016E-13</v>
      </c>
      <c r="BS177" s="22">
        <f t="shared" si="169"/>
        <v>13.031090037240929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5.4001247917767614E-13</v>
      </c>
      <c r="BZ177" s="13">
        <f>BY177*VLOOKUP('Données projet'!$B$12,Paramètres!$A$1:$I$89,3,0)*VLOOKUP('Données projet'!$B$12,Paramètres!$A$1:$I$89,5,0)</f>
        <v>5.1387587518547664E-13</v>
      </c>
      <c r="CA177" s="13">
        <f t="shared" si="170"/>
        <v>6.3806716506132977E-12</v>
      </c>
      <c r="CB177" s="20">
        <f t="shared" si="171"/>
        <v>1.2008003607432866E-11</v>
      </c>
      <c r="CC177" s="59">
        <f t="shared" si="119"/>
        <v>293.33333333334531</v>
      </c>
      <c r="CD177" s="59">
        <f ca="1">AVERAGE(OFFSET($CC$3,0,0,'Données projet'!$E$12+1,1))-AVERAGE(OFFSET($H$3,0,0,'Données projet'!$E$12+1,1))</f>
        <v>513.14430745499283</v>
      </c>
      <c r="CE177" s="59">
        <f t="shared" si="148"/>
        <v>324.2490378019823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91.376402097447553</v>
      </c>
      <c r="CL177" s="21">
        <f>EXP(-LN(2)/25)*CL176+(1-EXP(-LN(2)/25))/(LN(2)/25)*Calculateur!CG177*Calculateur!CI177*VLOOKUP('Données projet'!$B$12,Paramètres!$A$1:$I$89,3,0)*0.475*44/12</f>
        <v>14.607143787707809</v>
      </c>
      <c r="CM177" s="21">
        <f>EXP(-LN(2)/2)*CM176+(1-EXP(-LN(2)/2))/(LN(2)/2)*CG177*CJ177*VLOOKUP('Données projet'!$B$12,Paramètres!$A$1:$I$89,3,0)*0.475*44/12</f>
        <v>7.9476243715547179E-2</v>
      </c>
      <c r="CN177" s="22">
        <f t="shared" si="172"/>
        <v>106.06302212887091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-1.1368683772161603E-13</v>
      </c>
      <c r="CU177" s="17">
        <f>CT177*VLOOKUP('Données projet'!$B$13,Paramètres!$A$1:$I$89,3,0)*VLOOKUP('Données projet'!$B$13,Paramètres!$A$1:$I$89,5,0)</f>
        <v>-8.8675733422860506E-14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197.51452239559433</v>
      </c>
      <c r="CZ177" s="59">
        <f t="shared" si="150"/>
        <v>196.65166921588821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3.4453990472146847</v>
      </c>
      <c r="DG177" s="21">
        <f>EXP(-LN(2)/25)*DG176+(1-EXP(-LN(2)/25))/(LN(2)/25)*Calculateur!DB177*Calculateur!DD177*VLOOKUP('Données projet'!$B$13,Paramètres!$A$1:$I$89,3,0)*0.475*44/12</f>
        <v>1.4765591533554399</v>
      </c>
      <c r="DH177" s="21">
        <f>EXP(-LN(2)/2)*DH176+(1-EXP(-LN(2)/2))/(LN(2)/2)*DB177*DE177*VLOOKUP('Données projet'!$B$13,Paramètres!$A$1:$I$89,3,0)*0.475*44/12</f>
        <v>6.1149084241954125E-15</v>
      </c>
      <c r="DI177" s="22">
        <f t="shared" si="175"/>
        <v>4.9219582005701303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>
        <f>DO177*VLOOKUP('Données projet'!$B$14,Paramètres!$A$1:$I$89,3,0)*VLOOKUP('Données projet'!$B$14,Paramètres!$A$1:$I$89,5,0)</f>
        <v>0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239.26156489359892</v>
      </c>
      <c r="DU177" s="59">
        <f t="shared" si="152"/>
        <v>213.97034450798111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2.0488811805467999</v>
      </c>
      <c r="EB177" s="21">
        <f>EXP(-LN(2)/25)*EB176+(1-EXP(-LN(2)/25))/(LN(2)/25)*Calculateur!DW177*Calculateur!DY177*VLOOKUP('Données projet'!$B$14,Paramètres!$A$1:$I$89,3,0)*0.475*44/12</f>
        <v>6.2199670981469382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8.2688482786937385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7.688333333333337</v>
      </c>
      <c r="EJ177" s="12">
        <f>IF('Données projet'!$A$192&gt;35,EJ176+EI177-ER176,IF(A177&lt;'Données projet'!$A$192,$EG$205^A177,IF(A177='Données projet'!$A$192,'Données projet'!$B$192,EJ176+EI177-ER176)))</f>
        <v>410.40999999999968</v>
      </c>
      <c r="EK177" s="17">
        <f>EJ177*VLOOKUP('Données projet'!$B$15,Paramètres!$A$1:$I$89,3,0)*VLOOKUP('Données projet'!$B$15,Paramètres!$A$1:$I$89,5,0)</f>
        <v>409.75334399999974</v>
      </c>
      <c r="EL177" s="13">
        <f t="shared" si="179"/>
        <v>93.751225108385867</v>
      </c>
      <c r="EM177" s="20">
        <f t="shared" si="180"/>
        <v>876.93712453043827</v>
      </c>
      <c r="EN177" s="59">
        <f t="shared" si="128"/>
        <v>1170.2704578637715</v>
      </c>
      <c r="EO177" s="59">
        <f ca="1">AVERAGE(OFFSET($EN$3,0,0,'Données projet'!$E$15+1,1))-AVERAGE(OFFSET($H$3,0,0,'Données projet'!$E$15+1,1))</f>
        <v>525.74725170626471</v>
      </c>
      <c r="EP177" s="59">
        <f t="shared" si="154"/>
        <v>259.19103598192197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44.041042207110642</v>
      </c>
      <c r="EW177" s="21">
        <f>EXP(-LN(2)/25)*EW176+(1-EXP(-LN(2)/25))/(LN(2)/25)*Calculateur!ER177*Calculateur!ET177*VLOOKUP('Données projet'!$B$15,Paramètres!$A$1:$I$89,3,0)*0.475*44/12</f>
        <v>19.379208734476972</v>
      </c>
      <c r="EX177" s="21">
        <f>EXP(-LN(2)/2)*EX176+(1-EXP(-LN(2)/2))/(LN(2)/2)*ER177*EU177*VLOOKUP('Données projet'!$B$15,Paramètres!$A$1:$I$89,3,0)*0.475*44/12</f>
        <v>1.7747416065661556E-4</v>
      </c>
      <c r="EY177" s="22">
        <f t="shared" si="181"/>
        <v>63.420428415748269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7.688333333333337</v>
      </c>
      <c r="N178" s="13">
        <f>IF('Données projet'!$A$36&gt;35,N177+M178-V177,IF(A178&lt;'Données projet'!$A$36,$K$205^A178,IF(A178='Données projet'!$A$36,'Données projet'!$B$36,N177+M178-V177)))</f>
        <v>418.09833333333302</v>
      </c>
      <c r="O178" s="13">
        <f>N178*VLOOKUP('Données projet'!$B$9,Paramètres!$A$1:$I$89,3,0)*VLOOKUP('Données projet'!$B$9,Paramètres!$A$1:$I$89,5,0)</f>
        <v>423.95170999999976</v>
      </c>
      <c r="P178" s="13">
        <f t="shared" si="141"/>
        <v>96.615949933698687</v>
      </c>
      <c r="Q178" s="20">
        <f t="shared" si="162"/>
        <v>906.65534105119139</v>
      </c>
      <c r="R178" s="59">
        <f t="shared" si="109"/>
        <v>1199.9886743845248</v>
      </c>
      <c r="S178" s="59">
        <f ca="1">AVERAGE(OFFSET($R$3,0,0,'Données projet'!$E$9+1,1))-AVERAGE(OFFSET($H$3,0,0,'Données projet'!$E$9+1,1))</f>
        <v>533.26035274112917</v>
      </c>
      <c r="T178" s="59">
        <f t="shared" si="142"/>
        <v>262.58149402282521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43.852071485434585</v>
      </c>
      <c r="AA178" s="21">
        <f>EXP(-LN(2)/25)*AA177+(1-EXP(-LN(2)/25))/(LN(2)/25)*Calculateur!V178*Calculateur!X178*VLOOKUP('Données projet'!$B$9,Paramètres!$A$1:$I$89,3,0)*0.475*44/12</f>
        <v>19.143803303345095</v>
      </c>
      <c r="AB178" s="21">
        <f>EXP(-LN(2)/2)*AB177+(1-EXP(-LN(2)/2))/(LN(2)/2)*V178*Y178*VLOOKUP('Données projet'!$B$9,Paramètres!$A$1:$I$89,3,0)*0.475*44/12</f>
        <v>1.2745401346202237E-4</v>
      </c>
      <c r="AC178" s="22">
        <f t="shared" si="163"/>
        <v>62.996002242793139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5.4001247917767614E-13</v>
      </c>
      <c r="AJ178" s="13">
        <f>AI178*VLOOKUP('Données projet'!$B$10,Paramètres!$A$1:$I$89,3,0)*VLOOKUP('Données projet'!$B$10,Paramètres!$A$1:$I$89,5,0)</f>
        <v>4.8860329115996133E-13</v>
      </c>
      <c r="AK178" s="13">
        <f t="shared" si="164"/>
        <v>6.1025862939685007E-12</v>
      </c>
      <c r="AL178" s="20">
        <f t="shared" si="165"/>
        <v>1.1479655194098737E-11</v>
      </c>
      <c r="AM178" s="59">
        <f t="shared" si="113"/>
        <v>293.3333333333448</v>
      </c>
      <c r="AN178" s="59">
        <f ca="1">AVERAGE(OFFSET($AM$3,0,0,'Données projet'!$E$10+1,1))-AVERAGE(OFFSET($H$3,0,0,'Données projet'!$E$10+1,1))</f>
        <v>482.62991869403385</v>
      </c>
      <c r="AO178" s="59">
        <f t="shared" si="144"/>
        <v>310.43914804089906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103.42953339757361</v>
      </c>
      <c r="AV178" s="21">
        <f>EXP(-LN(2)/25)*AV177+(1-EXP(-LN(2)/25))/(LN(2)/25)*Calculateur!AQ178*Calculateur!AS178*VLOOKUP('Données projet'!$B$10,Paramètres!$A$1:$I$89,3,0)*0.475*44/12</f>
        <v>15.375014380431594</v>
      </c>
      <c r="AW178" s="21">
        <f>EXP(-LN(2)/2)*AW177+(1-EXP(-LN(2)/2))/(LN(2)/2)*AQ178*AT178*VLOOKUP('Données projet'!$B$10,Paramètres!$A$1:$I$89,3,0)*0.475*44/12</f>
        <v>0.20676743504806505</v>
      </c>
      <c r="AX178" s="21">
        <f t="shared" si="166"/>
        <v>119.01131521305327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384.34044781465661</v>
      </c>
      <c r="BJ178" s="59">
        <f t="shared" si="146"/>
        <v>374.99493809709708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8.6974142384209916</v>
      </c>
      <c r="BQ178" s="21">
        <f>EXP(-LN(2)/25)*BQ177+(1-EXP(-LN(2)/25))/(LN(2)/25)*Calculateur!BL178*Calculateur!BN178*VLOOKUP('Données projet'!$B$11,Paramètres!$A$1:$I$89,3,0)*0.475*44/12</f>
        <v>4.0459659313965446</v>
      </c>
      <c r="BR178" s="21">
        <f>EXP(-LN(2)/2)*BR177+(1-EXP(-LN(2)/2))/(LN(2)/2)*BL178*BO178*VLOOKUP('Données projet'!$B$11,Paramètres!$A$1:$I$89,3,0)*0.475*44/12</f>
        <v>3.4437055738415923E-13</v>
      </c>
      <c r="BS178" s="22">
        <f t="shared" si="169"/>
        <v>12.743380169817881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5.4001247917767614E-13</v>
      </c>
      <c r="BZ178" s="13">
        <f>BY178*VLOOKUP('Données projet'!$B$12,Paramètres!$A$1:$I$89,3,0)*VLOOKUP('Données projet'!$B$12,Paramètres!$A$1:$I$89,5,0)</f>
        <v>5.1387587518547664E-13</v>
      </c>
      <c r="CA178" s="13">
        <f t="shared" si="170"/>
        <v>6.3806716506132977E-12</v>
      </c>
      <c r="CB178" s="20">
        <f t="shared" si="171"/>
        <v>1.2008003607432866E-11</v>
      </c>
      <c r="CC178" s="59">
        <f t="shared" si="119"/>
        <v>293.33333333334531</v>
      </c>
      <c r="CD178" s="59">
        <f ca="1">AVERAGE(OFFSET($CC$3,0,0,'Données projet'!$E$12+1,1))-AVERAGE(OFFSET($H$3,0,0,'Données projet'!$E$12+1,1))</f>
        <v>513.14430745499283</v>
      </c>
      <c r="CE178" s="59">
        <f t="shared" si="148"/>
        <v>324.2490378019823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89.584566586418603</v>
      </c>
      <c r="CL178" s="21">
        <f>EXP(-LN(2)/25)*CL177+(1-EXP(-LN(2)/25))/(LN(2)/25)*Calculateur!CG178*Calculateur!CI178*VLOOKUP('Données projet'!$B$12,Paramètres!$A$1:$I$89,3,0)*0.475*44/12</f>
        <v>14.207710672676631</v>
      </c>
      <c r="CM178" s="21">
        <f>EXP(-LN(2)/2)*CM177+(1-EXP(-LN(2)/2))/(LN(2)/2)*CG178*CJ178*VLOOKUP('Données projet'!$B$12,Paramètres!$A$1:$I$89,3,0)*0.475*44/12</f>
        <v>5.6198190874498143E-2</v>
      </c>
      <c r="CN178" s="22">
        <f t="shared" si="172"/>
        <v>103.84847544996973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-1.1368683772161603E-13</v>
      </c>
      <c r="CU178" s="17">
        <f>CT178*VLOOKUP('Données projet'!$B$13,Paramètres!$A$1:$I$89,3,0)*VLOOKUP('Données projet'!$B$13,Paramètres!$A$1:$I$89,5,0)</f>
        <v>-8.8675733422860506E-14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197.51452239559433</v>
      </c>
      <c r="CZ178" s="59">
        <f t="shared" si="150"/>
        <v>196.65166921588821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3.3778368733847191</v>
      </c>
      <c r="DG178" s="21">
        <f>EXP(-LN(2)/25)*DG177+(1-EXP(-LN(2)/25))/(LN(2)/25)*Calculateur!DB178*Calculateur!DD178*VLOOKUP('Données projet'!$B$13,Paramètres!$A$1:$I$89,3,0)*0.475*44/12</f>
        <v>1.4361825656580642</v>
      </c>
      <c r="DH178" s="21">
        <f>EXP(-LN(2)/2)*DH177+(1-EXP(-LN(2)/2))/(LN(2)/2)*DB178*DE178*VLOOKUP('Données projet'!$B$13,Paramètres!$A$1:$I$89,3,0)*0.475*44/12</f>
        <v>4.3238932130833216E-15</v>
      </c>
      <c r="DI178" s="22">
        <f t="shared" si="175"/>
        <v>4.814019439042788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>
        <f>DO178*VLOOKUP('Données projet'!$B$14,Paramètres!$A$1:$I$89,3,0)*VLOOKUP('Données projet'!$B$14,Paramètres!$A$1:$I$89,5,0)</f>
        <v>0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239.26156489359892</v>
      </c>
      <c r="DU178" s="59">
        <f t="shared" si="152"/>
        <v>213.97034450798111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2.0087038702904003</v>
      </c>
      <c r="EB178" s="21">
        <f>EXP(-LN(2)/25)*EB177+(1-EXP(-LN(2)/25))/(LN(2)/25)*Calculateur!DW178*Calculateur!DY178*VLOOKUP('Données projet'!$B$14,Paramètres!$A$1:$I$89,3,0)*0.475*44/12</f>
        <v>6.049881770754256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8.0585856410446564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7.688333333333337</v>
      </c>
      <c r="EJ178" s="12">
        <f>IF('Données projet'!$A$192&gt;35,EJ177+EI178-ER177,IF(A178&lt;'Données projet'!$A$192,$EG$205^A178,IF(A178='Données projet'!$A$192,'Données projet'!$B$192,EJ177+EI178-ER177)))</f>
        <v>418.09833333333302</v>
      </c>
      <c r="EK178" s="17">
        <f>EJ178*VLOOKUP('Données projet'!$B$15,Paramètres!$A$1:$I$89,3,0)*VLOOKUP('Données projet'!$B$15,Paramètres!$A$1:$I$89,5,0)</f>
        <v>417.42937599999971</v>
      </c>
      <c r="EL178" s="13">
        <f t="shared" si="179"/>
        <v>95.301384803948878</v>
      </c>
      <c r="EM178" s="20">
        <f t="shared" si="180"/>
        <v>893.00607506687686</v>
      </c>
      <c r="EN178" s="59">
        <f t="shared" si="128"/>
        <v>1186.3394084002102</v>
      </c>
      <c r="EO178" s="59">
        <f ca="1">AVERAGE(OFFSET($EN$3,0,0,'Données projet'!$E$15+1,1))-AVERAGE(OFFSET($H$3,0,0,'Données projet'!$E$15+1,1))</f>
        <v>525.74725170626471</v>
      </c>
      <c r="EP178" s="59">
        <f t="shared" si="154"/>
        <v>259.19103598192197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43.177424231812509</v>
      </c>
      <c r="EW178" s="21">
        <f>EXP(-LN(2)/25)*EW177+(1-EXP(-LN(2)/25))/(LN(2)/25)*Calculateur!ER178*Calculateur!ET178*VLOOKUP('Données projet'!$B$15,Paramètres!$A$1:$I$89,3,0)*0.475*44/12</f>
        <v>18.849283252524405</v>
      </c>
      <c r="EX178" s="21">
        <f>EXP(-LN(2)/2)*EX177+(1-EXP(-LN(2)/2))/(LN(2)/2)*ER178*EU178*VLOOKUP('Données projet'!$B$15,Paramètres!$A$1:$I$89,3,0)*0.475*44/12</f>
        <v>1.2549318248568364E-4</v>
      </c>
      <c r="EY178" s="22">
        <f t="shared" si="181"/>
        <v>62.026832977519398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7.688333333333337</v>
      </c>
      <c r="N179" s="13">
        <f>IF('Données projet'!$A$36&gt;35,N178+M179-V178,IF(A179&lt;'Données projet'!$A$36,$K$205^A179,IF(A179='Données projet'!$A$36,'Données projet'!$B$36,N178+M179-V178)))</f>
        <v>425.78666666666635</v>
      </c>
      <c r="O179" s="13">
        <f>N179*VLOOKUP('Données projet'!$B$9,Paramètres!$A$1:$I$89,3,0)*VLOOKUP('Données projet'!$B$9,Paramètres!$A$1:$I$89,5,0)</f>
        <v>431.74767999999972</v>
      </c>
      <c r="P179" s="13">
        <f t="shared" si="141"/>
        <v>98.184131748284557</v>
      </c>
      <c r="Q179" s="20">
        <f t="shared" si="162"/>
        <v>922.96457212826181</v>
      </c>
      <c r="R179" s="59">
        <f t="shared" si="109"/>
        <v>1216.2979054615951</v>
      </c>
      <c r="S179" s="59">
        <f ca="1">AVERAGE(OFFSET($R$3,0,0,'Données projet'!$E$9+1,1))-AVERAGE(OFFSET($H$3,0,0,'Données projet'!$E$9+1,1))</f>
        <v>533.26035274112917</v>
      </c>
      <c r="T179" s="59">
        <f t="shared" si="142"/>
        <v>262.58149402282521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42.992159110727762</v>
      </c>
      <c r="AA179" s="21">
        <f>EXP(-LN(2)/25)*AA178+(1-EXP(-LN(2)/25))/(LN(2)/25)*Calculateur!V179*Calculateur!X179*VLOOKUP('Données projet'!$B$9,Paramètres!$A$1:$I$89,3,0)*0.475*44/12</f>
        <v>18.620314995286261</v>
      </c>
      <c r="AB179" s="21">
        <f>EXP(-LN(2)/2)*AB178+(1-EXP(-LN(2)/2))/(LN(2)/2)*V179*Y179*VLOOKUP('Données projet'!$B$9,Paramètres!$A$1:$I$89,3,0)*0.475*44/12</f>
        <v>9.0123597208437533E-5</v>
      </c>
      <c r="AC179" s="22">
        <f t="shared" si="163"/>
        <v>61.61256422961123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5.4001247917767614E-13</v>
      </c>
      <c r="AJ179" s="13">
        <f>AI179*VLOOKUP('Données projet'!$B$10,Paramètres!$A$1:$I$89,3,0)*VLOOKUP('Données projet'!$B$10,Paramètres!$A$1:$I$89,5,0)</f>
        <v>4.8860329115996133E-13</v>
      </c>
      <c r="AK179" s="13">
        <f t="shared" si="164"/>
        <v>6.1025862939685007E-12</v>
      </c>
      <c r="AL179" s="20">
        <f t="shared" si="165"/>
        <v>1.1479655194098737E-11</v>
      </c>
      <c r="AM179" s="59">
        <f t="shared" si="113"/>
        <v>293.3333333333448</v>
      </c>
      <c r="AN179" s="59">
        <f ca="1">AVERAGE(OFFSET($AM$3,0,0,'Données projet'!$E$10+1,1))-AVERAGE(OFFSET($H$3,0,0,'Données projet'!$E$10+1,1))</f>
        <v>482.62991869403385</v>
      </c>
      <c r="AO179" s="59">
        <f t="shared" si="144"/>
        <v>310.43914804089906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101.40134333343336</v>
      </c>
      <c r="AV179" s="21">
        <f>EXP(-LN(2)/25)*AV178+(1-EXP(-LN(2)/25))/(LN(2)/25)*Calculateur!AQ179*Calculateur!AS179*VLOOKUP('Données projet'!$B$10,Paramètres!$A$1:$I$89,3,0)*0.475*44/12</f>
        <v>14.954583803661826</v>
      </c>
      <c r="AW179" s="21">
        <f>EXP(-LN(2)/2)*AW178+(1-EXP(-LN(2)/2))/(LN(2)/2)*AQ179*AT179*VLOOKUP('Données projet'!$B$10,Paramètres!$A$1:$I$89,3,0)*0.475*44/12</f>
        <v>0.14620665545103581</v>
      </c>
      <c r="AX179" s="21">
        <f t="shared" si="166"/>
        <v>116.50213379254623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384.34044781465661</v>
      </c>
      <c r="BJ179" s="59">
        <f t="shared" si="146"/>
        <v>374.99493809709708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8.5268632501044266</v>
      </c>
      <c r="BQ179" s="21">
        <f>EXP(-LN(2)/25)*BQ178+(1-EXP(-LN(2)/25))/(LN(2)/25)*Calculateur!BL179*Calculateur!BN179*VLOOKUP('Données projet'!$B$11,Paramètres!$A$1:$I$89,3,0)*0.475*44/12</f>
        <v>3.9353287802344048</v>
      </c>
      <c r="BR179" s="21">
        <f>EXP(-LN(2)/2)*BR178+(1-EXP(-LN(2)/2))/(LN(2)/2)*BL179*BO179*VLOOKUP('Données projet'!$B$11,Paramètres!$A$1:$I$89,3,0)*0.475*44/12</f>
        <v>2.4350675636733008E-13</v>
      </c>
      <c r="BS179" s="22">
        <f t="shared" si="169"/>
        <v>12.462192030339075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5.4001247917767614E-13</v>
      </c>
      <c r="BZ179" s="13">
        <f>BY179*VLOOKUP('Données projet'!$B$12,Paramètres!$A$1:$I$89,3,0)*VLOOKUP('Données projet'!$B$12,Paramètres!$A$1:$I$89,5,0)</f>
        <v>5.1387587518547664E-13</v>
      </c>
      <c r="CA179" s="13">
        <f t="shared" si="170"/>
        <v>6.3806716506132977E-12</v>
      </c>
      <c r="CB179" s="20">
        <f t="shared" si="171"/>
        <v>1.2008003607432866E-11</v>
      </c>
      <c r="CC179" s="59">
        <f t="shared" si="119"/>
        <v>293.33333333334531</v>
      </c>
      <c r="CD179" s="59">
        <f ca="1">AVERAGE(OFFSET($CC$3,0,0,'Données projet'!$E$12+1,1))-AVERAGE(OFFSET($H$3,0,0,'Données projet'!$E$12+1,1))</f>
        <v>513.14430745499283</v>
      </c>
      <c r="CE179" s="59">
        <f t="shared" si="148"/>
        <v>324.2490378019823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87.827867876849183</v>
      </c>
      <c r="CL179" s="21">
        <f>EXP(-LN(2)/25)*CL178+(1-EXP(-LN(2)/25))/(LN(2)/25)*Calculateur!CG179*Calculateur!CI179*VLOOKUP('Données projet'!$B$12,Paramètres!$A$1:$I$89,3,0)*0.475*44/12</f>
        <v>13.819200077181257</v>
      </c>
      <c r="CM179" s="21">
        <f>EXP(-LN(2)/2)*CM178+(1-EXP(-LN(2)/2))/(LN(2)/2)*CG179*CJ179*VLOOKUP('Données projet'!$B$12,Paramètres!$A$1:$I$89,3,0)*0.475*44/12</f>
        <v>3.973812185777359E-2</v>
      </c>
      <c r="CN179" s="22">
        <f t="shared" si="172"/>
        <v>101.68680607588821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-1.1368683772161603E-13</v>
      </c>
      <c r="CU179" s="17">
        <f>CT179*VLOOKUP('Données projet'!$B$13,Paramètres!$A$1:$I$89,3,0)*VLOOKUP('Données projet'!$B$13,Paramètres!$A$1:$I$89,5,0)</f>
        <v>-8.8675733422860506E-14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197.51452239559433</v>
      </c>
      <c r="CZ179" s="59">
        <f t="shared" si="150"/>
        <v>196.65166921588821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3.3115995525747022</v>
      </c>
      <c r="DG179" s="21">
        <f>EXP(-LN(2)/25)*DG178+(1-EXP(-LN(2)/25))/(LN(2)/25)*Calculateur!DB179*Calculateur!DD179*VLOOKUP('Données projet'!$B$13,Paramètres!$A$1:$I$89,3,0)*0.475*44/12</f>
        <v>1.3969100778745858</v>
      </c>
      <c r="DH179" s="21">
        <f>EXP(-LN(2)/2)*DH178+(1-EXP(-LN(2)/2))/(LN(2)/2)*DB179*DE179*VLOOKUP('Données projet'!$B$13,Paramètres!$A$1:$I$89,3,0)*0.475*44/12</f>
        <v>3.0574542120977062E-15</v>
      </c>
      <c r="DI179" s="22">
        <f t="shared" si="175"/>
        <v>4.7085096304492904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>
        <f>DO179*VLOOKUP('Données projet'!$B$14,Paramètres!$A$1:$I$89,3,0)*VLOOKUP('Données projet'!$B$14,Paramètres!$A$1:$I$89,5,0)</f>
        <v>0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239.26156489359892</v>
      </c>
      <c r="DU179" s="59">
        <f t="shared" si="152"/>
        <v>213.97034450798111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1.9693144125823892</v>
      </c>
      <c r="EB179" s="21">
        <f>EXP(-LN(2)/25)*EB178+(1-EXP(-LN(2)/25))/(LN(2)/25)*Calculateur!DW179*Calculateur!DY179*VLOOKUP('Données projet'!$B$14,Paramètres!$A$1:$I$89,3,0)*0.475*44/12</f>
        <v>5.8844474355835255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7.8537618481659148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7.688333333333337</v>
      </c>
      <c r="EJ179" s="12">
        <f>IF('Données projet'!$A$192&gt;35,EJ178+EI179-ER178,IF(A179&lt;'Données projet'!$A$192,$EG$205^A179,IF(A179='Données projet'!$A$192,'Données projet'!$B$192,EJ178+EI179-ER178)))</f>
        <v>425.78666666666635</v>
      </c>
      <c r="EK179" s="17">
        <f>EJ179*VLOOKUP('Données projet'!$B$15,Paramètres!$A$1:$I$89,3,0)*VLOOKUP('Données projet'!$B$15,Paramètres!$A$1:$I$89,5,0)</f>
        <v>425.10540799999967</v>
      </c>
      <c r="EL179" s="13">
        <f t="shared" si="179"/>
        <v>96.848229798558563</v>
      </c>
      <c r="EM179" s="20">
        <f t="shared" si="180"/>
        <v>909.0692524991556</v>
      </c>
      <c r="EN179" s="59">
        <f t="shared" si="128"/>
        <v>1202.402585832489</v>
      </c>
      <c r="EO179" s="59">
        <f ca="1">AVERAGE(OFFSET($EN$3,0,0,'Données projet'!$E$15+1,1))-AVERAGE(OFFSET($H$3,0,0,'Données projet'!$E$15+1,1))</f>
        <v>525.74725170626471</v>
      </c>
      <c r="EP179" s="59">
        <f t="shared" si="154"/>
        <v>259.19103598192197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42.330741278255019</v>
      </c>
      <c r="EW179" s="21">
        <f>EXP(-LN(2)/25)*EW178+(1-EXP(-LN(2)/25))/(LN(2)/25)*Calculateur!ER179*Calculateur!ET179*VLOOKUP('Données projet'!$B$15,Paramètres!$A$1:$I$89,3,0)*0.475*44/12</f>
        <v>18.333848610743399</v>
      </c>
      <c r="EX179" s="21">
        <f>EXP(-LN(2)/2)*EX178+(1-EXP(-LN(2)/2))/(LN(2)/2)*ER179*EU179*VLOOKUP('Données projet'!$B$15,Paramètres!$A$1:$I$89,3,0)*0.475*44/12</f>
        <v>8.8737080328307781E-5</v>
      </c>
      <c r="EY179" s="22">
        <f t="shared" si="181"/>
        <v>60.664678626078747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7.688333333333337</v>
      </c>
      <c r="N180" s="13">
        <f>IF('Données projet'!$A$36&gt;35,N179+M180-V179,IF(A180&lt;'Données projet'!$A$36,$K$205^A180,IF(A180='Données projet'!$A$36,'Données projet'!$B$36,N179+M180-V179)))</f>
        <v>433.47499999999968</v>
      </c>
      <c r="O180" s="13">
        <f>N180*VLOOKUP('Données projet'!$B$9,Paramètres!$A$1:$I$89,3,0)*VLOOKUP('Données projet'!$B$9,Paramètres!$A$1:$I$89,5,0)</f>
        <v>439.54364999999967</v>
      </c>
      <c r="P180" s="13">
        <f t="shared" si="141"/>
        <v>99.749020817344601</v>
      </c>
      <c r="Q180" s="20">
        <f t="shared" si="162"/>
        <v>939.26806834020806</v>
      </c>
      <c r="R180" s="59">
        <f t="shared" si="109"/>
        <v>1232.6014016735414</v>
      </c>
      <c r="S180" s="59">
        <f ca="1">AVERAGE(OFFSET($R$3,0,0,'Données projet'!$E$9+1,1))-AVERAGE(OFFSET($H$3,0,0,'Données projet'!$E$9+1,1))</f>
        <v>533.26035274112917</v>
      </c>
      <c r="T180" s="59">
        <f t="shared" si="142"/>
        <v>262.58149402282521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42.149109093194177</v>
      </c>
      <c r="AA180" s="21">
        <f>EXP(-LN(2)/25)*AA179+(1-EXP(-LN(2)/25))/(LN(2)/25)*Calculateur!V180*Calculateur!X180*VLOOKUP('Données projet'!$B$9,Paramètres!$A$1:$I$89,3,0)*0.475*44/12</f>
        <v>18.111141502540349</v>
      </c>
      <c r="AB180" s="21">
        <f>EXP(-LN(2)/2)*AB179+(1-EXP(-LN(2)/2))/(LN(2)/2)*V180*Y180*VLOOKUP('Données projet'!$B$9,Paramètres!$A$1:$I$89,3,0)*0.475*44/12</f>
        <v>6.3727006731011183E-5</v>
      </c>
      <c r="AC180" s="22">
        <f t="shared" si="163"/>
        <v>60.260314322741259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5.4001247917767614E-13</v>
      </c>
      <c r="AJ180" s="13">
        <f>AI180*VLOOKUP('Données projet'!$B$10,Paramètres!$A$1:$I$89,3,0)*VLOOKUP('Données projet'!$B$10,Paramètres!$A$1:$I$89,5,0)</f>
        <v>4.8860329115996133E-13</v>
      </c>
      <c r="AK180" s="13">
        <f t="shared" si="164"/>
        <v>6.1025862939685007E-12</v>
      </c>
      <c r="AL180" s="20">
        <f t="shared" si="165"/>
        <v>1.1479655194098737E-11</v>
      </c>
      <c r="AM180" s="59">
        <f t="shared" si="113"/>
        <v>293.3333333333448</v>
      </c>
      <c r="AN180" s="59">
        <f ca="1">AVERAGE(OFFSET($AM$3,0,0,'Données projet'!$E$10+1,1))-AVERAGE(OFFSET($H$3,0,0,'Données projet'!$E$10+1,1))</f>
        <v>482.62991869403385</v>
      </c>
      <c r="AO180" s="59">
        <f t="shared" si="144"/>
        <v>310.43914804089906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99.412924839377112</v>
      </c>
      <c r="AV180" s="21">
        <f>EXP(-LN(2)/25)*AV179+(1-EXP(-LN(2)/25))/(LN(2)/25)*Calculateur!AQ180*Calculateur!AS180*VLOOKUP('Données projet'!$B$10,Paramètres!$A$1:$I$89,3,0)*0.475*44/12</f>
        <v>14.54564992312331</v>
      </c>
      <c r="AW180" s="21">
        <f>EXP(-LN(2)/2)*AW179+(1-EXP(-LN(2)/2))/(LN(2)/2)*AQ180*AT180*VLOOKUP('Données projet'!$B$10,Paramètres!$A$1:$I$89,3,0)*0.475*44/12</f>
        <v>0.10338371752403253</v>
      </c>
      <c r="AX180" s="21">
        <f t="shared" si="166"/>
        <v>114.06195848002446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384.34044781465661</v>
      </c>
      <c r="BJ180" s="59">
        <f t="shared" si="146"/>
        <v>374.99493809709708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8.3596566626429176</v>
      </c>
      <c r="BQ180" s="21">
        <f>EXP(-LN(2)/25)*BQ179+(1-EXP(-LN(2)/25))/(LN(2)/25)*Calculateur!BL180*Calculateur!BN180*VLOOKUP('Données projet'!$B$11,Paramètres!$A$1:$I$89,3,0)*0.475*44/12</f>
        <v>3.8277170077889489</v>
      </c>
      <c r="BR180" s="21">
        <f>EXP(-LN(2)/2)*BR179+(1-EXP(-LN(2)/2))/(LN(2)/2)*BL180*BO180*VLOOKUP('Données projet'!$B$11,Paramètres!$A$1:$I$89,3,0)*0.475*44/12</f>
        <v>1.7218527869207961E-13</v>
      </c>
      <c r="BS180" s="22">
        <f t="shared" si="169"/>
        <v>12.18737367043204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5.4001247917767614E-13</v>
      </c>
      <c r="BZ180" s="13">
        <f>BY180*VLOOKUP('Données projet'!$B$12,Paramètres!$A$1:$I$89,3,0)*VLOOKUP('Données projet'!$B$12,Paramètres!$A$1:$I$89,5,0)</f>
        <v>5.1387587518547664E-13</v>
      </c>
      <c r="CA180" s="13">
        <f t="shared" si="170"/>
        <v>6.3806716506132977E-12</v>
      </c>
      <c r="CB180" s="20">
        <f t="shared" si="171"/>
        <v>1.2008003607432866E-11</v>
      </c>
      <c r="CC180" s="59">
        <f t="shared" si="119"/>
        <v>293.33333333334531</v>
      </c>
      <c r="CD180" s="59">
        <f ca="1">AVERAGE(OFFSET($CC$3,0,0,'Données projet'!$E$12+1,1))-AVERAGE(OFFSET($H$3,0,0,'Données projet'!$E$12+1,1))</f>
        <v>513.14430745499283</v>
      </c>
      <c r="CE180" s="59">
        <f t="shared" si="148"/>
        <v>324.2490378019823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86.105616957494007</v>
      </c>
      <c r="CL180" s="21">
        <f>EXP(-LN(2)/25)*CL179+(1-EXP(-LN(2)/25))/(LN(2)/25)*Calculateur!CG180*Calculateur!CI180*VLOOKUP('Données projet'!$B$12,Paramètres!$A$1:$I$89,3,0)*0.475*44/12</f>
        <v>13.441313324350588</v>
      </c>
      <c r="CM180" s="21">
        <f>EXP(-LN(2)/2)*CM179+(1-EXP(-LN(2)/2))/(LN(2)/2)*CG180*CJ180*VLOOKUP('Données projet'!$B$12,Paramètres!$A$1:$I$89,3,0)*0.475*44/12</f>
        <v>2.8099095437249071E-2</v>
      </c>
      <c r="CN180" s="22">
        <f t="shared" si="172"/>
        <v>99.575029377281851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-1.1368683772161603E-13</v>
      </c>
      <c r="CU180" s="17">
        <f>CT180*VLOOKUP('Données projet'!$B$13,Paramètres!$A$1:$I$89,3,0)*VLOOKUP('Données projet'!$B$13,Paramètres!$A$1:$I$89,5,0)</f>
        <v>-8.8675733422860506E-14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197.51452239559433</v>
      </c>
      <c r="CZ180" s="59">
        <f t="shared" si="150"/>
        <v>196.65166921588821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3.2466611052249932</v>
      </c>
      <c r="DG180" s="21">
        <f>EXP(-LN(2)/25)*DG179+(1-EXP(-LN(2)/25))/(LN(2)/25)*Calculateur!DB180*Calculateur!DD180*VLOOKUP('Données projet'!$B$13,Paramètres!$A$1:$I$89,3,0)*0.475*44/12</f>
        <v>1.358711498334797</v>
      </c>
      <c r="DH180" s="21">
        <f>EXP(-LN(2)/2)*DH179+(1-EXP(-LN(2)/2))/(LN(2)/2)*DB180*DE180*VLOOKUP('Données projet'!$B$13,Paramètres!$A$1:$I$89,3,0)*0.475*44/12</f>
        <v>2.1619466065416608E-15</v>
      </c>
      <c r="DI180" s="22">
        <f t="shared" si="175"/>
        <v>4.6053726035597915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>
        <f>DO180*VLOOKUP('Données projet'!$B$14,Paramètres!$A$1:$I$89,3,0)*VLOOKUP('Données projet'!$B$14,Paramètres!$A$1:$I$89,5,0)</f>
        <v>0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239.26156489359892</v>
      </c>
      <c r="DU180" s="59">
        <f t="shared" si="152"/>
        <v>213.97034450798111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1.9306973581148352</v>
      </c>
      <c r="EB180" s="21">
        <f>EXP(-LN(2)/25)*EB179+(1-EXP(-LN(2)/25))/(LN(2)/25)*Calculateur!DW180*Calculateur!DY180*VLOOKUP('Données projet'!$B$14,Paramètres!$A$1:$I$89,3,0)*0.475*44/12</f>
        <v>5.7235369110078524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7.6542342691226875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7.688333333333337</v>
      </c>
      <c r="EJ180" s="12">
        <f>IF('Données projet'!$A$192&gt;35,EJ179+EI180-ER179,IF(A180&lt;'Données projet'!$A$192,$EG$205^A180,IF(A180='Données projet'!$A$192,'Données projet'!$B$192,EJ179+EI180-ER179)))</f>
        <v>433.47499999999968</v>
      </c>
      <c r="EK180" s="17">
        <f>EJ180*VLOOKUP('Données projet'!$B$15,Paramètres!$A$1:$I$89,3,0)*VLOOKUP('Données projet'!$B$15,Paramètres!$A$1:$I$89,5,0)</f>
        <v>432.78143999999969</v>
      </c>
      <c r="EL180" s="13">
        <f t="shared" si="179"/>
        <v>98.391826849028249</v>
      </c>
      <c r="EM180" s="20">
        <f t="shared" si="180"/>
        <v>925.12677309539038</v>
      </c>
      <c r="EN180" s="59">
        <f t="shared" si="128"/>
        <v>1218.4601064287237</v>
      </c>
      <c r="EO180" s="59">
        <f ca="1">AVERAGE(OFFSET($EN$3,0,0,'Données projet'!$E$15+1,1))-AVERAGE(OFFSET($H$3,0,0,'Données projet'!$E$15+1,1))</f>
        <v>525.74725170626471</v>
      </c>
      <c r="EP180" s="59">
        <f t="shared" si="154"/>
        <v>259.19103598192197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41.50066126099118</v>
      </c>
      <c r="EW180" s="21">
        <f>EXP(-LN(2)/25)*EW179+(1-EXP(-LN(2)/25))/(LN(2)/25)*Calculateur!ER180*Calculateur!ET180*VLOOKUP('Données projet'!$B$15,Paramètres!$A$1:$I$89,3,0)*0.475*44/12</f>
        <v>17.832508556347424</v>
      </c>
      <c r="EX180" s="21">
        <f>EXP(-LN(2)/2)*EX179+(1-EXP(-LN(2)/2))/(LN(2)/2)*ER180*EU180*VLOOKUP('Données projet'!$B$15,Paramètres!$A$1:$I$89,3,0)*0.475*44/12</f>
        <v>6.274659124284182E-5</v>
      </c>
      <c r="EY180" s="22">
        <f t="shared" si="181"/>
        <v>59.33323256392984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7.688333333333337</v>
      </c>
      <c r="N181" s="13">
        <f>IF('Données projet'!$A$36&gt;35,N180+M181-V180,IF(A181&lt;'Données projet'!$A$36,$K$205^A181,IF(A181='Données projet'!$A$36,'Données projet'!$B$36,N180+M181-V180)))</f>
        <v>441.16333333333301</v>
      </c>
      <c r="O181" s="13">
        <f>N181*VLOOKUP('Données projet'!$B$9,Paramètres!$A$1:$I$89,3,0)*VLOOKUP('Données projet'!$B$9,Paramètres!$A$1:$I$89,5,0)</f>
        <v>447.33961999999968</v>
      </c>
      <c r="P181" s="13">
        <f t="shared" si="141"/>
        <v>101.31068228028938</v>
      </c>
      <c r="Q181" s="20">
        <f t="shared" si="162"/>
        <v>955.56594313817016</v>
      </c>
      <c r="R181" s="59">
        <f t="shared" si="109"/>
        <v>1248.8992764715035</v>
      </c>
      <c r="S181" s="59">
        <f ca="1">AVERAGE(OFFSET($R$3,0,0,'Données projet'!$E$9+1,1))-AVERAGE(OFFSET($H$3,0,0,'Données projet'!$E$9+1,1))</f>
        <v>533.26035274112917</v>
      </c>
      <c r="T181" s="59">
        <f t="shared" si="142"/>
        <v>262.58149402282521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41.322590772294689</v>
      </c>
      <c r="AA181" s="21">
        <f>EXP(-LN(2)/25)*AA180+(1-EXP(-LN(2)/25))/(LN(2)/25)*Calculateur!V181*Calculateur!X181*VLOOKUP('Données projet'!$B$9,Paramètres!$A$1:$I$89,3,0)*0.475*44/12</f>
        <v>17.615891385729846</v>
      </c>
      <c r="AB181" s="21">
        <f>EXP(-LN(2)/2)*AB180+(1-EXP(-LN(2)/2))/(LN(2)/2)*V181*Y181*VLOOKUP('Données projet'!$B$9,Paramètres!$A$1:$I$89,3,0)*0.475*44/12</f>
        <v>4.5061798604218766E-5</v>
      </c>
      <c r="AC181" s="22">
        <f t="shared" si="163"/>
        <v>58.938527219823136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5.4001247917767614E-13</v>
      </c>
      <c r="AJ181" s="13">
        <f>AI181*VLOOKUP('Données projet'!$B$10,Paramètres!$A$1:$I$89,3,0)*VLOOKUP('Données projet'!$B$10,Paramètres!$A$1:$I$89,5,0)</f>
        <v>4.8860329115996133E-13</v>
      </c>
      <c r="AK181" s="13">
        <f t="shared" si="164"/>
        <v>6.1025862939685007E-12</v>
      </c>
      <c r="AL181" s="20">
        <f t="shared" si="165"/>
        <v>1.1479655194098737E-11</v>
      </c>
      <c r="AM181" s="59">
        <f t="shared" si="113"/>
        <v>293.3333333333448</v>
      </c>
      <c r="AN181" s="59">
        <f ca="1">AVERAGE(OFFSET($AM$3,0,0,'Données projet'!$E$10+1,1))-AVERAGE(OFFSET($H$3,0,0,'Données projet'!$E$10+1,1))</f>
        <v>482.62991869403385</v>
      </c>
      <c r="AO181" s="59">
        <f t="shared" si="144"/>
        <v>310.43914804089906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97.463498019173784</v>
      </c>
      <c r="AV181" s="21">
        <f>EXP(-LN(2)/25)*AV180+(1-EXP(-LN(2)/25))/(LN(2)/25)*Calculateur!AQ181*Calculateur!AS181*VLOOKUP('Données projet'!$B$10,Paramètres!$A$1:$I$89,3,0)*0.475*44/12</f>
        <v>14.147898361053018</v>
      </c>
      <c r="AW181" s="21">
        <f>EXP(-LN(2)/2)*AW180+(1-EXP(-LN(2)/2))/(LN(2)/2)*AQ181*AT181*VLOOKUP('Données projet'!$B$10,Paramètres!$A$1:$I$89,3,0)*0.475*44/12</f>
        <v>7.3103327725517905E-2</v>
      </c>
      <c r="AX181" s="21">
        <f t="shared" si="166"/>
        <v>111.68449970795233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384.34044781465661</v>
      </c>
      <c r="BJ181" s="59">
        <f t="shared" si="146"/>
        <v>374.99493809709708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8.1957288943755806</v>
      </c>
      <c r="BQ181" s="21">
        <f>EXP(-LN(2)/25)*BQ180+(1-EXP(-LN(2)/25))/(LN(2)/25)*Calculateur!BL181*Calculateur!BN181*VLOOKUP('Données projet'!$B$11,Paramètres!$A$1:$I$89,3,0)*0.475*44/12</f>
        <v>3.7230478849200708</v>
      </c>
      <c r="BR181" s="21">
        <f>EXP(-LN(2)/2)*BR180+(1-EXP(-LN(2)/2))/(LN(2)/2)*BL181*BO181*VLOOKUP('Données projet'!$B$11,Paramètres!$A$1:$I$89,3,0)*0.475*44/12</f>
        <v>1.2175337818366504E-13</v>
      </c>
      <c r="BS181" s="22">
        <f t="shared" si="169"/>
        <v>11.918776779295774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5.4001247917767614E-13</v>
      </c>
      <c r="BZ181" s="13">
        <f>BY181*VLOOKUP('Données projet'!$B$12,Paramètres!$A$1:$I$89,3,0)*VLOOKUP('Données projet'!$B$12,Paramètres!$A$1:$I$89,5,0)</f>
        <v>5.1387587518547664E-13</v>
      </c>
      <c r="CA181" s="13">
        <f t="shared" si="170"/>
        <v>6.3806716506132977E-12</v>
      </c>
      <c r="CB181" s="20">
        <f t="shared" si="171"/>
        <v>1.2008003607432866E-11</v>
      </c>
      <c r="CC181" s="59">
        <f t="shared" si="119"/>
        <v>293.33333333334531</v>
      </c>
      <c r="CD181" s="59">
        <f ca="1">AVERAGE(OFFSET($CC$3,0,0,'Données projet'!$E$12+1,1))-AVERAGE(OFFSET($H$3,0,0,'Données projet'!$E$12+1,1))</f>
        <v>513.14430745499283</v>
      </c>
      <c r="CE181" s="59">
        <f t="shared" si="148"/>
        <v>324.2490378019823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84.41713832819805</v>
      </c>
      <c r="CL181" s="21">
        <f>EXP(-LN(2)/25)*CL180+(1-EXP(-LN(2)/25))/(LN(2)/25)*Calculateur!CG181*Calculateur!CI181*VLOOKUP('Données projet'!$B$12,Paramètres!$A$1:$I$89,3,0)*0.475*44/12</f>
        <v>13.073759904648274</v>
      </c>
      <c r="CM181" s="21">
        <f>EXP(-LN(2)/2)*CM180+(1-EXP(-LN(2)/2))/(LN(2)/2)*CG181*CJ181*VLOOKUP('Données projet'!$B$12,Paramètres!$A$1:$I$89,3,0)*0.475*44/12</f>
        <v>1.9869060928886795E-2</v>
      </c>
      <c r="CN181" s="22">
        <f t="shared" si="172"/>
        <v>97.510767293775203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-1.1368683772161603E-13</v>
      </c>
      <c r="CU181" s="17">
        <f>CT181*VLOOKUP('Données projet'!$B$13,Paramètres!$A$1:$I$89,3,0)*VLOOKUP('Données projet'!$B$13,Paramètres!$A$1:$I$89,5,0)</f>
        <v>-8.8675733422860506E-14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197.51452239559433</v>
      </c>
      <c r="CZ181" s="59">
        <f t="shared" si="150"/>
        <v>196.65166921588821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3.1829960612192703</v>
      </c>
      <c r="DG181" s="21">
        <f>EXP(-LN(2)/25)*DG180+(1-EXP(-LN(2)/25))/(LN(2)/25)*Calculateur!DB181*Calculateur!DD181*VLOOKUP('Données projet'!$B$13,Paramètres!$A$1:$I$89,3,0)*0.475*44/12</f>
        <v>1.3215574609612997</v>
      </c>
      <c r="DH181" s="21">
        <f>EXP(-LN(2)/2)*DH180+(1-EXP(-LN(2)/2))/(LN(2)/2)*DB181*DE181*VLOOKUP('Données projet'!$B$13,Paramètres!$A$1:$I$89,3,0)*0.475*44/12</f>
        <v>1.5287271060488531E-15</v>
      </c>
      <c r="DI181" s="22">
        <f t="shared" si="175"/>
        <v>4.5045535221805721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>
        <f>DO181*VLOOKUP('Données projet'!$B$14,Paramètres!$A$1:$I$89,3,0)*VLOOKUP('Données projet'!$B$14,Paramètres!$A$1:$I$89,5,0)</f>
        <v>0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239.26156489359892</v>
      </c>
      <c r="DU181" s="59">
        <f t="shared" si="152"/>
        <v>213.97034450798111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1.8928375605313126</v>
      </c>
      <c r="EB181" s="21">
        <f>EXP(-LN(2)/25)*EB180+(1-EXP(-LN(2)/25))/(LN(2)/25)*Calculateur!DW181*Calculateur!DY181*VLOOKUP('Données projet'!$B$14,Paramètres!$A$1:$I$89,3,0)*0.475*44/12</f>
        <v>5.5670264931886182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7.4598640537199312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7.688333333333337</v>
      </c>
      <c r="EJ181" s="12">
        <f>IF('Données projet'!$A$192&gt;35,EJ180+EI181-ER180,IF(A181&lt;'Données projet'!$A$192,$EG$205^A181,IF(A181='Données projet'!$A$192,'Données projet'!$B$192,EJ180+EI181-ER180)))</f>
        <v>441.16333333333301</v>
      </c>
      <c r="EK181" s="17">
        <f>EJ181*VLOOKUP('Données projet'!$B$15,Paramètres!$A$1:$I$89,3,0)*VLOOKUP('Données projet'!$B$15,Paramètres!$A$1:$I$89,5,0)</f>
        <v>440.45747199999965</v>
      </c>
      <c r="EL181" s="13">
        <f t="shared" si="179"/>
        <v>99.932240208475946</v>
      </c>
      <c r="EM181" s="20">
        <f t="shared" si="180"/>
        <v>941.17874876309509</v>
      </c>
      <c r="EN181" s="59">
        <f t="shared" si="128"/>
        <v>1234.5120820964285</v>
      </c>
      <c r="EO181" s="59">
        <f ca="1">AVERAGE(OFFSET($EN$3,0,0,'Données projet'!$E$15+1,1))-AVERAGE(OFFSET($H$3,0,0,'Données projet'!$E$15+1,1))</f>
        <v>525.74725170626471</v>
      </c>
      <c r="EP181" s="59">
        <f t="shared" si="154"/>
        <v>259.19103598192197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40.686858606567071</v>
      </c>
      <c r="EW181" s="21">
        <f>EXP(-LN(2)/25)*EW180+(1-EXP(-LN(2)/25))/(LN(2)/25)*Calculateur!ER181*Calculateur!ET181*VLOOKUP('Données projet'!$B$15,Paramètres!$A$1:$I$89,3,0)*0.475*44/12</f>
        <v>17.344877672103234</v>
      </c>
      <c r="EX181" s="21">
        <f>EXP(-LN(2)/2)*EX180+(1-EXP(-LN(2)/2))/(LN(2)/2)*ER181*EU181*VLOOKUP('Données projet'!$B$15,Paramètres!$A$1:$I$89,3,0)*0.475*44/12</f>
        <v>4.4368540164153891E-5</v>
      </c>
      <c r="EY181" s="22">
        <f t="shared" si="181"/>
        <v>58.031780647210475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7.688333333333337</v>
      </c>
      <c r="N182" s="13">
        <f>IF('Données projet'!$A$36&gt;35,N181+M182-V181,IF(A182&lt;'Données projet'!$A$36,$K$205^A182,IF(A182='Données projet'!$A$36,'Données projet'!$B$36,N181+M182-V181)))</f>
        <v>448.85166666666635</v>
      </c>
      <c r="O182" s="13">
        <f>N182*VLOOKUP('Données projet'!$B$9,Paramètres!$A$1:$I$89,3,0)*VLOOKUP('Données projet'!$B$9,Paramètres!$A$1:$I$89,5,0)</f>
        <v>455.13558999999975</v>
      </c>
      <c r="P182" s="13">
        <f t="shared" si="141"/>
        <v>102.86917887604061</v>
      </c>
      <c r="Q182" s="20">
        <f t="shared" si="162"/>
        <v>971.85830579243668</v>
      </c>
      <c r="R182" s="59">
        <f t="shared" si="109"/>
        <v>1265.1916391257701</v>
      </c>
      <c r="S182" s="59">
        <f ca="1">AVERAGE(OFFSET($R$3,0,0,'Données projet'!$E$9+1,1))-AVERAGE(OFFSET($H$3,0,0,'Données projet'!$E$9+1,1))</f>
        <v>533.26035274112917</v>
      </c>
      <c r="T182" s="59">
        <f t="shared" si="142"/>
        <v>262.58149402282521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40.512279971541645</v>
      </c>
      <c r="AA182" s="21">
        <f>EXP(-LN(2)/25)*AA181+(1-EXP(-LN(2)/25))/(LN(2)/25)*Calculateur!V182*Calculateur!X182*VLOOKUP('Données projet'!$B$9,Paramètres!$A$1:$I$89,3,0)*0.475*44/12</f>
        <v>17.134183909407597</v>
      </c>
      <c r="AB182" s="21">
        <f>EXP(-LN(2)/2)*AB181+(1-EXP(-LN(2)/2))/(LN(2)/2)*V182*Y182*VLOOKUP('Données projet'!$B$9,Paramètres!$A$1:$I$89,3,0)*0.475*44/12</f>
        <v>3.1863503365505592E-5</v>
      </c>
      <c r="AC182" s="22">
        <f t="shared" si="163"/>
        <v>57.646495744452608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5.4001247917767614E-13</v>
      </c>
      <c r="AJ182" s="13">
        <f>AI182*VLOOKUP('Données projet'!$B$10,Paramètres!$A$1:$I$89,3,0)*VLOOKUP('Données projet'!$B$10,Paramètres!$A$1:$I$89,5,0)</f>
        <v>4.8860329115996133E-13</v>
      </c>
      <c r="AK182" s="13">
        <f t="shared" si="164"/>
        <v>6.1025862939685007E-12</v>
      </c>
      <c r="AL182" s="20">
        <f t="shared" si="165"/>
        <v>1.1479655194098737E-11</v>
      </c>
      <c r="AM182" s="59">
        <f t="shared" si="113"/>
        <v>293.3333333333448</v>
      </c>
      <c r="AN182" s="59">
        <f ca="1">AVERAGE(OFFSET($AM$3,0,0,'Données projet'!$E$10+1,1))-AVERAGE(OFFSET($H$3,0,0,'Données projet'!$E$10+1,1))</f>
        <v>482.62991869403385</v>
      </c>
      <c r="AO182" s="59">
        <f t="shared" si="144"/>
        <v>310.43914804089906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95.552298269881689</v>
      </c>
      <c r="AV182" s="21">
        <f>EXP(-LN(2)/25)*AV181+(1-EXP(-LN(2)/25))/(LN(2)/25)*Calculateur!AQ182*Calculateur!AS182*VLOOKUP('Données projet'!$B$10,Paramètres!$A$1:$I$89,3,0)*0.475*44/12</f>
        <v>13.761023336364383</v>
      </c>
      <c r="AW182" s="21">
        <f>EXP(-LN(2)/2)*AW181+(1-EXP(-LN(2)/2))/(LN(2)/2)*AQ182*AT182*VLOOKUP('Données projet'!$B$10,Paramètres!$A$1:$I$89,3,0)*0.475*44/12</f>
        <v>5.1691858762016263E-2</v>
      </c>
      <c r="AX182" s="21">
        <f t="shared" si="166"/>
        <v>109.36501346500809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384.34044781465661</v>
      </c>
      <c r="BJ182" s="59">
        <f t="shared" si="146"/>
        <v>374.99493809709708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8.0350156496579004</v>
      </c>
      <c r="BQ182" s="21">
        <f>EXP(-LN(2)/25)*BQ181+(1-EXP(-LN(2)/25))/(LN(2)/25)*Calculateur!BL182*Calculateur!BN182*VLOOKUP('Données projet'!$B$11,Paramètres!$A$1:$I$89,3,0)*0.475*44/12</f>
        <v>3.6212409447203524</v>
      </c>
      <c r="BR182" s="21">
        <f>EXP(-LN(2)/2)*BR181+(1-EXP(-LN(2)/2))/(LN(2)/2)*BL182*BO182*VLOOKUP('Données projet'!$B$11,Paramètres!$A$1:$I$89,3,0)*0.475*44/12</f>
        <v>8.6092639346039807E-14</v>
      </c>
      <c r="BS182" s="22">
        <f t="shared" si="169"/>
        <v>11.656256594378338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5.4001247917767614E-13</v>
      </c>
      <c r="BZ182" s="13">
        <f>BY182*VLOOKUP('Données projet'!$B$12,Paramètres!$A$1:$I$89,3,0)*VLOOKUP('Données projet'!$B$12,Paramètres!$A$1:$I$89,5,0)</f>
        <v>5.1387587518547664E-13</v>
      </c>
      <c r="CA182" s="13">
        <f t="shared" si="170"/>
        <v>6.3806716506132977E-12</v>
      </c>
      <c r="CB182" s="20">
        <f t="shared" si="171"/>
        <v>1.2008003607432866E-11</v>
      </c>
      <c r="CC182" s="59">
        <f t="shared" si="119"/>
        <v>293.33333333334531</v>
      </c>
      <c r="CD182" s="59">
        <f ca="1">AVERAGE(OFFSET($CC$3,0,0,'Données projet'!$E$12+1,1))-AVERAGE(OFFSET($H$3,0,0,'Données projet'!$E$12+1,1))</f>
        <v>513.14430745499283</v>
      </c>
      <c r="CE182" s="59">
        <f t="shared" si="148"/>
        <v>324.2490378019823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82.76176973495231</v>
      </c>
      <c r="CL182" s="21">
        <f>EXP(-LN(2)/25)*CL181+(1-EXP(-LN(2)/25))/(LN(2)/25)*Calculateur!CG182*Calculateur!CI182*VLOOKUP('Données projet'!$B$12,Paramètres!$A$1:$I$89,3,0)*0.475*44/12</f>
        <v>12.716257252536513</v>
      </c>
      <c r="CM182" s="21">
        <f>EXP(-LN(2)/2)*CM181+(1-EXP(-LN(2)/2))/(LN(2)/2)*CG182*CJ182*VLOOKUP('Données projet'!$B$12,Paramètres!$A$1:$I$89,3,0)*0.475*44/12</f>
        <v>1.4049547718624536E-2</v>
      </c>
      <c r="CN182" s="22">
        <f t="shared" si="172"/>
        <v>95.492076535207445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-1.1368683772161603E-13</v>
      </c>
      <c r="CU182" s="17">
        <f>CT182*VLOOKUP('Données projet'!$B$13,Paramètres!$A$1:$I$89,3,0)*VLOOKUP('Données projet'!$B$13,Paramètres!$A$1:$I$89,5,0)</f>
        <v>-8.8675733422860506E-14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197.51452239559433</v>
      </c>
      <c r="CZ182" s="59">
        <f t="shared" si="150"/>
        <v>196.65166921588821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3.1205794498946569</v>
      </c>
      <c r="DG182" s="21">
        <f>EXP(-LN(2)/25)*DG181+(1-EXP(-LN(2)/25))/(LN(2)/25)*Calculateur!DB182*Calculateur!DD182*VLOOKUP('Données projet'!$B$13,Paramètres!$A$1:$I$89,3,0)*0.475*44/12</f>
        <v>1.2854194026936265</v>
      </c>
      <c r="DH182" s="21">
        <f>EXP(-LN(2)/2)*DH181+(1-EXP(-LN(2)/2))/(LN(2)/2)*DB182*DE182*VLOOKUP('Données projet'!$B$13,Paramètres!$A$1:$I$89,3,0)*0.475*44/12</f>
        <v>1.0809733032708304E-15</v>
      </c>
      <c r="DI182" s="22">
        <f t="shared" si="175"/>
        <v>4.4059988525882838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>
        <f>DO182*VLOOKUP('Données projet'!$B$14,Paramètres!$A$1:$I$89,3,0)*VLOOKUP('Données projet'!$B$14,Paramètres!$A$1:$I$89,5,0)</f>
        <v>0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239.26156489359892</v>
      </c>
      <c r="DU182" s="59">
        <f t="shared" si="152"/>
        <v>213.97034450798111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1.8557201704862063</v>
      </c>
      <c r="EB182" s="21">
        <f>EXP(-LN(2)/25)*EB181+(1-EXP(-LN(2)/25))/(LN(2)/25)*Calculateur!DW182*Calculateur!DY182*VLOOKUP('Données projet'!$B$14,Paramètres!$A$1:$I$89,3,0)*0.475*44/12</f>
        <v>5.4147958609751754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7.2705160314613817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7.688333333333337</v>
      </c>
      <c r="EJ182" s="12">
        <f>IF('Données projet'!$A$192&gt;35,EJ181+EI182-ER181,IF(A182&lt;'Données projet'!$A$192,$EG$205^A182,IF(A182='Données projet'!$A$192,'Données projet'!$B$192,EJ181+EI182-ER181)))</f>
        <v>448.85166666666635</v>
      </c>
      <c r="EK182" s="17">
        <f>EJ182*VLOOKUP('Données projet'!$B$15,Paramètres!$A$1:$I$89,3,0)*VLOOKUP('Données projet'!$B$15,Paramètres!$A$1:$I$89,5,0)</f>
        <v>448.13350399999973</v>
      </c>
      <c r="EL182" s="13">
        <f t="shared" si="179"/>
        <v>101.46953176219213</v>
      </c>
      <c r="EM182" s="20">
        <f t="shared" si="180"/>
        <v>957.22528728581744</v>
      </c>
      <c r="EN182" s="59">
        <f t="shared" si="128"/>
        <v>1250.5586206191508</v>
      </c>
      <c r="EO182" s="59">
        <f ca="1">AVERAGE(OFFSET($EN$3,0,0,'Données projet'!$E$15+1,1))-AVERAGE(OFFSET($H$3,0,0,'Données projet'!$E$15+1,1))</f>
        <v>525.74725170626471</v>
      </c>
      <c r="EP182" s="59">
        <f t="shared" si="154"/>
        <v>259.19103598192197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39.889014125825611</v>
      </c>
      <c r="EW182" s="21">
        <f>EXP(-LN(2)/25)*EW181+(1-EXP(-LN(2)/25))/(LN(2)/25)*Calculateur!ER182*Calculateur!ET182*VLOOKUP('Données projet'!$B$15,Paramètres!$A$1:$I$89,3,0)*0.475*44/12</f>
        <v>16.870581080032096</v>
      </c>
      <c r="EX182" s="21">
        <f>EXP(-LN(2)/2)*EX181+(1-EXP(-LN(2)/2))/(LN(2)/2)*ER182*EU182*VLOOKUP('Données projet'!$B$15,Paramètres!$A$1:$I$89,3,0)*0.475*44/12</f>
        <v>3.137329562142091E-5</v>
      </c>
      <c r="EY182" s="22">
        <f t="shared" si="181"/>
        <v>56.759626579153327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456.54</v>
      </c>
      <c r="L183" s="12">
        <f>VLOOKUP(A183,'Données projet'!$A$35:$I$55,9,0)</f>
        <v>7.688333333333337</v>
      </c>
      <c r="M183" s="12">
        <f t="array" ref="M183">INDEX(L:L,MIN(IF(ISNUMBER(L183:L379),ROW(L183:L379),"")))</f>
        <v>7.688333333333337</v>
      </c>
      <c r="N183" s="13">
        <f>IF('Données projet'!$A$36&gt;35,N182+M183-V182,IF(A183&lt;'Données projet'!$A$36,$K$205^A183,IF(A183='Données projet'!$A$36,'Données projet'!$B$36,N182+M183-V182)))</f>
        <v>456.53999999999968</v>
      </c>
      <c r="O183" s="13">
        <f>N183*VLOOKUP('Données projet'!$B$9,Paramètres!$A$1:$I$89,3,0)*VLOOKUP('Données projet'!$B$9,Paramètres!$A$1:$I$89,5,0)</f>
        <v>462.93155999999971</v>
      </c>
      <c r="P183" s="13">
        <f t="shared" si="141"/>
        <v>104.42457107106746</v>
      </c>
      <c r="Q183" s="20">
        <f t="shared" si="162"/>
        <v>988.145261615442</v>
      </c>
      <c r="R183" s="59">
        <f t="shared" si="109"/>
        <v>1281.4785949487753</v>
      </c>
      <c r="S183" s="59">
        <f ca="1">AVERAGE(OFFSET($R$3,0,0,'Données projet'!$E$9+1,1))-AVERAGE(OFFSET($H$3,0,0,'Données projet'!$E$9+1,1))</f>
        <v>533.26035274112917</v>
      </c>
      <c r="T183" s="59">
        <f t="shared" si="142"/>
        <v>262.58149402282521</v>
      </c>
      <c r="U183" s="15">
        <f>IF(ISNA(VLOOKUP(A183,'Données projet'!$A$35:$I$55,3,0)),0,VLOOKUP(A183,'Données projet'!$A$35:$I$55,3,0))</f>
        <v>13</v>
      </c>
      <c r="V183" s="15">
        <f>IF(ISNA(VLOOKUP(A183,'Données projet'!$A$35:$I$55,4,0)),0,VLOOKUP(A183,'Données projet'!$A$35:$I$55,4,0))</f>
        <v>175.59000000000003</v>
      </c>
      <c r="W183" s="16">
        <f>IF(ISNA(VLOOKUP(A183,'Données projet'!$A$35:$I$55,5,0)),0%,VLOOKUP(A183,'Données projet'!$A$35:$I$55,5,0)*VLOOKUP('Données projet'!$B$9,Paramètres!$A$1:$I$89,7,0))</f>
        <v>0.215</v>
      </c>
      <c r="X183" s="16">
        <f>IF(ISNA(VLOOKUP(A183,'Données projet'!$A$35:$I$55,6,0)),0%,VLOOKUP(A183,'Données projet'!$A$35:$I$55,6,0)*VLOOKUP('Données projet'!$B$9,Paramètres!$A$1:$I$89,7,0))</f>
        <v>8.6000000000000007E-2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82.035680546187592</v>
      </c>
      <c r="AA183" s="21">
        <f>EXP(-LN(2)/25)*AA182+(1-EXP(-LN(2)/25))/(LN(2)/25)*Calculateur!V183*Calculateur!X183*VLOOKUP('Données projet'!$B$9,Paramètres!$A$1:$I$89,3,0)*0.475*44/12</f>
        <v>33.526128863976865</v>
      </c>
      <c r="AB183" s="21">
        <f>EXP(-LN(2)/2)*AB182+(1-EXP(-LN(2)/2))/(LN(2)/2)*V183*Y183*VLOOKUP('Données projet'!$B$9,Paramètres!$A$1:$I$89,3,0)*0.475*44/12</f>
        <v>2.2530899302109383E-5</v>
      </c>
      <c r="AC183" s="22">
        <f t="shared" si="163"/>
        <v>115.56183194106376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5.4001247917767614E-13</v>
      </c>
      <c r="AJ183" s="13">
        <f>AI183*VLOOKUP('Données projet'!$B$10,Paramètres!$A$1:$I$89,3,0)*VLOOKUP('Données projet'!$B$10,Paramètres!$A$1:$I$89,5,0)</f>
        <v>4.8860329115996133E-13</v>
      </c>
      <c r="AK183" s="13">
        <f t="shared" si="164"/>
        <v>6.1025862939685007E-12</v>
      </c>
      <c r="AL183" s="20">
        <f t="shared" si="165"/>
        <v>1.1479655194098737E-11</v>
      </c>
      <c r="AM183" s="59">
        <f t="shared" si="113"/>
        <v>293.3333333333448</v>
      </c>
      <c r="AN183" s="59">
        <f ca="1">AVERAGE(OFFSET($AM$3,0,0,'Données projet'!$E$10+1,1))-AVERAGE(OFFSET($H$3,0,0,'Données projet'!$E$10+1,1))</f>
        <v>482.62991869403385</v>
      </c>
      <c r="AO183" s="59">
        <f t="shared" si="144"/>
        <v>310.43914804089906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93.67857598195647</v>
      </c>
      <c r="AV183" s="21">
        <f>EXP(-LN(2)/25)*AV182+(1-EXP(-LN(2)/25))/(LN(2)/25)*Calculateur!AQ183*Calculateur!AS183*VLOOKUP('Données projet'!$B$10,Paramètres!$A$1:$I$89,3,0)*0.475*44/12</f>
        <v>13.384727429570733</v>
      </c>
      <c r="AW183" s="21">
        <f>EXP(-LN(2)/2)*AW182+(1-EXP(-LN(2)/2))/(LN(2)/2)*AQ183*AT183*VLOOKUP('Données projet'!$B$10,Paramètres!$A$1:$I$89,3,0)*0.475*44/12</f>
        <v>3.6551663862758953E-2</v>
      </c>
      <c r="AX183" s="21">
        <f t="shared" si="166"/>
        <v>107.09985507538995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384.34044781465661</v>
      </c>
      <c r="BJ183" s="59">
        <f t="shared" si="146"/>
        <v>374.99493809709708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7.8774538936437342</v>
      </c>
      <c r="BQ183" s="21">
        <f>EXP(-LN(2)/25)*BQ182+(1-EXP(-LN(2)/25))/(LN(2)/25)*Calculateur!BL183*Calculateur!BN183*VLOOKUP('Données projet'!$B$11,Paramètres!$A$1:$I$89,3,0)*0.475*44/12</f>
        <v>3.5222179206541897</v>
      </c>
      <c r="BR183" s="21">
        <f>EXP(-LN(2)/2)*BR182+(1-EXP(-LN(2)/2))/(LN(2)/2)*BL183*BO183*VLOOKUP('Données projet'!$B$11,Paramètres!$A$1:$I$89,3,0)*0.475*44/12</f>
        <v>6.087668909183252E-14</v>
      </c>
      <c r="BS183" s="22">
        <f t="shared" si="169"/>
        <v>11.399671814297985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5.4001247917767614E-13</v>
      </c>
      <c r="BZ183" s="13">
        <f>BY183*VLOOKUP('Données projet'!$B$12,Paramètres!$A$1:$I$89,3,0)*VLOOKUP('Données projet'!$B$12,Paramètres!$A$1:$I$89,5,0)</f>
        <v>5.1387587518547664E-13</v>
      </c>
      <c r="CA183" s="13">
        <f t="shared" si="170"/>
        <v>6.3806716506132977E-12</v>
      </c>
      <c r="CB183" s="20">
        <f t="shared" si="171"/>
        <v>1.2008003607432866E-11</v>
      </c>
      <c r="CC183" s="59">
        <f t="shared" si="119"/>
        <v>293.33333333334531</v>
      </c>
      <c r="CD183" s="59">
        <f ca="1">AVERAGE(OFFSET($CC$3,0,0,'Données projet'!$E$12+1,1))-AVERAGE(OFFSET($H$3,0,0,'Données projet'!$E$12+1,1))</f>
        <v>513.14430745499283</v>
      </c>
      <c r="CE183" s="59">
        <f t="shared" si="148"/>
        <v>324.2490378019823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81.138861910144982</v>
      </c>
      <c r="CL183" s="21">
        <f>EXP(-LN(2)/25)*CL182+(1-EXP(-LN(2)/25))/(LN(2)/25)*Calculateur!CG183*Calculateur!CI183*VLOOKUP('Données projet'!$B$12,Paramètres!$A$1:$I$89,3,0)*0.475*44/12</f>
        <v>12.368530529246996</v>
      </c>
      <c r="CM183" s="21">
        <f>EXP(-LN(2)/2)*CM182+(1-EXP(-LN(2)/2))/(LN(2)/2)*CG183*CJ183*VLOOKUP('Données projet'!$B$12,Paramètres!$A$1:$I$89,3,0)*0.475*44/12</f>
        <v>9.9345304644433974E-3</v>
      </c>
      <c r="CN183" s="22">
        <f t="shared" si="172"/>
        <v>93.517326969856427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-1.1368683772161603E-13</v>
      </c>
      <c r="CU183" s="17">
        <f>CT183*VLOOKUP('Données projet'!$B$13,Paramètres!$A$1:$I$89,3,0)*VLOOKUP('Données projet'!$B$13,Paramètres!$A$1:$I$89,5,0)</f>
        <v>-8.8675733422860506E-14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197.51452239559433</v>
      </c>
      <c r="CZ183" s="59">
        <f t="shared" si="150"/>
        <v>196.65166921588821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3.0593867902477454</v>
      </c>
      <c r="DG183" s="21">
        <f>EXP(-LN(2)/25)*DG182+(1-EXP(-LN(2)/25))/(LN(2)/25)*Calculateur!DB183*Calculateur!DD183*VLOOKUP('Données projet'!$B$13,Paramètres!$A$1:$I$89,3,0)*0.475*44/12</f>
        <v>1.2502695415297007</v>
      </c>
      <c r="DH183" s="21">
        <f>EXP(-LN(2)/2)*DH182+(1-EXP(-LN(2)/2))/(LN(2)/2)*DB183*DE183*VLOOKUP('Données projet'!$B$13,Paramètres!$A$1:$I$89,3,0)*0.475*44/12</f>
        <v>7.6436355302442656E-16</v>
      </c>
      <c r="DI183" s="22">
        <f t="shared" si="175"/>
        <v>4.3096563317774468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>
        <f>DO183*VLOOKUP('Données projet'!$B$14,Paramètres!$A$1:$I$89,3,0)*VLOOKUP('Données projet'!$B$14,Paramètres!$A$1:$I$89,5,0)</f>
        <v>0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239.26156489359892</v>
      </c>
      <c r="DU183" s="59">
        <f t="shared" si="152"/>
        <v>213.97034450798111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1.8193306298205121</v>
      </c>
      <c r="EB183" s="21">
        <f>EXP(-LN(2)/25)*EB182+(1-EXP(-LN(2)/25))/(LN(2)/25)*Calculateur!DW183*Calculateur!DY183*VLOOKUP('Données projet'!$B$14,Paramètres!$A$1:$I$89,3,0)*0.475*44/12</f>
        <v>5.2667279834050706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7.0860586132255827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>
        <f>VLOOKUP(A183,'Données projet'!$A$191:$I$211,2,0)</f>
        <v>456.54</v>
      </c>
      <c r="EH183" s="12">
        <f>VLOOKUP(A183,'Données projet'!$A$191:$I$211,9,0)</f>
        <v>7.688333333333337</v>
      </c>
      <c r="EI183" s="12">
        <f t="array" ref="EI183">INDEX(EH:EH,MIN(IF(ISNUMBER(EH183:EH379),ROW(EH183:EH379),"")))</f>
        <v>7.688333333333337</v>
      </c>
      <c r="EJ183" s="12">
        <f>IF('Données projet'!$A$192&gt;35,EJ182+EI183-ER182,IF(A183&lt;'Données projet'!$A$192,$EG$205^A183,IF(A183='Données projet'!$A$192,'Données projet'!$B$192,EJ182+EI183-ER182)))</f>
        <v>456.53999999999968</v>
      </c>
      <c r="EK183" s="17">
        <f>EJ183*VLOOKUP('Données projet'!$B$15,Paramètres!$A$1:$I$89,3,0)*VLOOKUP('Données projet'!$B$15,Paramètres!$A$1:$I$89,5,0)</f>
        <v>455.8095359999997</v>
      </c>
      <c r="EL183" s="13">
        <f t="shared" si="179"/>
        <v>103.00376115393361</v>
      </c>
      <c r="EM183" s="20">
        <f t="shared" si="180"/>
        <v>973.26649254310041</v>
      </c>
      <c r="EN183" s="59">
        <f t="shared" si="128"/>
        <v>1266.5998258764337</v>
      </c>
      <c r="EO183" s="59">
        <f ca="1">AVERAGE(OFFSET($EN$3,0,0,'Données projet'!$E$15+1,1))-AVERAGE(OFFSET($H$3,0,0,'Données projet'!$E$15+1,1))</f>
        <v>525.74725170626471</v>
      </c>
      <c r="EP183" s="59">
        <f t="shared" si="154"/>
        <v>259.19103598192197</v>
      </c>
      <c r="EQ183" s="15">
        <f>IF(ISNA(VLOOKUP(A183,'Données projet'!$A$191:$I$211,3,0)),0,VLOOKUP(A183,'Données projet'!$A$191:$I$211,3,0))</f>
        <v>13</v>
      </c>
      <c r="ER183" s="15">
        <f>IF(ISNA(VLOOKUP(A183,'Données projet'!$A$191:$I$211,4,0)),0,VLOOKUP(A183,'Données projet'!$A$191:$I$211,4,0))</f>
        <v>175.59000000000003</v>
      </c>
      <c r="ES183" s="16">
        <f>IF(ISNA(VLOOKUP(A183,'Données projet'!$A$191:$I$211,5,0)),0%,VLOOKUP(A183,'Données projet'!$A$191:$I$211,5,0)*VLOOKUP('Données projet'!$B$15,Paramètres!$A$1:$I$89,7,0))</f>
        <v>0.215</v>
      </c>
      <c r="ET183" s="16">
        <f>IF(ISNA(VLOOKUP(A183,'Données projet'!$A$191:$I$211,6,0)),0%,VLOOKUP(A183,'Données projet'!$A$191:$I$211,6,0)*VLOOKUP('Données projet'!$B$15,Paramètres!$A$1:$I$89,7,0))</f>
        <v>8.6000000000000007E-2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80.773593153169315</v>
      </c>
      <c r="EW183" s="21">
        <f>EXP(-LN(2)/25)*EW182+(1-EXP(-LN(2)/25))/(LN(2)/25)*Calculateur!ER183*Calculateur!ET183*VLOOKUP('Données projet'!$B$15,Paramètres!$A$1:$I$89,3,0)*0.475*44/12</f>
        <v>33.010342266069536</v>
      </c>
      <c r="EX183" s="21">
        <f>EXP(-LN(2)/2)*EX182+(1-EXP(-LN(2)/2))/(LN(2)/2)*ER183*EU183*VLOOKUP('Données projet'!$B$15,Paramètres!$A$1:$I$89,3,0)*0.475*44/12</f>
        <v>2.2184270082076945E-5</v>
      </c>
      <c r="EY183" s="22">
        <f t="shared" si="181"/>
        <v>113.78395760350892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4.7974999999999994</v>
      </c>
      <c r="N184" s="13">
        <f>IF('Données projet'!$A$36&gt;35,N183+M184-V183,IF(A184&lt;'Données projet'!$A$36,$K$205^A184,IF(A184='Données projet'!$A$36,'Données projet'!$B$36,N183+M184-V183)))</f>
        <v>285.74749999999966</v>
      </c>
      <c r="O184" s="13">
        <f>N184*VLOOKUP('Données projet'!$B$9,Paramètres!$A$1:$I$89,3,0)*VLOOKUP('Données projet'!$B$9,Paramètres!$A$1:$I$89,5,0)</f>
        <v>289.74796499999968</v>
      </c>
      <c r="P184" s="13">
        <f t="shared" si="141"/>
        <v>69.022913217160536</v>
      </c>
      <c r="Q184" s="20">
        <f t="shared" si="162"/>
        <v>624.85927956155399</v>
      </c>
      <c r="R184" s="59">
        <f t="shared" si="109"/>
        <v>918.19261289488736</v>
      </c>
      <c r="S184" s="59">
        <f ca="1">AVERAGE(OFFSET($R$3,0,0,'Données projet'!$E$9+1,1))-AVERAGE(OFFSET($H$3,0,0,'Données projet'!$E$9+1,1))</f>
        <v>533.26035274112917</v>
      </c>
      <c r="T184" s="59">
        <f t="shared" si="142"/>
        <v>262.58149402282521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80.427010887501254</v>
      </c>
      <c r="AA184" s="21">
        <f>EXP(-LN(2)/25)*AA183+(1-EXP(-LN(2)/25))/(LN(2)/25)*Calculateur!V184*Calculateur!X184*VLOOKUP('Données projet'!$B$9,Paramètres!$A$1:$I$89,3,0)*0.475*44/12</f>
        <v>32.609355107128927</v>
      </c>
      <c r="AB184" s="21">
        <f>EXP(-LN(2)/2)*AB183+(1-EXP(-LN(2)/2))/(LN(2)/2)*V184*Y184*VLOOKUP('Données projet'!$B$9,Paramètres!$A$1:$I$89,3,0)*0.475*44/12</f>
        <v>1.5931751682752796E-5</v>
      </c>
      <c r="AC184" s="22">
        <f t="shared" si="163"/>
        <v>113.03638192638186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5.4001247917767614E-13</v>
      </c>
      <c r="AJ184" s="13">
        <f>AI184*VLOOKUP('Données projet'!$B$10,Paramètres!$A$1:$I$89,3,0)*VLOOKUP('Données projet'!$B$10,Paramètres!$A$1:$I$89,5,0)</f>
        <v>4.8860329115996133E-13</v>
      </c>
      <c r="AK184" s="13">
        <f t="shared" si="164"/>
        <v>6.1025862939685007E-12</v>
      </c>
      <c r="AL184" s="20">
        <f t="shared" si="165"/>
        <v>1.1479655194098737E-11</v>
      </c>
      <c r="AM184" s="59">
        <f t="shared" si="113"/>
        <v>293.3333333333448</v>
      </c>
      <c r="AN184" s="59">
        <f ca="1">AVERAGE(OFFSET($AM$3,0,0,'Données projet'!$E$10+1,1))-AVERAGE(OFFSET($H$3,0,0,'Données projet'!$E$10+1,1))</f>
        <v>482.62991869403385</v>
      </c>
      <c r="AO184" s="59">
        <f t="shared" si="144"/>
        <v>310.43914804089906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91.841596245239714</v>
      </c>
      <c r="AV184" s="21">
        <f>EXP(-LN(2)/25)*AV183+(1-EXP(-LN(2)/25))/(LN(2)/25)*Calculateur!AQ184*Calculateur!AS184*VLOOKUP('Données projet'!$B$10,Paramètres!$A$1:$I$89,3,0)*0.475*44/12</f>
        <v>13.018721354136897</v>
      </c>
      <c r="AW184" s="21">
        <f>EXP(-LN(2)/2)*AW183+(1-EXP(-LN(2)/2))/(LN(2)/2)*AQ184*AT184*VLOOKUP('Données projet'!$B$10,Paramètres!$A$1:$I$89,3,0)*0.475*44/12</f>
        <v>2.5845929381008131E-2</v>
      </c>
      <c r="AX184" s="21">
        <f t="shared" si="166"/>
        <v>104.88616352875762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384.34044781465661</v>
      </c>
      <c r="BJ184" s="59">
        <f t="shared" si="146"/>
        <v>374.99493809709708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7.7229818275618234</v>
      </c>
      <c r="BQ184" s="21">
        <f>EXP(-LN(2)/25)*BQ183+(1-EXP(-LN(2)/25))/(LN(2)/25)*Calculateur!BL184*Calculateur!BN184*VLOOKUP('Données projet'!$B$11,Paramètres!$A$1:$I$89,3,0)*0.475*44/12</f>
        <v>3.4259026863885107</v>
      </c>
      <c r="BR184" s="21">
        <f>EXP(-LN(2)/2)*BR183+(1-EXP(-LN(2)/2))/(LN(2)/2)*BL184*BO184*VLOOKUP('Données projet'!$B$11,Paramètres!$A$1:$I$89,3,0)*0.475*44/12</f>
        <v>4.3046319673019903E-14</v>
      </c>
      <c r="BS184" s="22">
        <f t="shared" si="169"/>
        <v>11.148884513950376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5.4001247917767614E-13</v>
      </c>
      <c r="BZ184" s="13">
        <f>BY184*VLOOKUP('Données projet'!$B$12,Paramètres!$A$1:$I$89,3,0)*VLOOKUP('Données projet'!$B$12,Paramètres!$A$1:$I$89,5,0)</f>
        <v>5.1387587518547664E-13</v>
      </c>
      <c r="CA184" s="13">
        <f t="shared" si="170"/>
        <v>6.3806716506132977E-12</v>
      </c>
      <c r="CB184" s="20">
        <f t="shared" si="171"/>
        <v>1.2008003607432866E-11</v>
      </c>
      <c r="CC184" s="59">
        <f t="shared" si="119"/>
        <v>293.33333333334531</v>
      </c>
      <c r="CD184" s="59">
        <f ca="1">AVERAGE(OFFSET($CC$3,0,0,'Données projet'!$E$12+1,1))-AVERAGE(OFFSET($H$3,0,0,'Données projet'!$E$12+1,1))</f>
        <v>513.14430745499283</v>
      </c>
      <c r="CE184" s="59">
        <f t="shared" si="148"/>
        <v>324.2490378019823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79.547778317906094</v>
      </c>
      <c r="CL184" s="21">
        <f>EXP(-LN(2)/25)*CL183+(1-EXP(-LN(2)/25))/(LN(2)/25)*Calculateur!CG184*Calculateur!CI184*VLOOKUP('Données projet'!$B$12,Paramètres!$A$1:$I$89,3,0)*0.475*44/12</f>
        <v>12.030312411491986</v>
      </c>
      <c r="CM184" s="21">
        <f>EXP(-LN(2)/2)*CM183+(1-EXP(-LN(2)/2))/(LN(2)/2)*CG184*CJ184*VLOOKUP('Données projet'!$B$12,Paramètres!$A$1:$I$89,3,0)*0.475*44/12</f>
        <v>7.0247738593122678E-3</v>
      </c>
      <c r="CN184" s="22">
        <f t="shared" si="172"/>
        <v>91.585115503257398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-1.1368683772161603E-13</v>
      </c>
      <c r="CU184" s="17">
        <f>CT184*VLOOKUP('Données projet'!$B$13,Paramètres!$A$1:$I$89,3,0)*VLOOKUP('Données projet'!$B$13,Paramètres!$A$1:$I$89,5,0)</f>
        <v>-8.8675733422860506E-14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197.51452239559433</v>
      </c>
      <c r="CZ184" s="59">
        <f t="shared" si="150"/>
        <v>196.65166921588821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2.9993940813326727</v>
      </c>
      <c r="DG184" s="21">
        <f>EXP(-LN(2)/25)*DG183+(1-EXP(-LN(2)/25))/(LN(2)/25)*Calculateur!DB184*Calculateur!DD184*VLOOKUP('Données projet'!$B$13,Paramètres!$A$1:$I$89,3,0)*0.475*44/12</f>
        <v>1.2160808551677533</v>
      </c>
      <c r="DH184" s="21">
        <f>EXP(-LN(2)/2)*DH183+(1-EXP(-LN(2)/2))/(LN(2)/2)*DB184*DE184*VLOOKUP('Données projet'!$B$13,Paramètres!$A$1:$I$89,3,0)*0.475*44/12</f>
        <v>5.404866516354152E-16</v>
      </c>
      <c r="DI184" s="22">
        <f t="shared" si="175"/>
        <v>4.2154749365004269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>
        <f>DO184*VLOOKUP('Données projet'!$B$14,Paramètres!$A$1:$I$89,3,0)*VLOOKUP('Données projet'!$B$14,Paramètres!$A$1:$I$89,5,0)</f>
        <v>0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239.26156489359892</v>
      </c>
      <c r="DU184" s="59">
        <f t="shared" si="152"/>
        <v>213.97034450798111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1.783654665851844</v>
      </c>
      <c r="EB184" s="21">
        <f>EXP(-LN(2)/25)*EB183+(1-EXP(-LN(2)/25))/(LN(2)/25)*Calculateur!DW184*Calculateur!DY184*VLOOKUP('Données projet'!$B$14,Paramètres!$A$1:$I$89,3,0)*0.475*44/12</f>
        <v>5.1227090297336719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6.9063636955855161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4.7974999999999994</v>
      </c>
      <c r="EJ184" s="12">
        <f>IF('Données projet'!$A$192&gt;35,EJ183+EI184-ER183,IF(A184&lt;'Données projet'!$A$192,$EG$205^A184,IF(A184='Données projet'!$A$192,'Données projet'!$B$192,EJ183+EI184-ER183)))</f>
        <v>285.74749999999966</v>
      </c>
      <c r="EK184" s="17">
        <f>EJ184*VLOOKUP('Données projet'!$B$15,Paramètres!$A$1:$I$89,3,0)*VLOOKUP('Données projet'!$B$15,Paramètres!$A$1:$I$89,5,0)</f>
        <v>285.29030399999971</v>
      </c>
      <c r="EL184" s="13">
        <f t="shared" si="179"/>
        <v>68.083781376804026</v>
      </c>
      <c r="EM184" s="20">
        <f t="shared" si="180"/>
        <v>615.45986536459986</v>
      </c>
      <c r="EN184" s="59">
        <f t="shared" si="128"/>
        <v>908.79319869793312</v>
      </c>
      <c r="EO184" s="59">
        <f ca="1">AVERAGE(OFFSET($EN$3,0,0,'Données projet'!$E$15+1,1))-AVERAGE(OFFSET($H$3,0,0,'Données projet'!$E$15+1,1))</f>
        <v>525.74725170626471</v>
      </c>
      <c r="EP184" s="59">
        <f t="shared" si="154"/>
        <v>259.19103598192197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79.189672258462778</v>
      </c>
      <c r="EW184" s="21">
        <f>EXP(-LN(2)/25)*EW183+(1-EXP(-LN(2)/25))/(LN(2)/25)*Calculateur!ER184*Calculateur!ET184*VLOOKUP('Données projet'!$B$15,Paramètres!$A$1:$I$89,3,0)*0.475*44/12</f>
        <v>32.107672720865409</v>
      </c>
      <c r="EX184" s="21">
        <f>EXP(-LN(2)/2)*EX183+(1-EXP(-LN(2)/2))/(LN(2)/2)*ER184*EU184*VLOOKUP('Données projet'!$B$15,Paramètres!$A$1:$I$89,3,0)*0.475*44/12</f>
        <v>1.5686647810710455E-5</v>
      </c>
      <c r="EY184" s="22">
        <f t="shared" si="181"/>
        <v>111.297360665976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4.7974999999999994</v>
      </c>
      <c r="N185" s="13">
        <f>IF('Données projet'!$A$36&gt;35,N184+M185-V184,IF(A185&lt;'Données projet'!$A$36,$K$205^A185,IF(A185='Données projet'!$A$36,'Données projet'!$B$36,N184+M185-V184)))</f>
        <v>290.54499999999967</v>
      </c>
      <c r="O185" s="13">
        <f>N185*VLOOKUP('Données projet'!$B$9,Paramètres!$A$1:$I$89,3,0)*VLOOKUP('Données projet'!$B$9,Paramètres!$A$1:$I$89,5,0)</f>
        <v>294.61262999999968</v>
      </c>
      <c r="P185" s="13">
        <f t="shared" si="141"/>
        <v>70.045875436649951</v>
      </c>
      <c r="Q185" s="20">
        <f t="shared" si="162"/>
        <v>635.11356363549817</v>
      </c>
      <c r="R185" s="59">
        <f t="shared" si="109"/>
        <v>928.44689696883142</v>
      </c>
      <c r="S185" s="59">
        <f ca="1">AVERAGE(OFFSET($R$3,0,0,'Données projet'!$E$9+1,1))-AVERAGE(OFFSET($H$3,0,0,'Données projet'!$E$9+1,1))</f>
        <v>533.26035274112917</v>
      </c>
      <c r="T185" s="59">
        <f t="shared" si="142"/>
        <v>262.58149402282521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78.849886259630154</v>
      </c>
      <c r="AA185" s="21">
        <f>EXP(-LN(2)/25)*AA184+(1-EXP(-LN(2)/25))/(LN(2)/25)*Calculateur!V185*Calculateur!X185*VLOOKUP('Données projet'!$B$9,Paramètres!$A$1:$I$89,3,0)*0.475*44/12</f>
        <v>31.71765057687303</v>
      </c>
      <c r="AB185" s="21">
        <f>EXP(-LN(2)/2)*AB184+(1-EXP(-LN(2)/2))/(LN(2)/2)*V185*Y185*VLOOKUP('Données projet'!$B$9,Paramètres!$A$1:$I$89,3,0)*0.475*44/12</f>
        <v>1.1265449651054692E-5</v>
      </c>
      <c r="AC185" s="22">
        <f t="shared" si="163"/>
        <v>110.56754810195284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5.4001247917767614E-13</v>
      </c>
      <c r="AJ185" s="13">
        <f>AI185*VLOOKUP('Données projet'!$B$10,Paramètres!$A$1:$I$89,3,0)*VLOOKUP('Données projet'!$B$10,Paramètres!$A$1:$I$89,5,0)</f>
        <v>4.8860329115996133E-13</v>
      </c>
      <c r="AK185" s="13">
        <f t="shared" si="164"/>
        <v>6.1025862939685007E-12</v>
      </c>
      <c r="AL185" s="20">
        <f t="shared" si="165"/>
        <v>1.1479655194098737E-11</v>
      </c>
      <c r="AM185" s="59">
        <f t="shared" si="113"/>
        <v>293.3333333333448</v>
      </c>
      <c r="AN185" s="59">
        <f ca="1">AVERAGE(OFFSET($AM$3,0,0,'Données projet'!$E$10+1,1))-AVERAGE(OFFSET($H$3,0,0,'Données projet'!$E$10+1,1))</f>
        <v>482.62991869403385</v>
      </c>
      <c r="AO185" s="59">
        <f t="shared" si="144"/>
        <v>310.43914804089906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90.040638560712964</v>
      </c>
      <c r="AV185" s="21">
        <f>EXP(-LN(2)/25)*AV184+(1-EXP(-LN(2)/25))/(LN(2)/25)*Calculateur!AQ185*Calculateur!AS185*VLOOKUP('Données projet'!$B$10,Paramètres!$A$1:$I$89,3,0)*0.475*44/12</f>
        <v>12.662723734083222</v>
      </c>
      <c r="AW185" s="21">
        <f>EXP(-LN(2)/2)*AW184+(1-EXP(-LN(2)/2))/(LN(2)/2)*AQ185*AT185*VLOOKUP('Données projet'!$B$10,Paramètres!$A$1:$I$89,3,0)*0.475*44/12</f>
        <v>1.8275831931379476E-2</v>
      </c>
      <c r="AX185" s="21">
        <f t="shared" si="166"/>
        <v>102.72163812672757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384.34044781465661</v>
      </c>
      <c r="BJ185" s="59">
        <f t="shared" si="146"/>
        <v>374.99493809709708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7.5715388644771222</v>
      </c>
      <c r="BQ185" s="21">
        <f>EXP(-LN(2)/25)*BQ184+(1-EXP(-LN(2)/25))/(LN(2)/25)*Calculateur!BL185*Calculateur!BN185*VLOOKUP('Données projet'!$B$11,Paramètres!$A$1:$I$89,3,0)*0.475*44/12</f>
        <v>3.3322211972688245</v>
      </c>
      <c r="BR185" s="21">
        <f>EXP(-LN(2)/2)*BR184+(1-EXP(-LN(2)/2))/(LN(2)/2)*BL185*BO185*VLOOKUP('Données projet'!$B$11,Paramètres!$A$1:$I$89,3,0)*0.475*44/12</f>
        <v>3.043834454591626E-14</v>
      </c>
      <c r="BS185" s="22">
        <f t="shared" si="169"/>
        <v>10.903760061745977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5.4001247917767614E-13</v>
      </c>
      <c r="BZ185" s="13">
        <f>BY185*VLOOKUP('Données projet'!$B$12,Paramètres!$A$1:$I$89,3,0)*VLOOKUP('Données projet'!$B$12,Paramètres!$A$1:$I$89,5,0)</f>
        <v>5.1387587518547664E-13</v>
      </c>
      <c r="CA185" s="13">
        <f t="shared" si="170"/>
        <v>6.3806716506132977E-12</v>
      </c>
      <c r="CB185" s="20">
        <f t="shared" si="171"/>
        <v>1.2008003607432866E-11</v>
      </c>
      <c r="CC185" s="59">
        <f t="shared" si="119"/>
        <v>293.33333333334531</v>
      </c>
      <c r="CD185" s="59">
        <f ca="1">AVERAGE(OFFSET($CC$3,0,0,'Données projet'!$E$12+1,1))-AVERAGE(OFFSET($H$3,0,0,'Données projet'!$E$12+1,1))</f>
        <v>513.14430745499283</v>
      </c>
      <c r="CE185" s="59">
        <f t="shared" si="148"/>
        <v>324.2490378019823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77.987894904445838</v>
      </c>
      <c r="CL185" s="21">
        <f>EXP(-LN(2)/25)*CL184+(1-EXP(-LN(2)/25))/(LN(2)/25)*Calculateur!CG185*Calculateur!CI185*VLOOKUP('Données projet'!$B$12,Paramètres!$A$1:$I$89,3,0)*0.475*44/12</f>
        <v>11.701342885953103</v>
      </c>
      <c r="CM185" s="21">
        <f>EXP(-LN(2)/2)*CM184+(1-EXP(-LN(2)/2))/(LN(2)/2)*CG185*CJ185*VLOOKUP('Données projet'!$B$12,Paramètres!$A$1:$I$89,3,0)*0.475*44/12</f>
        <v>4.9672652322216987E-3</v>
      </c>
      <c r="CN185" s="22">
        <f t="shared" si="172"/>
        <v>89.694205055631173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-1.1368683772161603E-13</v>
      </c>
      <c r="CU185" s="17">
        <f>CT185*VLOOKUP('Données projet'!$B$13,Paramètres!$A$1:$I$89,3,0)*VLOOKUP('Données projet'!$B$13,Paramètres!$A$1:$I$89,5,0)</f>
        <v>-8.8675733422860506E-14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197.51452239559433</v>
      </c>
      <c r="CZ185" s="59">
        <f t="shared" si="150"/>
        <v>196.65166921588821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2.9405777928474857</v>
      </c>
      <c r="DG185" s="21">
        <f>EXP(-LN(2)/25)*DG184+(1-EXP(-LN(2)/25))/(LN(2)/25)*Calculateur!DB185*Calculateur!DD185*VLOOKUP('Données projet'!$B$13,Paramètres!$A$1:$I$89,3,0)*0.475*44/12</f>
        <v>1.1828270602322783</v>
      </c>
      <c r="DH185" s="21">
        <f>EXP(-LN(2)/2)*DH184+(1-EXP(-LN(2)/2))/(LN(2)/2)*DB185*DE185*VLOOKUP('Données projet'!$B$13,Paramètres!$A$1:$I$89,3,0)*0.475*44/12</f>
        <v>3.8218177651221328E-16</v>
      </c>
      <c r="DI185" s="22">
        <f t="shared" si="175"/>
        <v>4.123404853079764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>
        <f>DO185*VLOOKUP('Données projet'!$B$14,Paramètres!$A$1:$I$89,3,0)*VLOOKUP('Données projet'!$B$14,Paramètres!$A$1:$I$89,5,0)</f>
        <v>0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239.26156489359892</v>
      </c>
      <c r="DU185" s="59">
        <f t="shared" si="152"/>
        <v>213.97034450798111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1.748678285776412</v>
      </c>
      <c r="EB185" s="21">
        <f>EXP(-LN(2)/25)*EB184+(1-EXP(-LN(2)/25))/(LN(2)/25)*Calculateur!DW185*Calculateur!DY185*VLOOKUP('Données projet'!$B$14,Paramètres!$A$1:$I$89,3,0)*0.475*44/12</f>
        <v>4.9826282819240451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6.7313065677004573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4.7974999999999994</v>
      </c>
      <c r="EJ185" s="12">
        <f>IF('Données projet'!$A$192&gt;35,EJ184+EI185-ER184,IF(A185&lt;'Données projet'!$A$192,$EG$205^A185,IF(A185='Données projet'!$A$192,'Données projet'!$B$192,EJ184+EI185-ER184)))</f>
        <v>290.54499999999967</v>
      </c>
      <c r="EK185" s="17">
        <f>EJ185*VLOOKUP('Données projet'!$B$15,Paramètres!$A$1:$I$89,3,0)*VLOOKUP('Données projet'!$B$15,Paramètres!$A$1:$I$89,5,0)</f>
        <v>290.08012799999972</v>
      </c>
      <c r="EL185" s="13">
        <f t="shared" si="179"/>
        <v>69.092825082179488</v>
      </c>
      <c r="EM185" s="20">
        <f t="shared" si="180"/>
        <v>625.55955995146212</v>
      </c>
      <c r="EN185" s="59">
        <f t="shared" si="128"/>
        <v>918.89289328479549</v>
      </c>
      <c r="EO185" s="59">
        <f ca="1">AVERAGE(OFFSET($EN$3,0,0,'Données projet'!$E$15+1,1))-AVERAGE(OFFSET($H$3,0,0,'Données projet'!$E$15+1,1))</f>
        <v>525.74725170626471</v>
      </c>
      <c r="EP185" s="59">
        <f t="shared" si="154"/>
        <v>259.19103598192197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77.636811086405075</v>
      </c>
      <c r="EW185" s="21">
        <f>EXP(-LN(2)/25)*EW184+(1-EXP(-LN(2)/25))/(LN(2)/25)*Calculateur!ER185*Calculateur!ET185*VLOOKUP('Données projet'!$B$15,Paramètres!$A$1:$I$89,3,0)*0.475*44/12</f>
        <v>31.229686721844221</v>
      </c>
      <c r="EX185" s="21">
        <f>EXP(-LN(2)/2)*EX184+(1-EXP(-LN(2)/2))/(LN(2)/2)*ER185*EU185*VLOOKUP('Données projet'!$B$15,Paramètres!$A$1:$I$89,3,0)*0.475*44/12</f>
        <v>1.1092135041038473E-5</v>
      </c>
      <c r="EY185" s="22">
        <f t="shared" si="181"/>
        <v>108.86650890038433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4.7974999999999994</v>
      </c>
      <c r="N186" s="13">
        <f>IF('Données projet'!$A$36&gt;35,N185+M186-V185,IF(A186&lt;'Données projet'!$A$36,$K$205^A186,IF(A186='Données projet'!$A$36,'Données projet'!$B$36,N185+M186-V185)))</f>
        <v>295.34249999999969</v>
      </c>
      <c r="O186" s="13">
        <f>N186*VLOOKUP('Données projet'!$B$9,Paramètres!$A$1:$I$89,3,0)*VLOOKUP('Données projet'!$B$9,Paramètres!$A$1:$I$89,5,0)</f>
        <v>299.47729499999969</v>
      </c>
      <c r="P186" s="13">
        <f t="shared" si="141"/>
        <v>71.066873311318389</v>
      </c>
      <c r="Q186" s="20">
        <f t="shared" si="162"/>
        <v>645.36442647554566</v>
      </c>
      <c r="R186" s="59">
        <f t="shared" si="109"/>
        <v>938.69775980887903</v>
      </c>
      <c r="S186" s="59">
        <f ca="1">AVERAGE(OFFSET($R$3,0,0,'Données projet'!$E$9+1,1))-AVERAGE(OFFSET($H$3,0,0,'Données projet'!$E$9+1,1))</f>
        <v>533.26035274112917</v>
      </c>
      <c r="T186" s="59">
        <f t="shared" si="142"/>
        <v>262.58149402282521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77.303688083760562</v>
      </c>
      <c r="AA186" s="21">
        <f>EXP(-LN(2)/25)*AA185+(1-EXP(-LN(2)/25))/(LN(2)/25)*Calculateur!V186*Calculateur!X186*VLOOKUP('Données projet'!$B$9,Paramètres!$A$1:$I$89,3,0)*0.475*44/12</f>
        <v>30.850329753889685</v>
      </c>
      <c r="AB186" s="21">
        <f>EXP(-LN(2)/2)*AB185+(1-EXP(-LN(2)/2))/(LN(2)/2)*V186*Y186*VLOOKUP('Données projet'!$B$9,Paramètres!$A$1:$I$89,3,0)*0.475*44/12</f>
        <v>7.9658758413763979E-6</v>
      </c>
      <c r="AC186" s="22">
        <f t="shared" si="163"/>
        <v>108.15402580352608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5.4001247917767614E-13</v>
      </c>
      <c r="AJ186" s="13">
        <f>AI186*VLOOKUP('Données projet'!$B$10,Paramètres!$A$1:$I$89,3,0)*VLOOKUP('Données projet'!$B$10,Paramètres!$A$1:$I$89,5,0)</f>
        <v>4.8860329115996133E-13</v>
      </c>
      <c r="AK186" s="13">
        <f t="shared" si="164"/>
        <v>6.1025862939685007E-12</v>
      </c>
      <c r="AL186" s="20">
        <f t="shared" si="165"/>
        <v>1.1479655194098737E-11</v>
      </c>
      <c r="AM186" s="59">
        <f t="shared" si="113"/>
        <v>293.3333333333448</v>
      </c>
      <c r="AN186" s="59">
        <f ca="1">AVERAGE(OFFSET($AM$3,0,0,'Données projet'!$E$10+1,1))-AVERAGE(OFFSET($H$3,0,0,'Données projet'!$E$10+1,1))</f>
        <v>482.62991869403385</v>
      </c>
      <c r="AO186" s="59">
        <f t="shared" si="144"/>
        <v>310.43914804089906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88.274996557904061</v>
      </c>
      <c r="AV186" s="21">
        <f>EXP(-LN(2)/25)*AV185+(1-EXP(-LN(2)/25))/(LN(2)/25)*Calculateur!AQ186*Calculateur!AS186*VLOOKUP('Données projet'!$B$10,Paramètres!$A$1:$I$89,3,0)*0.475*44/12</f>
        <v>12.316460887671017</v>
      </c>
      <c r="AW186" s="21">
        <f>EXP(-LN(2)/2)*AW185+(1-EXP(-LN(2)/2))/(LN(2)/2)*AQ186*AT186*VLOOKUP('Données projet'!$B$10,Paramètres!$A$1:$I$89,3,0)*0.475*44/12</f>
        <v>1.2922964690504066E-2</v>
      </c>
      <c r="AX186" s="21">
        <f t="shared" si="166"/>
        <v>100.60438041026558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384.34044781465661</v>
      </c>
      <c r="BJ186" s="59">
        <f t="shared" si="146"/>
        <v>374.99493809709708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7.4230656055274258</v>
      </c>
      <c r="BQ186" s="21">
        <f>EXP(-LN(2)/25)*BQ185+(1-EXP(-LN(2)/25))/(LN(2)/25)*Calculateur!BL186*Calculateur!BN186*VLOOKUP('Données projet'!$B$11,Paramètres!$A$1:$I$89,3,0)*0.475*44/12</f>
        <v>3.2411014333956114</v>
      </c>
      <c r="BR186" s="21">
        <f>EXP(-LN(2)/2)*BR185+(1-EXP(-LN(2)/2))/(LN(2)/2)*BL186*BO186*VLOOKUP('Données projet'!$B$11,Paramètres!$A$1:$I$89,3,0)*0.475*44/12</f>
        <v>2.1523159836509952E-14</v>
      </c>
      <c r="BS186" s="22">
        <f t="shared" si="169"/>
        <v>10.664167038923058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5.4001247917767614E-13</v>
      </c>
      <c r="BZ186" s="13">
        <f>BY186*VLOOKUP('Données projet'!$B$12,Paramètres!$A$1:$I$89,3,0)*VLOOKUP('Données projet'!$B$12,Paramètres!$A$1:$I$89,5,0)</f>
        <v>5.1387587518547664E-13</v>
      </c>
      <c r="CA186" s="13">
        <f t="shared" si="170"/>
        <v>6.3806716506132977E-12</v>
      </c>
      <c r="CB186" s="20">
        <f t="shared" si="171"/>
        <v>1.2008003607432866E-11</v>
      </c>
      <c r="CC186" s="59">
        <f t="shared" si="119"/>
        <v>293.33333333334531</v>
      </c>
      <c r="CD186" s="59">
        <f ca="1">AVERAGE(OFFSET($CC$3,0,0,'Données projet'!$E$12+1,1))-AVERAGE(OFFSET($H$3,0,0,'Données projet'!$E$12+1,1))</f>
        <v>513.14430745499283</v>
      </c>
      <c r="CE186" s="59">
        <f t="shared" si="148"/>
        <v>324.2490378019823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76.458599853288604</v>
      </c>
      <c r="CL186" s="21">
        <f>EXP(-LN(2)/25)*CL185+(1-EXP(-LN(2)/25))/(LN(2)/25)*Calculateur!CG186*Calculateur!CI186*VLOOKUP('Données projet'!$B$12,Paramètres!$A$1:$I$89,3,0)*0.475*44/12</f>
        <v>11.381369049389837</v>
      </c>
      <c r="CM186" s="21">
        <f>EXP(-LN(2)/2)*CM185+(1-EXP(-LN(2)/2))/(LN(2)/2)*CG186*CJ186*VLOOKUP('Données projet'!$B$12,Paramètres!$A$1:$I$89,3,0)*0.475*44/12</f>
        <v>3.5123869296561339E-3</v>
      </c>
      <c r="CN186" s="22">
        <f t="shared" si="172"/>
        <v>87.843481289608093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-1.1368683772161603E-13</v>
      </c>
      <c r="CU186" s="17">
        <f>CT186*VLOOKUP('Données projet'!$B$13,Paramètres!$A$1:$I$89,3,0)*VLOOKUP('Données projet'!$B$13,Paramètres!$A$1:$I$89,5,0)</f>
        <v>-8.8675733422860506E-14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197.51452239559433</v>
      </c>
      <c r="CZ186" s="59">
        <f t="shared" si="150"/>
        <v>196.65166921588821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2.8829148559050992</v>
      </c>
      <c r="DG186" s="21">
        <f>EXP(-LN(2)/25)*DG185+(1-EXP(-LN(2)/25))/(LN(2)/25)*Calculateur!DB186*Calculateur!DD186*VLOOKUP('Données projet'!$B$13,Paramètres!$A$1:$I$89,3,0)*0.475*44/12</f>
        <v>1.150482592068055</v>
      </c>
      <c r="DH186" s="21">
        <f>EXP(-LN(2)/2)*DH185+(1-EXP(-LN(2)/2))/(LN(2)/2)*DB186*DE186*VLOOKUP('Données projet'!$B$13,Paramètres!$A$1:$I$89,3,0)*0.475*44/12</f>
        <v>2.702433258177076E-16</v>
      </c>
      <c r="DI186" s="22">
        <f t="shared" si="175"/>
        <v>4.0333974479731545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>
        <f>DO186*VLOOKUP('Données projet'!$B$14,Paramètres!$A$1:$I$89,3,0)*VLOOKUP('Données projet'!$B$14,Paramètres!$A$1:$I$89,5,0)</f>
        <v>0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239.26156489359892</v>
      </c>
      <c r="DU186" s="59">
        <f t="shared" si="152"/>
        <v>213.97034450798111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1.714387771180774</v>
      </c>
      <c r="EB186" s="21">
        <f>EXP(-LN(2)/25)*EB185+(1-EXP(-LN(2)/25))/(LN(2)/25)*Calculateur!DW186*Calculateur!DY186*VLOOKUP('Données projet'!$B$14,Paramètres!$A$1:$I$89,3,0)*0.475*44/12</f>
        <v>4.8463780495297986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6.5607658207105723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4.7974999999999994</v>
      </c>
      <c r="EJ186" s="12">
        <f>IF('Données projet'!$A$192&gt;35,EJ185+EI186-ER185,IF(A186&lt;'Données projet'!$A$192,$EG$205^A186,IF(A186='Données projet'!$A$192,'Données projet'!$B$192,EJ185+EI186-ER185)))</f>
        <v>295.34249999999969</v>
      </c>
      <c r="EK186" s="17">
        <f>EJ186*VLOOKUP('Données projet'!$B$15,Paramètres!$A$1:$I$89,3,0)*VLOOKUP('Données projet'!$B$15,Paramètres!$A$1:$I$89,5,0)</f>
        <v>294.86995199999973</v>
      </c>
      <c r="EL186" s="13">
        <f t="shared" si="179"/>
        <v>70.099931169782579</v>
      </c>
      <c r="EM186" s="20">
        <f t="shared" si="180"/>
        <v>635.65587985403749</v>
      </c>
      <c r="EN186" s="59">
        <f t="shared" si="128"/>
        <v>928.98921318737075</v>
      </c>
      <c r="EO186" s="59">
        <f ca="1">AVERAGE(OFFSET($EN$3,0,0,'Données projet'!$E$15+1,1))-AVERAGE(OFFSET($H$3,0,0,'Données projet'!$E$15+1,1))</f>
        <v>525.74725170626471</v>
      </c>
      <c r="EP186" s="59">
        <f t="shared" si="154"/>
        <v>259.19103598192197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76.114400574779637</v>
      </c>
      <c r="EW186" s="21">
        <f>EXP(-LN(2)/25)*EW185+(1-EXP(-LN(2)/25))/(LN(2)/25)*Calculateur!ER186*Calculateur!ET186*VLOOKUP('Données projet'!$B$15,Paramètres!$A$1:$I$89,3,0)*0.475*44/12</f>
        <v>30.375709296137543</v>
      </c>
      <c r="EX186" s="21">
        <f>EXP(-LN(2)/2)*EX185+(1-EXP(-LN(2)/2))/(LN(2)/2)*ER186*EU186*VLOOKUP('Données projet'!$B$15,Paramètres!$A$1:$I$89,3,0)*0.475*44/12</f>
        <v>7.8433239053552276E-6</v>
      </c>
      <c r="EY186" s="22">
        <f t="shared" si="181"/>
        <v>106.49011771424108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>
        <f>VLOOKUP(A187,'Données projet'!$A$35:$I$55,2,0)</f>
        <v>300.14</v>
      </c>
      <c r="L187" s="12">
        <f>VLOOKUP(A187,'Données projet'!$A$35:$I$55,9,0)</f>
        <v>4.7974999999999994</v>
      </c>
      <c r="M187" s="12">
        <f t="array" ref="M187">INDEX(L:L,MIN(IF(ISNUMBER(L187:L383),ROW(L187:L383),"")))</f>
        <v>4.7974999999999994</v>
      </c>
      <c r="N187" s="13">
        <f>IF('Données projet'!$A$36&gt;35,N186+M187-V186,IF(A187&lt;'Données projet'!$A$36,$K$205^A187,IF(A187='Données projet'!$A$36,'Données projet'!$B$36,N186+M187-V186)))</f>
        <v>300.1399999999997</v>
      </c>
      <c r="O187" s="13">
        <f>N187*VLOOKUP('Données projet'!$B$9,Paramètres!$A$1:$I$89,3,0)*VLOOKUP('Données projet'!$B$9,Paramètres!$A$1:$I$89,5,0)</f>
        <v>304.34195999999969</v>
      </c>
      <c r="P187" s="13">
        <f t="shared" si="141"/>
        <v>72.085942433343163</v>
      </c>
      <c r="Q187" s="20">
        <f t="shared" si="162"/>
        <v>655.61193007140548</v>
      </c>
      <c r="R187" s="59">
        <f t="shared" si="109"/>
        <v>948.94526340473885</v>
      </c>
      <c r="S187" s="59">
        <f ca="1">AVERAGE(OFFSET($R$3,0,0,'Données projet'!$E$9+1,1))-AVERAGE(OFFSET($H$3,0,0,'Données projet'!$E$9+1,1))</f>
        <v>533.26035274112917</v>
      </c>
      <c r="T187" s="59">
        <f t="shared" si="142"/>
        <v>262.58149402282521</v>
      </c>
      <c r="U187" s="15">
        <f>IF(ISNA(VLOOKUP(A187,'Données projet'!$A$35:$I$55,3,0)),0,VLOOKUP(A187,'Données projet'!$A$35:$I$55,3,0))</f>
        <v>14</v>
      </c>
      <c r="V187" s="15">
        <f>IF(ISNA(VLOOKUP(A187,'Données projet'!$A$35:$I$55,4,0)),0,VLOOKUP(A187,'Données projet'!$A$35:$I$55,4,0))</f>
        <v>101.19999999999999</v>
      </c>
      <c r="W187" s="16">
        <f>IF(ISNA(VLOOKUP(A187,'Données projet'!$A$35:$I$55,5,0)),0%,VLOOKUP(A187,'Données projet'!$A$35:$I$55,5,0)*VLOOKUP('Données projet'!$B$9,Paramètres!$A$1:$I$89,7,0))</f>
        <v>0.215</v>
      </c>
      <c r="X187" s="16">
        <f>IF(ISNA(VLOOKUP(A187,'Données projet'!$A$35:$I$55,6,0)),0%,VLOOKUP(A187,'Données projet'!$A$35:$I$55,6,0)*VLOOKUP('Données projet'!$B$9,Paramètres!$A$1:$I$89,7,0))</f>
        <v>8.6000000000000007E-2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100.17737397216023</v>
      </c>
      <c r="AA187" s="21">
        <f>EXP(-LN(2)/25)*AA186+(1-EXP(-LN(2)/25))/(LN(2)/25)*Calculateur!V187*Calculateur!X187*VLOOKUP('Données projet'!$B$9,Paramètres!$A$1:$I$89,3,0)*0.475*44/12</f>
        <v>39.724139086128069</v>
      </c>
      <c r="AB187" s="21">
        <f>EXP(-LN(2)/2)*AB186+(1-EXP(-LN(2)/2))/(LN(2)/2)*V187*Y187*VLOOKUP('Données projet'!$B$9,Paramètres!$A$1:$I$89,3,0)*0.475*44/12</f>
        <v>5.6327248255273458E-6</v>
      </c>
      <c r="AC187" s="22">
        <f t="shared" si="163"/>
        <v>139.90151869101311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5.4001247917767614E-13</v>
      </c>
      <c r="AJ187" s="13">
        <f>AI187*VLOOKUP('Données projet'!$B$10,Paramètres!$A$1:$I$89,3,0)*VLOOKUP('Données projet'!$B$10,Paramètres!$A$1:$I$89,5,0)</f>
        <v>4.8860329115996133E-13</v>
      </c>
      <c r="AK187" s="13">
        <f t="shared" si="164"/>
        <v>6.1025862939685007E-12</v>
      </c>
      <c r="AL187" s="20">
        <f t="shared" si="165"/>
        <v>1.1479655194098737E-11</v>
      </c>
      <c r="AM187" s="59">
        <f t="shared" si="113"/>
        <v>293.3333333333448</v>
      </c>
      <c r="AN187" s="59">
        <f ca="1">AVERAGE(OFFSET($AM$3,0,0,'Données projet'!$E$10+1,1))-AVERAGE(OFFSET($H$3,0,0,'Données projet'!$E$10+1,1))</f>
        <v>482.62991869403385</v>
      </c>
      <c r="AO187" s="59">
        <f t="shared" si="144"/>
        <v>310.43914804089906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86.543977717834963</v>
      </c>
      <c r="AV187" s="21">
        <f>EXP(-LN(2)/25)*AV186+(1-EXP(-LN(2)/25))/(LN(2)/25)*Calculateur!AQ187*Calculateur!AS187*VLOOKUP('Données projet'!$B$10,Paramètres!$A$1:$I$89,3,0)*0.475*44/12</f>
        <v>11.979666617003124</v>
      </c>
      <c r="AW187" s="21">
        <f>EXP(-LN(2)/2)*AW186+(1-EXP(-LN(2)/2))/(LN(2)/2)*AQ187*AT187*VLOOKUP('Données projet'!$B$10,Paramètres!$A$1:$I$89,3,0)*0.475*44/12</f>
        <v>9.1379159656897382E-3</v>
      </c>
      <c r="AX187" s="21">
        <f t="shared" si="166"/>
        <v>98.532782250803777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384.34044781465661</v>
      </c>
      <c r="BJ187" s="59">
        <f t="shared" si="146"/>
        <v>374.99493809709708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7.2775038166259867</v>
      </c>
      <c r="BQ187" s="21">
        <f>EXP(-LN(2)/25)*BQ186+(1-EXP(-LN(2)/25))/(LN(2)/25)*Calculateur!BL187*Calculateur!BN187*VLOOKUP('Données projet'!$B$11,Paramètres!$A$1:$I$89,3,0)*0.475*44/12</f>
        <v>3.1524733442572916</v>
      </c>
      <c r="BR187" s="21">
        <f>EXP(-LN(2)/2)*BR186+(1-EXP(-LN(2)/2))/(LN(2)/2)*BL187*BO187*VLOOKUP('Données projet'!$B$11,Paramètres!$A$1:$I$89,3,0)*0.475*44/12</f>
        <v>1.521917227295813E-14</v>
      </c>
      <c r="BS187" s="22">
        <f t="shared" si="169"/>
        <v>10.429977160883295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5.4001247917767614E-13</v>
      </c>
      <c r="BZ187" s="13">
        <f>BY187*VLOOKUP('Données projet'!$B$12,Paramètres!$A$1:$I$89,3,0)*VLOOKUP('Données projet'!$B$12,Paramètres!$A$1:$I$89,5,0)</f>
        <v>5.1387587518547664E-13</v>
      </c>
      <c r="CA187" s="13">
        <f t="shared" si="170"/>
        <v>6.3806716506132977E-12</v>
      </c>
      <c r="CB187" s="20">
        <f t="shared" si="171"/>
        <v>1.2008003607432866E-11</v>
      </c>
      <c r="CC187" s="59">
        <f t="shared" si="119"/>
        <v>293.33333333334531</v>
      </c>
      <c r="CD187" s="59">
        <f ca="1">AVERAGE(OFFSET($CC$3,0,0,'Données projet'!$E$12+1,1))-AVERAGE(OFFSET($H$3,0,0,'Données projet'!$E$12+1,1))</f>
        <v>513.14430745499283</v>
      </c>
      <c r="CE187" s="59">
        <f t="shared" si="148"/>
        <v>324.2490378019823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74.959293345306691</v>
      </c>
      <c r="CL187" s="21">
        <f>EXP(-LN(2)/25)*CL186+(1-EXP(-LN(2)/25))/(LN(2)/25)*Calculateur!CG187*Calculateur!CI187*VLOOKUP('Données projet'!$B$12,Paramètres!$A$1:$I$89,3,0)*0.475*44/12</f>
        <v>11.070144914214087</v>
      </c>
      <c r="CM187" s="21">
        <f>EXP(-LN(2)/2)*CM186+(1-EXP(-LN(2)/2))/(LN(2)/2)*CG187*CJ187*VLOOKUP('Données projet'!$B$12,Paramètres!$A$1:$I$89,3,0)*0.475*44/12</f>
        <v>2.4836326161108493E-3</v>
      </c>
      <c r="CN187" s="22">
        <f t="shared" si="172"/>
        <v>86.031921892136879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-1.1368683772161603E-13</v>
      </c>
      <c r="CU187" s="17">
        <f>CT187*VLOOKUP('Données projet'!$B$13,Paramètres!$A$1:$I$89,3,0)*VLOOKUP('Données projet'!$B$13,Paramètres!$A$1:$I$89,5,0)</f>
        <v>-8.8675733422860506E-14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197.51452239559433</v>
      </c>
      <c r="CZ187" s="59">
        <f t="shared" si="150"/>
        <v>196.65166921588821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2.8263826539852341</v>
      </c>
      <c r="DG187" s="21">
        <f>EXP(-LN(2)/25)*DG186+(1-EXP(-LN(2)/25))/(LN(2)/25)*Calculateur!DB187*Calculateur!DD187*VLOOKUP('Données projet'!$B$13,Paramètres!$A$1:$I$89,3,0)*0.475*44/12</f>
        <v>1.1190225850867039</v>
      </c>
      <c r="DH187" s="21">
        <f>EXP(-LN(2)/2)*DH186+(1-EXP(-LN(2)/2))/(LN(2)/2)*DB187*DE187*VLOOKUP('Données projet'!$B$13,Paramètres!$A$1:$I$89,3,0)*0.475*44/12</f>
        <v>1.9109088825610664E-16</v>
      </c>
      <c r="DI187" s="22">
        <f t="shared" si="175"/>
        <v>3.9454052390719383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>
        <f>DO187*VLOOKUP('Données projet'!$B$14,Paramètres!$A$1:$I$89,3,0)*VLOOKUP('Données projet'!$B$14,Paramètres!$A$1:$I$89,5,0)</f>
        <v>0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239.26156489359892</v>
      </c>
      <c r="DU187" s="59">
        <f t="shared" si="152"/>
        <v>213.97034450798111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1.6807696726612078</v>
      </c>
      <c r="EB187" s="21">
        <f>EXP(-LN(2)/25)*EB186+(1-EXP(-LN(2)/25))/(LN(2)/25)*Calculateur!DW187*Calculateur!DY187*VLOOKUP('Données projet'!$B$14,Paramètres!$A$1:$I$89,3,0)*0.475*44/12</f>
        <v>4.7138535869054614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6.3946232595666697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>
        <f>VLOOKUP(A187,'Données projet'!$A$191:$I$211,2,0)</f>
        <v>300.14</v>
      </c>
      <c r="EH187" s="12">
        <f>VLOOKUP(A187,'Données projet'!$A$191:$I$211,9,0)</f>
        <v>4.7974999999999994</v>
      </c>
      <c r="EI187" s="12">
        <f t="array" ref="EI187">INDEX(EH:EH,MIN(IF(ISNUMBER(EH187:EH383),ROW(EH187:EH383),"")))</f>
        <v>4.7974999999999994</v>
      </c>
      <c r="EJ187" s="12">
        <f>IF('Données projet'!$A$192&gt;35,EJ186+EI187-ER186,IF(A187&lt;'Données projet'!$A$192,$EG$205^A187,IF(A187='Données projet'!$A$192,'Données projet'!$B$192,EJ186+EI187-ER186)))</f>
        <v>300.1399999999997</v>
      </c>
      <c r="EK187" s="17">
        <f>EJ187*VLOOKUP('Données projet'!$B$15,Paramètres!$A$1:$I$89,3,0)*VLOOKUP('Données projet'!$B$15,Paramètres!$A$1:$I$89,5,0)</f>
        <v>299.65977599999974</v>
      </c>
      <c r="EL187" s="13">
        <f t="shared" si="179"/>
        <v>71.105134747520538</v>
      </c>
      <c r="EM187" s="20">
        <f t="shared" si="180"/>
        <v>645.7488862185977</v>
      </c>
      <c r="EN187" s="59">
        <f t="shared" si="128"/>
        <v>939.08221955193108</v>
      </c>
      <c r="EO187" s="59">
        <f ca="1">AVERAGE(OFFSET($EN$3,0,0,'Données projet'!$E$15+1,1))-AVERAGE(OFFSET($H$3,0,0,'Données projet'!$E$15+1,1))</f>
        <v>525.74725170626471</v>
      </c>
      <c r="EP187" s="59">
        <f t="shared" si="154"/>
        <v>259.19103598192197</v>
      </c>
      <c r="EQ187" s="15">
        <f>IF(ISNA(VLOOKUP(A187,'Données projet'!$A$191:$I$211,3,0)),0,VLOOKUP(A187,'Données projet'!$A$191:$I$211,3,0))</f>
        <v>14</v>
      </c>
      <c r="ER187" s="15">
        <f>IF(ISNA(VLOOKUP(A187,'Données projet'!$A$191:$I$211,4,0)),0,VLOOKUP(A187,'Données projet'!$A$191:$I$211,4,0))</f>
        <v>101.19999999999999</v>
      </c>
      <c r="ES187" s="16">
        <f>IF(ISNA(VLOOKUP(A187,'Données projet'!$A$191:$I$211,5,0)),0%,VLOOKUP(A187,'Données projet'!$A$191:$I$211,5,0)*VLOOKUP('Données projet'!$B$15,Paramètres!$A$1:$I$89,7,0))</f>
        <v>0.215</v>
      </c>
      <c r="ET187" s="16">
        <f>IF(ISNA(VLOOKUP(A187,'Données projet'!$A$191:$I$211,6,0)),0%,VLOOKUP(A187,'Données projet'!$A$191:$I$211,6,0)*VLOOKUP('Données projet'!$B$15,Paramètres!$A$1:$I$89,7,0))</f>
        <v>8.6000000000000007E-2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98.636183603357765</v>
      </c>
      <c r="EW187" s="21">
        <f>EXP(-LN(2)/25)*EW186+(1-EXP(-LN(2)/25))/(LN(2)/25)*Calculateur!ER187*Calculateur!ET187*VLOOKUP('Données projet'!$B$15,Paramètres!$A$1:$I$89,3,0)*0.475*44/12</f>
        <v>39.112998484803029</v>
      </c>
      <c r="EX187" s="21">
        <f>EXP(-LN(2)/2)*EX186+(1-EXP(-LN(2)/2))/(LN(2)/2)*ER187*EU187*VLOOKUP('Données projet'!$B$15,Paramètres!$A$1:$I$89,3,0)*0.475*44/12</f>
        <v>5.5460675205192363E-6</v>
      </c>
      <c r="EY187" s="22">
        <f t="shared" si="181"/>
        <v>137.74918763422832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3.0825000000000031</v>
      </c>
      <c r="N188" s="13">
        <f>IF('Données projet'!$A$36&gt;35,N187+M188-V187,IF(A188&lt;'Données projet'!$A$36,$K$205^A188,IF(A188='Données projet'!$A$36,'Données projet'!$B$36,N187+M188-V187)))</f>
        <v>202.0224999999997</v>
      </c>
      <c r="O188" s="13">
        <f>N188*VLOOKUP('Données projet'!$B$9,Paramètres!$A$1:$I$89,3,0)*VLOOKUP('Données projet'!$B$9,Paramètres!$A$1:$I$89,5,0)</f>
        <v>204.8508149999997</v>
      </c>
      <c r="P188" s="13">
        <f t="shared" si="141"/>
        <v>50.808738613533862</v>
      </c>
      <c r="Q188" s="20">
        <f t="shared" si="162"/>
        <v>445.27372254357095</v>
      </c>
      <c r="R188" s="59">
        <f t="shared" si="109"/>
        <v>738.60705587690427</v>
      </c>
      <c r="S188" s="59">
        <f ca="1">AVERAGE(OFFSET($R$3,0,0,'Données projet'!$E$9+1,1))-AVERAGE(OFFSET($H$3,0,0,'Données projet'!$E$9+1,1))</f>
        <v>533.26035274112917</v>
      </c>
      <c r="T188" s="59">
        <f t="shared" si="142"/>
        <v>262.58149402282521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98.212956770730955</v>
      </c>
      <c r="AA188" s="21">
        <f>EXP(-LN(2)/25)*AA187+(1-EXP(-LN(2)/25))/(LN(2)/25)*Calculateur!V188*Calculateur!X188*VLOOKUP('Données projet'!$B$9,Paramètres!$A$1:$I$89,3,0)*0.475*44/12</f>
        <v>38.637880413816212</v>
      </c>
      <c r="AB188" s="21">
        <f>EXP(-LN(2)/2)*AB187+(1-EXP(-LN(2)/2))/(LN(2)/2)*V188*Y188*VLOOKUP('Données projet'!$B$9,Paramètres!$A$1:$I$89,3,0)*0.475*44/12</f>
        <v>3.982937920688199E-6</v>
      </c>
      <c r="AC188" s="22">
        <f t="shared" si="163"/>
        <v>136.8508411674851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5.4001247917767614E-13</v>
      </c>
      <c r="AJ188" s="13">
        <f>AI188*VLOOKUP('Données projet'!$B$10,Paramètres!$A$1:$I$89,3,0)*VLOOKUP('Données projet'!$B$10,Paramètres!$A$1:$I$89,5,0)</f>
        <v>4.8860329115996133E-13</v>
      </c>
      <c r="AK188" s="13">
        <f t="shared" si="164"/>
        <v>6.1025862939685007E-12</v>
      </c>
      <c r="AL188" s="20">
        <f t="shared" si="165"/>
        <v>1.1479655194098737E-11</v>
      </c>
      <c r="AM188" s="59">
        <f t="shared" si="113"/>
        <v>293.3333333333448</v>
      </c>
      <c r="AN188" s="59">
        <f ca="1">AVERAGE(OFFSET($AM$3,0,0,'Données projet'!$E$10+1,1))-AVERAGE(OFFSET($H$3,0,0,'Données projet'!$E$10+1,1))</f>
        <v>482.62991869403385</v>
      </c>
      <c r="AO188" s="59">
        <f t="shared" si="144"/>
        <v>310.43914804089906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84.846903101402376</v>
      </c>
      <c r="AV188" s="21">
        <f>EXP(-LN(2)/25)*AV187+(1-EXP(-LN(2)/25))/(LN(2)/25)*Calculateur!AQ188*Calculateur!AS188*VLOOKUP('Données projet'!$B$10,Paramètres!$A$1:$I$89,3,0)*0.475*44/12</f>
        <v>11.652082003377886</v>
      </c>
      <c r="AW188" s="21">
        <f>EXP(-LN(2)/2)*AW187+(1-EXP(-LN(2)/2))/(LN(2)/2)*AQ188*AT188*VLOOKUP('Données projet'!$B$10,Paramètres!$A$1:$I$89,3,0)*0.475*44/12</f>
        <v>6.4614823452520329E-3</v>
      </c>
      <c r="AX188" s="21">
        <f t="shared" si="166"/>
        <v>96.505446587125519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384.34044781465661</v>
      </c>
      <c r="BJ188" s="59">
        <f t="shared" si="146"/>
        <v>374.99493809709708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7.1347964056209801</v>
      </c>
      <c r="BQ188" s="21">
        <f>EXP(-LN(2)/25)*BQ187+(1-EXP(-LN(2)/25))/(LN(2)/25)*Calculateur!BL188*Calculateur!BN188*VLOOKUP('Données projet'!$B$11,Paramètres!$A$1:$I$89,3,0)*0.475*44/12</f>
        <v>3.066268794877208</v>
      </c>
      <c r="BR188" s="21">
        <f>EXP(-LN(2)/2)*BR187+(1-EXP(-LN(2)/2))/(LN(2)/2)*BL188*BO188*VLOOKUP('Données projet'!$B$11,Paramètres!$A$1:$I$89,3,0)*0.475*44/12</f>
        <v>1.0761579918254976E-14</v>
      </c>
      <c r="BS188" s="22">
        <f t="shared" si="169"/>
        <v>10.201065200498199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5.4001247917767614E-13</v>
      </c>
      <c r="BZ188" s="13">
        <f>BY188*VLOOKUP('Données projet'!$B$12,Paramètres!$A$1:$I$89,3,0)*VLOOKUP('Données projet'!$B$12,Paramètres!$A$1:$I$89,5,0)</f>
        <v>5.1387587518547664E-13</v>
      </c>
      <c r="CA188" s="13">
        <f t="shared" si="170"/>
        <v>6.3806716506132977E-12</v>
      </c>
      <c r="CB188" s="20">
        <f t="shared" si="171"/>
        <v>1.2008003607432866E-11</v>
      </c>
      <c r="CC188" s="59">
        <f t="shared" si="119"/>
        <v>293.33333333334531</v>
      </c>
      <c r="CD188" s="59">
        <f ca="1">AVERAGE(OFFSET($CC$3,0,0,'Données projet'!$E$12+1,1))-AVERAGE(OFFSET($H$3,0,0,'Données projet'!$E$12+1,1))</f>
        <v>513.14430745499283</v>
      </c>
      <c r="CE188" s="59">
        <f t="shared" si="148"/>
        <v>324.2490378019823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73.489387323459624</v>
      </c>
      <c r="CL188" s="21">
        <f>EXP(-LN(2)/25)*CL187+(1-EXP(-LN(2)/25))/(LN(2)/25)*Calculateur!CG188*Calculateur!CI188*VLOOKUP('Données projet'!$B$12,Paramètres!$A$1:$I$89,3,0)*0.475*44/12</f>
        <v>10.767431219381283</v>
      </c>
      <c r="CM188" s="21">
        <f>EXP(-LN(2)/2)*CM187+(1-EXP(-LN(2)/2))/(LN(2)/2)*CG188*CJ188*VLOOKUP('Données projet'!$B$12,Paramètres!$A$1:$I$89,3,0)*0.475*44/12</f>
        <v>1.756193464828067E-3</v>
      </c>
      <c r="CN188" s="22">
        <f t="shared" si="172"/>
        <v>84.258574736305732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-1.1368683772161603E-13</v>
      </c>
      <c r="CU188" s="17">
        <f>CT188*VLOOKUP('Données projet'!$B$13,Paramètres!$A$1:$I$89,3,0)*VLOOKUP('Données projet'!$B$13,Paramètres!$A$1:$I$89,5,0)</f>
        <v>-8.8675733422860506E-14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197.51452239559433</v>
      </c>
      <c r="CZ188" s="59">
        <f t="shared" si="150"/>
        <v>196.65166921588821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2.7709590140637794</v>
      </c>
      <c r="DG188" s="21">
        <f>EXP(-LN(2)/25)*DG187+(1-EXP(-LN(2)/25))/(LN(2)/25)*Calculateur!DB188*Calculateur!DD188*VLOOKUP('Données projet'!$B$13,Paramètres!$A$1:$I$89,3,0)*0.475*44/12</f>
        <v>1.0884228536506679</v>
      </c>
      <c r="DH188" s="21">
        <f>EXP(-LN(2)/2)*DH187+(1-EXP(-LN(2)/2))/(LN(2)/2)*DB188*DE188*VLOOKUP('Données projet'!$B$13,Paramètres!$A$1:$I$89,3,0)*0.475*44/12</f>
        <v>1.351216629088538E-16</v>
      </c>
      <c r="DI188" s="22">
        <f t="shared" si="175"/>
        <v>3.8593818677144474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>
        <f>DO188*VLOOKUP('Données projet'!$B$14,Paramètres!$A$1:$I$89,3,0)*VLOOKUP('Données projet'!$B$14,Paramètres!$A$1:$I$89,5,0)</f>
        <v>0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239.26156489359892</v>
      </c>
      <c r="DU188" s="59">
        <f t="shared" si="152"/>
        <v>213.97034450798111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1.6478108045485949</v>
      </c>
      <c r="EB188" s="21">
        <f>EXP(-LN(2)/25)*EB187+(1-EXP(-LN(2)/25))/(LN(2)/25)*Calculateur!DW188*Calculateur!DY188*VLOOKUP('Données projet'!$B$14,Paramètres!$A$1:$I$89,3,0)*0.475*44/12</f>
        <v>4.584953012680745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6.2327638172293396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3.0825000000000031</v>
      </c>
      <c r="EJ188" s="12">
        <f>IF('Données projet'!$A$192&gt;35,EJ187+EI188-ER187,IF(A188&lt;'Données projet'!$A$192,$EG$205^A188,IF(A188='Données projet'!$A$192,'Données projet'!$B$192,EJ187+EI188-ER187)))</f>
        <v>202.0224999999997</v>
      </c>
      <c r="EK188" s="17">
        <f>EJ188*VLOOKUP('Données projet'!$B$15,Paramètres!$A$1:$I$89,3,0)*VLOOKUP('Données projet'!$B$15,Paramètres!$A$1:$I$89,5,0)</f>
        <v>201.69926399999969</v>
      </c>
      <c r="EL188" s="13">
        <f t="shared" si="179"/>
        <v>50.117430438084995</v>
      </c>
      <c r="EM188" s="20">
        <f t="shared" si="180"/>
        <v>438.58074281299741</v>
      </c>
      <c r="EN188" s="59">
        <f t="shared" si="128"/>
        <v>731.91407614633067</v>
      </c>
      <c r="EO188" s="59">
        <f ca="1">AVERAGE(OFFSET($EN$3,0,0,'Données projet'!$E$15+1,1))-AVERAGE(OFFSET($H$3,0,0,'Données projet'!$E$15+1,1))</f>
        <v>525.74725170626471</v>
      </c>
      <c r="EP188" s="59">
        <f t="shared" si="154"/>
        <v>259.19103598192197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96.701988205027405</v>
      </c>
      <c r="EW188" s="21">
        <f>EXP(-LN(2)/25)*EW187+(1-EXP(-LN(2)/25))/(LN(2)/25)*Calculateur!ER188*Calculateur!ET188*VLOOKUP('Données projet'!$B$15,Paramètres!$A$1:$I$89,3,0)*0.475*44/12</f>
        <v>38.043451484372895</v>
      </c>
      <c r="EX188" s="21">
        <f>EXP(-LN(2)/2)*EX187+(1-EXP(-LN(2)/2))/(LN(2)/2)*ER188*EU188*VLOOKUP('Données projet'!$B$15,Paramètres!$A$1:$I$89,3,0)*0.475*44/12</f>
        <v>3.9216619526776138E-6</v>
      </c>
      <c r="EY188" s="22">
        <f t="shared" si="181"/>
        <v>134.74544361106226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3.0825000000000031</v>
      </c>
      <c r="N189" s="13">
        <f>IF('Données projet'!$A$36&gt;35,N188+M189-V188,IF(A189&lt;'Données projet'!$A$36,$K$205^A189,IF(A189='Données projet'!$A$36,'Données projet'!$B$36,N188+M189-V188)))</f>
        <v>205.10499999999971</v>
      </c>
      <c r="O189" s="13">
        <f>N189*VLOOKUP('Données projet'!$B$9,Paramètres!$A$1:$I$89,3,0)*VLOOKUP('Données projet'!$B$9,Paramètres!$A$1:$I$89,5,0)</f>
        <v>207.97646999999969</v>
      </c>
      <c r="P189" s="13">
        <f t="shared" si="141"/>
        <v>51.493144603798712</v>
      </c>
      <c r="Q189" s="20">
        <f t="shared" si="162"/>
        <v>451.90957876828219</v>
      </c>
      <c r="R189" s="59">
        <f t="shared" si="109"/>
        <v>745.2429121016155</v>
      </c>
      <c r="S189" s="59">
        <f ca="1">AVERAGE(OFFSET($R$3,0,0,'Données projet'!$E$9+1,1))-AVERAGE(OFFSET($H$3,0,0,'Données projet'!$E$9+1,1))</f>
        <v>533.26035274112917</v>
      </c>
      <c r="T189" s="59">
        <f t="shared" si="142"/>
        <v>262.58149402282521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96.287060592445528</v>
      </c>
      <c r="AA189" s="21">
        <f>EXP(-LN(2)/25)*AA188+(1-EXP(-LN(2)/25))/(LN(2)/25)*Calculateur!V189*Calculateur!X189*VLOOKUP('Données projet'!$B$9,Paramètres!$A$1:$I$89,3,0)*0.475*44/12</f>
        <v>37.581325542022583</v>
      </c>
      <c r="AB189" s="21">
        <f>EXP(-LN(2)/2)*AB188+(1-EXP(-LN(2)/2))/(LN(2)/2)*V189*Y189*VLOOKUP('Données projet'!$B$9,Paramètres!$A$1:$I$89,3,0)*0.475*44/12</f>
        <v>2.8163624127636729E-6</v>
      </c>
      <c r="AC189" s="22">
        <f t="shared" si="163"/>
        <v>133.86838895083051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5.4001247917767614E-13</v>
      </c>
      <c r="AJ189" s="13">
        <f>AI189*VLOOKUP('Données projet'!$B$10,Paramètres!$A$1:$I$89,3,0)*VLOOKUP('Données projet'!$B$10,Paramètres!$A$1:$I$89,5,0)</f>
        <v>4.8860329115996133E-13</v>
      </c>
      <c r="AK189" s="13">
        <f t="shared" si="164"/>
        <v>6.1025862939685007E-12</v>
      </c>
      <c r="AL189" s="20">
        <f t="shared" si="165"/>
        <v>1.1479655194098737E-11</v>
      </c>
      <c r="AM189" s="59">
        <f t="shared" si="113"/>
        <v>293.3333333333448</v>
      </c>
      <c r="AN189" s="59">
        <f ca="1">AVERAGE(OFFSET($AM$3,0,0,'Données projet'!$E$10+1,1))-AVERAGE(OFFSET($H$3,0,0,'Données projet'!$E$10+1,1))</f>
        <v>482.62991869403385</v>
      </c>
      <c r="AO189" s="59">
        <f t="shared" si="144"/>
        <v>310.43914804089906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83.183107083084735</v>
      </c>
      <c r="AV189" s="21">
        <f>EXP(-LN(2)/25)*AV188+(1-EXP(-LN(2)/25))/(LN(2)/25)*Calculateur!AQ189*Calculateur!AS189*VLOOKUP('Données projet'!$B$10,Paramètres!$A$1:$I$89,3,0)*0.475*44/12</f>
        <v>11.333455208239156</v>
      </c>
      <c r="AW189" s="21">
        <f>EXP(-LN(2)/2)*AW188+(1-EXP(-LN(2)/2))/(LN(2)/2)*AQ189*AT189*VLOOKUP('Données projet'!$B$10,Paramètres!$A$1:$I$89,3,0)*0.475*44/12</f>
        <v>4.5689579828448691E-3</v>
      </c>
      <c r="AX189" s="21">
        <f t="shared" si="166"/>
        <v>94.521131249306734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384.34044781465661</v>
      </c>
      <c r="BJ189" s="59">
        <f t="shared" si="146"/>
        <v>374.99493809709708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6.994887399902856</v>
      </c>
      <c r="BQ189" s="21">
        <f>EXP(-LN(2)/25)*BQ188+(1-EXP(-LN(2)/25))/(LN(2)/25)*Calculateur!BL189*Calculateur!BN189*VLOOKUP('Données projet'!$B$11,Paramètres!$A$1:$I$89,3,0)*0.475*44/12</f>
        <v>2.982421513433223</v>
      </c>
      <c r="BR189" s="21">
        <f>EXP(-LN(2)/2)*BR188+(1-EXP(-LN(2)/2))/(LN(2)/2)*BL189*BO189*VLOOKUP('Données projet'!$B$11,Paramètres!$A$1:$I$89,3,0)*0.475*44/12</f>
        <v>7.6095861364790651E-15</v>
      </c>
      <c r="BS189" s="22">
        <f t="shared" si="169"/>
        <v>9.9773089133360866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5.4001247917767614E-13</v>
      </c>
      <c r="BZ189" s="13">
        <f>BY189*VLOOKUP('Données projet'!$B$12,Paramètres!$A$1:$I$89,3,0)*VLOOKUP('Données projet'!$B$12,Paramètres!$A$1:$I$89,5,0)</f>
        <v>5.1387587518547664E-13</v>
      </c>
      <c r="CA189" s="13">
        <f t="shared" si="170"/>
        <v>6.3806716506132977E-12</v>
      </c>
      <c r="CB189" s="20">
        <f t="shared" si="171"/>
        <v>1.2008003607432866E-11</v>
      </c>
      <c r="CC189" s="59">
        <f t="shared" si="119"/>
        <v>293.33333333334531</v>
      </c>
      <c r="CD189" s="59">
        <f ca="1">AVERAGE(OFFSET($CC$3,0,0,'Données projet'!$E$12+1,1))-AVERAGE(OFFSET($H$3,0,0,'Données projet'!$E$12+1,1))</f>
        <v>513.14430745499283</v>
      </c>
      <c r="CE189" s="59">
        <f t="shared" si="148"/>
        <v>324.2490378019823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72.04830526214684</v>
      </c>
      <c r="CL189" s="21">
        <f>EXP(-LN(2)/25)*CL188+(1-EXP(-LN(2)/25))/(LN(2)/25)*Calculateur!CG189*Calculateur!CI189*VLOOKUP('Données projet'!$B$12,Paramètres!$A$1:$I$89,3,0)*0.475*44/12</f>
        <v>10.472995246452703</v>
      </c>
      <c r="CM189" s="21">
        <f>EXP(-LN(2)/2)*CM188+(1-EXP(-LN(2)/2))/(LN(2)/2)*CG189*CJ189*VLOOKUP('Données projet'!$B$12,Paramètres!$A$1:$I$89,3,0)*0.475*44/12</f>
        <v>1.2418163080554247E-3</v>
      </c>
      <c r="CN189" s="22">
        <f t="shared" si="172"/>
        <v>82.52254232490759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-1.1368683772161603E-13</v>
      </c>
      <c r="CU189" s="17">
        <f>CT189*VLOOKUP('Données projet'!$B$13,Paramètres!$A$1:$I$89,3,0)*VLOOKUP('Données projet'!$B$13,Paramètres!$A$1:$I$89,5,0)</f>
        <v>-8.8675733422860506E-14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197.51452239559433</v>
      </c>
      <c r="CZ189" s="59">
        <f t="shared" si="150"/>
        <v>196.65166921588821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2.7166221979161018</v>
      </c>
      <c r="DG189" s="21">
        <f>EXP(-LN(2)/25)*DG188+(1-EXP(-LN(2)/25))/(LN(2)/25)*Calculateur!DB189*Calculateur!DD189*VLOOKUP('Données projet'!$B$13,Paramètres!$A$1:$I$89,3,0)*0.475*44/12</f>
        <v>1.0586598734799202</v>
      </c>
      <c r="DH189" s="21">
        <f>EXP(-LN(2)/2)*DH188+(1-EXP(-LN(2)/2))/(LN(2)/2)*DB189*DE189*VLOOKUP('Données projet'!$B$13,Paramètres!$A$1:$I$89,3,0)*0.475*44/12</f>
        <v>9.554544412805332E-17</v>
      </c>
      <c r="DI189" s="22">
        <f t="shared" si="175"/>
        <v>3.7752820713960222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>
        <f>DO189*VLOOKUP('Données projet'!$B$14,Paramètres!$A$1:$I$89,3,0)*VLOOKUP('Données projet'!$B$14,Paramètres!$A$1:$I$89,5,0)</f>
        <v>0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239.26156489359892</v>
      </c>
      <c r="DU189" s="59">
        <f t="shared" si="152"/>
        <v>213.97034450798111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1.6154982397367457</v>
      </c>
      <c r="EB189" s="21">
        <f>EXP(-LN(2)/25)*EB188+(1-EXP(-LN(2)/25))/(LN(2)/25)*Calculateur!DW189*Calculateur!DY189*VLOOKUP('Données projet'!$B$14,Paramètres!$A$1:$I$89,3,0)*0.475*44/12</f>
        <v>4.4595772314367901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6.0750754711735357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3.0825000000000031</v>
      </c>
      <c r="EJ189" s="12">
        <f>IF('Données projet'!$A$192&gt;35,EJ188+EI189-ER188,IF(A189&lt;'Données projet'!$A$192,$EG$205^A189,IF(A189='Données projet'!$A$192,'Données projet'!$B$192,EJ188+EI189-ER188)))</f>
        <v>205.10499999999971</v>
      </c>
      <c r="EK189" s="17">
        <f>EJ189*VLOOKUP('Données projet'!$B$15,Paramètres!$A$1:$I$89,3,0)*VLOOKUP('Données projet'!$B$15,Paramètres!$A$1:$I$89,5,0)</f>
        <v>204.7768319999997</v>
      </c>
      <c r="EL189" s="13">
        <f t="shared" si="179"/>
        <v>50.792524340128267</v>
      </c>
      <c r="EM189" s="20">
        <f t="shared" si="180"/>
        <v>445.11662895905619</v>
      </c>
      <c r="EN189" s="59">
        <f t="shared" si="128"/>
        <v>738.4499622923895</v>
      </c>
      <c r="EO189" s="59">
        <f ca="1">AVERAGE(OFFSET($EN$3,0,0,'Données projet'!$E$15+1,1))-AVERAGE(OFFSET($H$3,0,0,'Données projet'!$E$15+1,1))</f>
        <v>525.74725170626471</v>
      </c>
      <c r="EP189" s="59">
        <f t="shared" si="154"/>
        <v>259.19103598192197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94.805721198715602</v>
      </c>
      <c r="EW189" s="21">
        <f>EXP(-LN(2)/25)*EW188+(1-EXP(-LN(2)/25))/(LN(2)/25)*Calculateur!ER189*Calculateur!ET189*VLOOKUP('Données projet'!$B$15,Paramètres!$A$1:$I$89,3,0)*0.475*44/12</f>
        <v>37.003151302914553</v>
      </c>
      <c r="EX189" s="21">
        <f>EXP(-LN(2)/2)*EX188+(1-EXP(-LN(2)/2))/(LN(2)/2)*ER189*EU189*VLOOKUP('Données projet'!$B$15,Paramètres!$A$1:$I$89,3,0)*0.475*44/12</f>
        <v>2.7730337602596182E-6</v>
      </c>
      <c r="EY189" s="22">
        <f t="shared" si="181"/>
        <v>131.80887527466393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3.0825000000000031</v>
      </c>
      <c r="N190" s="13">
        <f>IF('Données projet'!$A$36&gt;35,N189+M190-V189,IF(A190&lt;'Données projet'!$A$36,$K$205^A190,IF(A190='Données projet'!$A$36,'Données projet'!$B$36,N189+M190-V189)))</f>
        <v>208.18749999999972</v>
      </c>
      <c r="O190" s="13">
        <f>N190*VLOOKUP('Données projet'!$B$9,Paramètres!$A$1:$I$89,3,0)*VLOOKUP('Données projet'!$B$9,Paramètres!$A$1:$I$89,5,0)</f>
        <v>211.10212499999972</v>
      </c>
      <c r="P190" s="13">
        <f t="shared" si="141"/>
        <v>52.176354318882368</v>
      </c>
      <c r="Q190" s="20">
        <f t="shared" si="162"/>
        <v>458.54335148038626</v>
      </c>
      <c r="R190" s="59">
        <f t="shared" si="109"/>
        <v>751.87668481371952</v>
      </c>
      <c r="S190" s="59">
        <f ca="1">AVERAGE(OFFSET($R$3,0,0,'Données projet'!$E$9+1,1))-AVERAGE(OFFSET($H$3,0,0,'Données projet'!$E$9+1,1))</f>
        <v>533.26035274112917</v>
      </c>
      <c r="T190" s="59">
        <f t="shared" si="142"/>
        <v>262.58149402282521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94.398930063535602</v>
      </c>
      <c r="AA190" s="21">
        <f>EXP(-LN(2)/25)*AA189+(1-EXP(-LN(2)/25))/(LN(2)/25)*Calculateur!V190*Calculateur!X190*VLOOKUP('Données projet'!$B$9,Paramètres!$A$1:$I$89,3,0)*0.475*44/12</f>
        <v>36.55366221875996</v>
      </c>
      <c r="AB190" s="21">
        <f>EXP(-LN(2)/2)*AB189+(1-EXP(-LN(2)/2))/(LN(2)/2)*V190*Y190*VLOOKUP('Données projet'!$B$9,Paramètres!$A$1:$I$89,3,0)*0.475*44/12</f>
        <v>1.9914689603440995E-6</v>
      </c>
      <c r="AC190" s="22">
        <f t="shared" si="163"/>
        <v>130.95259427376453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5.4001247917767614E-13</v>
      </c>
      <c r="AJ190" s="13">
        <f>AI190*VLOOKUP('Données projet'!$B$10,Paramètres!$A$1:$I$89,3,0)*VLOOKUP('Données projet'!$B$10,Paramètres!$A$1:$I$89,5,0)</f>
        <v>4.8860329115996133E-13</v>
      </c>
      <c r="AK190" s="13">
        <f t="shared" si="164"/>
        <v>6.1025862939685007E-12</v>
      </c>
      <c r="AL190" s="20">
        <f t="shared" si="165"/>
        <v>1.1479655194098737E-11</v>
      </c>
      <c r="AM190" s="59">
        <f t="shared" si="113"/>
        <v>293.3333333333448</v>
      </c>
      <c r="AN190" s="59">
        <f ca="1">AVERAGE(OFFSET($AM$3,0,0,'Données projet'!$E$10+1,1))-AVERAGE(OFFSET($H$3,0,0,'Données projet'!$E$10+1,1))</f>
        <v>482.62991869403385</v>
      </c>
      <c r="AO190" s="59">
        <f t="shared" si="144"/>
        <v>310.43914804089906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81.551937089870933</v>
      </c>
      <c r="AV190" s="21">
        <f>EXP(-LN(2)/25)*AV189+(1-EXP(-LN(2)/25))/(LN(2)/25)*Calculateur!AQ190*Calculateur!AS190*VLOOKUP('Données projet'!$B$10,Paramètres!$A$1:$I$89,3,0)*0.475*44/12</f>
        <v>11.023541279569351</v>
      </c>
      <c r="AW190" s="21">
        <f>EXP(-LN(2)/2)*AW189+(1-EXP(-LN(2)/2))/(LN(2)/2)*AQ190*AT190*VLOOKUP('Données projet'!$B$10,Paramètres!$A$1:$I$89,3,0)*0.475*44/12</f>
        <v>3.2307411726260164E-3</v>
      </c>
      <c r="AX190" s="21">
        <f t="shared" si="166"/>
        <v>92.578709110612905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384.34044781465661</v>
      </c>
      <c r="BJ190" s="59">
        <f t="shared" si="146"/>
        <v>374.99493809709708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6.8577219244507974</v>
      </c>
      <c r="BQ190" s="21">
        <f>EXP(-LN(2)/25)*BQ189+(1-EXP(-LN(2)/25))/(LN(2)/25)*Calculateur!BL190*Calculateur!BN190*VLOOKUP('Données projet'!$B$11,Paramètres!$A$1:$I$89,3,0)*0.475*44/12</f>
        <v>2.9008670403096604</v>
      </c>
      <c r="BR190" s="21">
        <f>EXP(-LN(2)/2)*BR189+(1-EXP(-LN(2)/2))/(LN(2)/2)*BL190*BO190*VLOOKUP('Données projet'!$B$11,Paramètres!$A$1:$I$89,3,0)*0.475*44/12</f>
        <v>5.3807899591274879E-15</v>
      </c>
      <c r="BS190" s="22">
        <f t="shared" si="169"/>
        <v>9.7585889647604631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5.4001247917767614E-13</v>
      </c>
      <c r="BZ190" s="13">
        <f>BY190*VLOOKUP('Données projet'!$B$12,Paramètres!$A$1:$I$89,3,0)*VLOOKUP('Données projet'!$B$12,Paramètres!$A$1:$I$89,5,0)</f>
        <v>5.1387587518547664E-13</v>
      </c>
      <c r="CA190" s="13">
        <f t="shared" si="170"/>
        <v>6.3806716506132977E-12</v>
      </c>
      <c r="CB190" s="20">
        <f t="shared" si="171"/>
        <v>1.2008003607432866E-11</v>
      </c>
      <c r="CC190" s="59">
        <f t="shared" si="119"/>
        <v>293.33333333334531</v>
      </c>
      <c r="CD190" s="59">
        <f ca="1">AVERAGE(OFFSET($CC$3,0,0,'Données projet'!$E$12+1,1))-AVERAGE(OFFSET($H$3,0,0,'Données projet'!$E$12+1,1))</f>
        <v>513.14430745499283</v>
      </c>
      <c r="CE190" s="59">
        <f t="shared" si="148"/>
        <v>324.2490378019823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70.635481941083128</v>
      </c>
      <c r="CL190" s="21">
        <f>EXP(-LN(2)/25)*CL189+(1-EXP(-LN(2)/25))/(LN(2)/25)*Calculateur!CG190*Calculateur!CI190*VLOOKUP('Données projet'!$B$12,Paramètres!$A$1:$I$89,3,0)*0.475*44/12</f>
        <v>10.18661064068757</v>
      </c>
      <c r="CM190" s="21">
        <f>EXP(-LN(2)/2)*CM189+(1-EXP(-LN(2)/2))/(LN(2)/2)*CG190*CJ190*VLOOKUP('Données projet'!$B$12,Paramètres!$A$1:$I$89,3,0)*0.475*44/12</f>
        <v>8.7809673241403348E-4</v>
      </c>
      <c r="CN190" s="22">
        <f t="shared" si="172"/>
        <v>80.822970678503111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-1.1368683772161603E-13</v>
      </c>
      <c r="CU190" s="17">
        <f>CT190*VLOOKUP('Données projet'!$B$13,Paramètres!$A$1:$I$89,3,0)*VLOOKUP('Données projet'!$B$13,Paramètres!$A$1:$I$89,5,0)</f>
        <v>-8.8675733422860506E-14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197.51452239559433</v>
      </c>
      <c r="CZ190" s="59">
        <f t="shared" si="150"/>
        <v>196.65166921588821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2.6633508935908949</v>
      </c>
      <c r="DG190" s="21">
        <f>EXP(-LN(2)/25)*DG189+(1-EXP(-LN(2)/25))/(LN(2)/25)*Calculateur!DB190*Calculateur!DD190*VLOOKUP('Données projet'!$B$13,Paramètres!$A$1:$I$89,3,0)*0.475*44/12</f>
        <v>1.0297107635671086</v>
      </c>
      <c r="DH190" s="21">
        <f>EXP(-LN(2)/2)*DH189+(1-EXP(-LN(2)/2))/(LN(2)/2)*DB190*DE190*VLOOKUP('Données projet'!$B$13,Paramètres!$A$1:$I$89,3,0)*0.475*44/12</f>
        <v>6.75608314544269E-17</v>
      </c>
      <c r="DI190" s="22">
        <f t="shared" si="175"/>
        <v>3.6930616571580037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>
        <f>DO190*VLOOKUP('Données projet'!$B$14,Paramètres!$A$1:$I$89,3,0)*VLOOKUP('Données projet'!$B$14,Paramètres!$A$1:$I$89,5,0)</f>
        <v>0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239.26156489359892</v>
      </c>
      <c r="DU190" s="59">
        <f t="shared" si="152"/>
        <v>213.97034450798111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1.5838193046121385</v>
      </c>
      <c r="EB190" s="21">
        <f>EXP(-LN(2)/25)*EB189+(1-EXP(-LN(2)/25))/(LN(2)/25)*Calculateur!DW190*Calculateur!DY190*VLOOKUP('Données projet'!$B$14,Paramètres!$A$1:$I$89,3,0)*0.475*44/12</f>
        <v>4.3376298575241767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5.921449162136315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3.0825000000000031</v>
      </c>
      <c r="EJ190" s="12">
        <f>IF('Données projet'!$A$192&gt;35,EJ189+EI190-ER189,IF(A190&lt;'Données projet'!$A$192,$EG$205^A190,IF(A190='Données projet'!$A$192,'Données projet'!$B$192,EJ189+EI190-ER189)))</f>
        <v>208.18749999999972</v>
      </c>
      <c r="EK190" s="17">
        <f>EJ190*VLOOKUP('Données projet'!$B$15,Paramètres!$A$1:$I$89,3,0)*VLOOKUP('Données projet'!$B$15,Paramètres!$A$1:$I$89,5,0)</f>
        <v>207.85439999999971</v>
      </c>
      <c r="EL190" s="13">
        <f t="shared" si="179"/>
        <v>51.466438243615933</v>
      </c>
      <c r="EM190" s="20">
        <f t="shared" si="180"/>
        <v>451.65045994096386</v>
      </c>
      <c r="EN190" s="59">
        <f t="shared" si="128"/>
        <v>744.98379327429711</v>
      </c>
      <c r="EO190" s="59">
        <f ca="1">AVERAGE(OFFSET($EN$3,0,0,'Données projet'!$E$15+1,1))-AVERAGE(OFFSET($H$3,0,0,'Données projet'!$E$15+1,1))</f>
        <v>525.74725170626471</v>
      </c>
      <c r="EP190" s="59">
        <f t="shared" si="154"/>
        <v>259.19103598192197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92.946638831788903</v>
      </c>
      <c r="EW190" s="21">
        <f>EXP(-LN(2)/25)*EW189+(1-EXP(-LN(2)/25))/(LN(2)/25)*Calculateur!ER190*Calculateur!ET190*VLOOKUP('Données projet'!$B$15,Paramètres!$A$1:$I$89,3,0)*0.475*44/12</f>
        <v>35.991298184625201</v>
      </c>
      <c r="EX190" s="21">
        <f>EXP(-LN(2)/2)*EX189+(1-EXP(-LN(2)/2))/(LN(2)/2)*ER190*EU190*VLOOKUP('Données projet'!$B$15,Paramètres!$A$1:$I$89,3,0)*0.475*44/12</f>
        <v>1.9608309763388069E-6</v>
      </c>
      <c r="EY190" s="22">
        <f t="shared" si="181"/>
        <v>128.9379389772451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>
        <f>VLOOKUP(A191,'Données projet'!$A$35:$I$55,2,0)</f>
        <v>211.27</v>
      </c>
      <c r="L191" s="12">
        <f>VLOOKUP(A191,'Données projet'!$A$35:$I$55,9,0)</f>
        <v>3.0825000000000031</v>
      </c>
      <c r="M191" s="12">
        <f t="array" ref="M191">INDEX(L:L,MIN(IF(ISNUMBER(L191:L387),ROW(L191:L387),"")))</f>
        <v>3.0825000000000031</v>
      </c>
      <c r="N191" s="13">
        <f>IF('Données projet'!$A$36&gt;35,N190+M191-V190,IF(A191&lt;'Données projet'!$A$36,$K$205^A191,IF(A191='Données projet'!$A$36,'Données projet'!$B$36,N190+M191-V190)))</f>
        <v>211.26999999999973</v>
      </c>
      <c r="O191" s="13">
        <f>N191*VLOOKUP('Données projet'!$B$9,Paramètres!$A$1:$I$89,3,0)*VLOOKUP('Données projet'!$B$9,Paramètres!$A$1:$I$89,5,0)</f>
        <v>214.22777999999974</v>
      </c>
      <c r="P191" s="13">
        <f t="shared" si="141"/>
        <v>52.858387517427865</v>
      </c>
      <c r="Q191" s="20">
        <f t="shared" si="162"/>
        <v>465.17507509285309</v>
      </c>
      <c r="R191" s="59">
        <f t="shared" si="109"/>
        <v>758.50840842618641</v>
      </c>
      <c r="S191" s="59">
        <f ca="1">AVERAGE(OFFSET($R$3,0,0,'Données projet'!$E$9+1,1))-AVERAGE(OFFSET($H$3,0,0,'Données projet'!$E$9+1,1))</f>
        <v>533.26035274112917</v>
      </c>
      <c r="T191" s="59">
        <f t="shared" si="142"/>
        <v>262.58149402282521</v>
      </c>
      <c r="U191" s="15">
        <f>IF(ISNA(VLOOKUP(A191,'Données projet'!$A$35:$I$55,3,0)),0,VLOOKUP(A191,'Données projet'!$A$35:$I$55,3,0))</f>
        <v>15</v>
      </c>
      <c r="V191" s="15">
        <f>IF(ISNA(VLOOKUP(A191,'Données projet'!$A$35:$I$55,4,0)),0,VLOOKUP(A191,'Données projet'!$A$35:$I$55,4,0))</f>
        <v>72.180000000000007</v>
      </c>
      <c r="W191" s="16">
        <f>IF(ISNA(VLOOKUP(A191,'Données projet'!$A$35:$I$55,5,0)),0%,VLOOKUP(A191,'Données projet'!$A$35:$I$55,5,0)*VLOOKUP('Données projet'!$B$9,Paramètres!$A$1:$I$89,7,0))</f>
        <v>0.215</v>
      </c>
      <c r="X191" s="16">
        <f>IF(ISNA(VLOOKUP(A191,'Données projet'!$A$35:$I$55,6,0)),0%,VLOOKUP(A191,'Données projet'!$A$35:$I$55,6,0)*VLOOKUP('Données projet'!$B$9,Paramètres!$A$1:$I$89,7,0))</f>
        <v>8.6000000000000007E-2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109.94346428601369</v>
      </c>
      <c r="AA191" s="21">
        <f>EXP(-LN(2)/25)*AA190+(1-EXP(-LN(2)/25))/(LN(2)/25)*Calculateur!V191*Calculateur!X191*VLOOKUP('Données projet'!$B$9,Paramètres!$A$1:$I$89,3,0)*0.475*44/12</f>
        <v>42.484958963814016</v>
      </c>
      <c r="AB191" s="21">
        <f>EXP(-LN(2)/2)*AB190+(1-EXP(-LN(2)/2))/(LN(2)/2)*V191*Y191*VLOOKUP('Données projet'!$B$9,Paramètres!$A$1:$I$89,3,0)*0.475*44/12</f>
        <v>1.4081812063818365E-6</v>
      </c>
      <c r="AC191" s="22">
        <f t="shared" si="163"/>
        <v>152.42842465800894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5.4001247917767614E-13</v>
      </c>
      <c r="AJ191" s="13">
        <f>AI191*VLOOKUP('Données projet'!$B$10,Paramètres!$A$1:$I$89,3,0)*VLOOKUP('Données projet'!$B$10,Paramètres!$A$1:$I$89,5,0)</f>
        <v>4.8860329115996133E-13</v>
      </c>
      <c r="AK191" s="13">
        <f t="shared" si="164"/>
        <v>6.1025862939685007E-12</v>
      </c>
      <c r="AL191" s="20">
        <f t="shared" si="165"/>
        <v>1.1479655194098737E-11</v>
      </c>
      <c r="AM191" s="59">
        <f t="shared" si="113"/>
        <v>293.3333333333448</v>
      </c>
      <c r="AN191" s="59">
        <f ca="1">AVERAGE(OFFSET($AM$3,0,0,'Données projet'!$E$10+1,1))-AVERAGE(OFFSET($H$3,0,0,'Données projet'!$E$10+1,1))</f>
        <v>482.62991869403385</v>
      </c>
      <c r="AO191" s="59">
        <f t="shared" si="144"/>
        <v>310.43914804089906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79.952753345308594</v>
      </c>
      <c r="AV191" s="21">
        <f>EXP(-LN(2)/25)*AV190+(1-EXP(-LN(2)/25))/(LN(2)/25)*Calculateur!AQ191*Calculateur!AS191*VLOOKUP('Données projet'!$B$10,Paramètres!$A$1:$I$89,3,0)*0.475*44/12</f>
        <v>10.722101963576685</v>
      </c>
      <c r="AW191" s="21">
        <f>EXP(-LN(2)/2)*AW190+(1-EXP(-LN(2)/2))/(LN(2)/2)*AQ191*AT191*VLOOKUP('Données projet'!$B$10,Paramètres!$A$1:$I$89,3,0)*0.475*44/12</f>
        <v>2.2844789914224345E-3</v>
      </c>
      <c r="AX191" s="21">
        <f t="shared" si="166"/>
        <v>90.677139787876712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384.34044781465661</v>
      </c>
      <c r="BJ191" s="59">
        <f t="shared" si="146"/>
        <v>374.99493809709708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6.7232461803096744</v>
      </c>
      <c r="BQ191" s="21">
        <f>EXP(-LN(2)/25)*BQ190+(1-EXP(-LN(2)/25))/(LN(2)/25)*Calculateur!BL191*Calculateur!BN191*VLOOKUP('Données projet'!$B$11,Paramètres!$A$1:$I$89,3,0)*0.475*44/12</f>
        <v>2.8215426785424249</v>
      </c>
      <c r="BR191" s="21">
        <f>EXP(-LN(2)/2)*BR190+(1-EXP(-LN(2)/2))/(LN(2)/2)*BL191*BO191*VLOOKUP('Données projet'!$B$11,Paramètres!$A$1:$I$89,3,0)*0.475*44/12</f>
        <v>3.8047930682395325E-15</v>
      </c>
      <c r="BS191" s="22">
        <f t="shared" si="169"/>
        <v>9.5447888588521028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5.4001247917767614E-13</v>
      </c>
      <c r="BZ191" s="13">
        <f>BY191*VLOOKUP('Données projet'!$B$12,Paramètres!$A$1:$I$89,3,0)*VLOOKUP('Données projet'!$B$12,Paramètres!$A$1:$I$89,5,0)</f>
        <v>5.1387587518547664E-13</v>
      </c>
      <c r="CA191" s="13">
        <f t="shared" si="170"/>
        <v>6.3806716506132977E-12</v>
      </c>
      <c r="CB191" s="20">
        <f t="shared" si="171"/>
        <v>1.2008003607432866E-11</v>
      </c>
      <c r="CC191" s="59">
        <f t="shared" si="119"/>
        <v>293.33333333334531</v>
      </c>
      <c r="CD191" s="59">
        <f ca="1">AVERAGE(OFFSET($CC$3,0,0,'Données projet'!$E$12+1,1))-AVERAGE(OFFSET($H$3,0,0,'Données projet'!$E$12+1,1))</f>
        <v>513.14430745499283</v>
      </c>
      <c r="CE191" s="59">
        <f t="shared" si="148"/>
        <v>324.2490378019823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69.250363223608346</v>
      </c>
      <c r="CL191" s="21">
        <f>EXP(-LN(2)/25)*CL190+(1-EXP(-LN(2)/25))/(LN(2)/25)*Calculateur!CG191*Calculateur!CI191*VLOOKUP('Données projet'!$B$12,Paramètres!$A$1:$I$89,3,0)*0.475*44/12</f>
        <v>9.9080572370273963</v>
      </c>
      <c r="CM191" s="21">
        <f>EXP(-LN(2)/2)*CM190+(1-EXP(-LN(2)/2))/(LN(2)/2)*CG191*CJ191*VLOOKUP('Données projet'!$B$12,Paramètres!$A$1:$I$89,3,0)*0.475*44/12</f>
        <v>6.2090815402771234E-4</v>
      </c>
      <c r="CN191" s="22">
        <f t="shared" si="172"/>
        <v>79.159041368789772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-1.1368683772161603E-13</v>
      </c>
      <c r="CU191" s="17">
        <f>CT191*VLOOKUP('Données projet'!$B$13,Paramètres!$A$1:$I$89,3,0)*VLOOKUP('Données projet'!$B$13,Paramètres!$A$1:$I$89,5,0)</f>
        <v>-8.8675733422860506E-14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197.51452239559433</v>
      </c>
      <c r="CZ191" s="59">
        <f t="shared" si="150"/>
        <v>196.65166921588821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2.6111242070512182</v>
      </c>
      <c r="DG191" s="21">
        <f>EXP(-LN(2)/25)*DG190+(1-EXP(-LN(2)/25))/(LN(2)/25)*Calculateur!DB191*Calculateur!DD191*VLOOKUP('Données projet'!$B$13,Paramètres!$A$1:$I$89,3,0)*0.475*44/12</f>
        <v>1.0015532685872304</v>
      </c>
      <c r="DH191" s="21">
        <f>EXP(-LN(2)/2)*DH190+(1-EXP(-LN(2)/2))/(LN(2)/2)*DB191*DE191*VLOOKUP('Données projet'!$B$13,Paramètres!$A$1:$I$89,3,0)*0.475*44/12</f>
        <v>4.777272206402666E-17</v>
      </c>
      <c r="DI191" s="22">
        <f t="shared" si="175"/>
        <v>3.6126774756384483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>
        <f>DO191*VLOOKUP('Données projet'!$B$14,Paramètres!$A$1:$I$89,3,0)*VLOOKUP('Données projet'!$B$14,Paramètres!$A$1:$I$89,5,0)</f>
        <v>0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239.26156489359892</v>
      </c>
      <c r="DU191" s="59">
        <f t="shared" si="152"/>
        <v>213.97034450798111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1.5527615740830822</v>
      </c>
      <c r="EB191" s="21">
        <f>EXP(-LN(2)/25)*EB190+(1-EXP(-LN(2)/25))/(LN(2)/25)*Calculateur!DW191*Calculateur!DY191*VLOOKUP('Données projet'!$B$14,Paramètres!$A$1:$I$89,3,0)*0.475*44/12</f>
        <v>4.2190171409641373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5.7717787150472191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>
        <f>VLOOKUP(A191,'Données projet'!$A$191:$I$211,2,0)</f>
        <v>211.27</v>
      </c>
      <c r="EH191" s="12">
        <f>VLOOKUP(A191,'Données projet'!$A$191:$I$211,9,0)</f>
        <v>3.0825000000000031</v>
      </c>
      <c r="EI191" s="12">
        <f t="array" ref="EI191">INDEX(EH:EH,MIN(IF(ISNUMBER(EH191:EH387),ROW(EH191:EH387),"")))</f>
        <v>3.0825000000000031</v>
      </c>
      <c r="EJ191" s="12">
        <f>IF('Données projet'!$A$192&gt;35,EJ190+EI191-ER190,IF(A191&lt;'Données projet'!$A$192,$EG$205^A191,IF(A191='Données projet'!$A$192,'Données projet'!$B$192,EJ190+EI191-ER190)))</f>
        <v>211.26999999999973</v>
      </c>
      <c r="EK191" s="17">
        <f>EJ191*VLOOKUP('Données projet'!$B$15,Paramètres!$A$1:$I$89,3,0)*VLOOKUP('Données projet'!$B$15,Paramètres!$A$1:$I$89,5,0)</f>
        <v>210.93196799999973</v>
      </c>
      <c r="EL191" s="13">
        <f t="shared" si="179"/>
        <v>52.139191638353111</v>
      </c>
      <c r="EM191" s="20">
        <f t="shared" si="180"/>
        <v>458.18226970346444</v>
      </c>
      <c r="EN191" s="59">
        <f t="shared" si="128"/>
        <v>751.51560303679776</v>
      </c>
      <c r="EO191" s="59">
        <f ca="1">AVERAGE(OFFSET($EN$3,0,0,'Données projet'!$E$15+1,1))-AVERAGE(OFFSET($H$3,0,0,'Données projet'!$E$15+1,1))</f>
        <v>525.74725170626471</v>
      </c>
      <c r="EP191" s="59">
        <f t="shared" si="154"/>
        <v>259.19103598192197</v>
      </c>
      <c r="EQ191" s="15">
        <f>IF(ISNA(VLOOKUP(A191,'Données projet'!$A$191:$I$211,3,0)),0,VLOOKUP(A191,'Données projet'!$A$191:$I$211,3,0))</f>
        <v>15</v>
      </c>
      <c r="ER191" s="15">
        <f>IF(ISNA(VLOOKUP(A191,'Données projet'!$A$191:$I$211,4,0)),0,VLOOKUP(A191,'Données projet'!$A$191:$I$211,4,0))</f>
        <v>72.180000000000007</v>
      </c>
      <c r="ES191" s="16">
        <f>IF(ISNA(VLOOKUP(A191,'Données projet'!$A$191:$I$211,5,0)),0%,VLOOKUP(A191,'Données projet'!$A$191:$I$211,5,0)*VLOOKUP('Données projet'!$B$15,Paramètres!$A$1:$I$89,7,0))</f>
        <v>0.215</v>
      </c>
      <c r="ET191" s="16">
        <f>IF(ISNA(VLOOKUP(A191,'Données projet'!$A$191:$I$211,6,0)),0%,VLOOKUP(A191,'Données projet'!$A$191:$I$211,6,0)*VLOOKUP('Données projet'!$B$15,Paramètres!$A$1:$I$89,7,0))</f>
        <v>8.6000000000000007E-2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108.25202637392118</v>
      </c>
      <c r="EW191" s="21">
        <f>EXP(-LN(2)/25)*EW190+(1-EXP(-LN(2)/25))/(LN(2)/25)*Calculateur!ER191*Calculateur!ET191*VLOOKUP('Données projet'!$B$15,Paramètres!$A$1:$I$89,3,0)*0.475*44/12</f>
        <v>41.831344210524577</v>
      </c>
      <c r="EX191" s="21">
        <f>EXP(-LN(2)/2)*EX190+(1-EXP(-LN(2)/2))/(LN(2)/2)*ER191*EU191*VLOOKUP('Données projet'!$B$15,Paramètres!$A$1:$I$89,3,0)*0.475*44/12</f>
        <v>1.3865168801298091E-6</v>
      </c>
      <c r="EY191" s="22">
        <f t="shared" si="181"/>
        <v>150.08337197096265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1.9733333333333292</v>
      </c>
      <c r="N192" s="13">
        <f>IF('Données projet'!$A$36&gt;35,N191+M192-V191,IF(A192&lt;'Données projet'!$A$36,$K$205^A192,IF(A192='Données projet'!$A$36,'Données projet'!$B$36,N191+M192-V191)))</f>
        <v>141.06333333333305</v>
      </c>
      <c r="O192" s="13">
        <f>N192*VLOOKUP('Données projet'!$B$9,Paramètres!$A$1:$I$89,3,0)*VLOOKUP('Données projet'!$B$9,Paramètres!$A$1:$I$89,5,0)</f>
        <v>143.03821999999974</v>
      </c>
      <c r="P192" s="13">
        <f t="shared" si="141"/>
        <v>36.992146964895987</v>
      </c>
      <c r="Q192" s="20">
        <f t="shared" si="162"/>
        <v>313.55288913052675</v>
      </c>
      <c r="R192" s="59">
        <f t="shared" si="109"/>
        <v>606.88622246386012</v>
      </c>
      <c r="S192" s="59">
        <f ca="1">AVERAGE(OFFSET($R$3,0,0,'Données projet'!$E$9+1,1))-AVERAGE(OFFSET($H$3,0,0,'Données projet'!$E$9+1,1))</f>
        <v>533.26035274112917</v>
      </c>
      <c r="T192" s="59">
        <f t="shared" si="142"/>
        <v>262.58149402282521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107.78754001025666</v>
      </c>
      <c r="AA192" s="21">
        <f>EXP(-LN(2)/25)*AA191+(1-EXP(-LN(2)/25))/(LN(2)/25)*Calculateur!V192*Calculateur!X192*VLOOKUP('Données projet'!$B$9,Paramètres!$A$1:$I$89,3,0)*0.475*44/12</f>
        <v>41.323205526761633</v>
      </c>
      <c r="AB192" s="21">
        <f>EXP(-LN(2)/2)*AB191+(1-EXP(-LN(2)/2))/(LN(2)/2)*V192*Y192*VLOOKUP('Données projet'!$B$9,Paramètres!$A$1:$I$89,3,0)*0.475*44/12</f>
        <v>9.9573448017204974E-7</v>
      </c>
      <c r="AC192" s="22">
        <f t="shared" si="163"/>
        <v>149.11074653275276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5.4001247917767614E-13</v>
      </c>
      <c r="AJ192" s="13">
        <f>AI192*VLOOKUP('Données projet'!$B$10,Paramètres!$A$1:$I$89,3,0)*VLOOKUP('Données projet'!$B$10,Paramètres!$A$1:$I$89,5,0)</f>
        <v>4.8860329115996133E-13</v>
      </c>
      <c r="AK192" s="13">
        <f t="shared" si="164"/>
        <v>6.1025862939685007E-12</v>
      </c>
      <c r="AL192" s="20">
        <f t="shared" si="165"/>
        <v>1.1479655194098737E-11</v>
      </c>
      <c r="AM192" s="59">
        <f t="shared" si="113"/>
        <v>293.3333333333448</v>
      </c>
      <c r="AN192" s="59">
        <f ca="1">AVERAGE(OFFSET($AM$3,0,0,'Données projet'!$E$10+1,1))-AVERAGE(OFFSET($H$3,0,0,'Données projet'!$E$10+1,1))</f>
        <v>482.62991869403385</v>
      </c>
      <c r="AO192" s="59">
        <f t="shared" si="144"/>
        <v>310.43914804089906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78.384928618571351</v>
      </c>
      <c r="AV192" s="21">
        <f>EXP(-LN(2)/25)*AV191+(1-EXP(-LN(2)/25))/(LN(2)/25)*Calculateur!AQ192*Calculateur!AS192*VLOOKUP('Données projet'!$B$10,Paramètres!$A$1:$I$89,3,0)*0.475*44/12</f>
        <v>10.428905521531844</v>
      </c>
      <c r="AW192" s="21">
        <f>EXP(-LN(2)/2)*AW191+(1-EXP(-LN(2)/2))/(LN(2)/2)*AQ192*AT192*VLOOKUP('Données projet'!$B$10,Paramètres!$A$1:$I$89,3,0)*0.475*44/12</f>
        <v>1.6153705863130082E-3</v>
      </c>
      <c r="AX192" s="21">
        <f t="shared" si="166"/>
        <v>88.815449510689504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384.34044781465661</v>
      </c>
      <c r="BJ192" s="59">
        <f t="shared" si="146"/>
        <v>374.99493809709708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6.5914074234890538</v>
      </c>
      <c r="BQ192" s="21">
        <f>EXP(-LN(2)/25)*BQ191+(1-EXP(-LN(2)/25))/(LN(2)/25)*Calculateur!BL192*Calculateur!BN192*VLOOKUP('Données projet'!$B$11,Paramètres!$A$1:$I$89,3,0)*0.475*44/12</f>
        <v>2.7443874456192017</v>
      </c>
      <c r="BR192" s="21">
        <f>EXP(-LN(2)/2)*BR191+(1-EXP(-LN(2)/2))/(LN(2)/2)*BL192*BO192*VLOOKUP('Données projet'!$B$11,Paramètres!$A$1:$I$89,3,0)*0.475*44/12</f>
        <v>2.690394979563744E-15</v>
      </c>
      <c r="BS192" s="22">
        <f t="shared" si="169"/>
        <v>9.3357948691082591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5.4001247917767614E-13</v>
      </c>
      <c r="BZ192" s="13">
        <f>BY192*VLOOKUP('Données projet'!$B$12,Paramètres!$A$1:$I$89,3,0)*VLOOKUP('Données projet'!$B$12,Paramètres!$A$1:$I$89,5,0)</f>
        <v>5.1387587518547664E-13</v>
      </c>
      <c r="CA192" s="13">
        <f t="shared" si="170"/>
        <v>6.3806716506132977E-12</v>
      </c>
      <c r="CB192" s="20">
        <f t="shared" si="171"/>
        <v>1.2008003607432866E-11</v>
      </c>
      <c r="CC192" s="59">
        <f t="shared" si="119"/>
        <v>293.33333333334531</v>
      </c>
      <c r="CD192" s="59">
        <f ca="1">AVERAGE(OFFSET($CC$3,0,0,'Données projet'!$E$12+1,1))-AVERAGE(OFFSET($H$3,0,0,'Données projet'!$E$12+1,1))</f>
        <v>513.14430745499283</v>
      </c>
      <c r="CE192" s="59">
        <f t="shared" si="148"/>
        <v>324.2490378019823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67.892405839344249</v>
      </c>
      <c r="CL192" s="21">
        <f>EXP(-LN(2)/25)*CL191+(1-EXP(-LN(2)/25))/(LN(2)/25)*Calculateur!CG192*Calculateur!CI192*VLOOKUP('Données projet'!$B$12,Paramètres!$A$1:$I$89,3,0)*0.475*44/12</f>
        <v>9.6371208908387977</v>
      </c>
      <c r="CM192" s="21">
        <f>EXP(-LN(2)/2)*CM191+(1-EXP(-LN(2)/2))/(LN(2)/2)*CG192*CJ192*VLOOKUP('Données projet'!$B$12,Paramètres!$A$1:$I$89,3,0)*0.475*44/12</f>
        <v>4.3904836620701674E-4</v>
      </c>
      <c r="CN192" s="22">
        <f t="shared" si="172"/>
        <v>77.529965778549254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-1.1368683772161603E-13</v>
      </c>
      <c r="CU192" s="17">
        <f>CT192*VLOOKUP('Données projet'!$B$13,Paramètres!$A$1:$I$89,3,0)*VLOOKUP('Données projet'!$B$13,Paramètres!$A$1:$I$89,5,0)</f>
        <v>-8.8675733422860506E-14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197.51452239559433</v>
      </c>
      <c r="CZ192" s="59">
        <f t="shared" si="150"/>
        <v>196.65166921588821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2.5599216539794512</v>
      </c>
      <c r="DG192" s="21">
        <f>EXP(-LN(2)/25)*DG191+(1-EXP(-LN(2)/25))/(LN(2)/25)*Calculateur!DB192*Calculateur!DD192*VLOOKUP('Données projet'!$B$13,Paramètres!$A$1:$I$89,3,0)*0.475*44/12</f>
        <v>0.97416574178831528</v>
      </c>
      <c r="DH192" s="21">
        <f>EXP(-LN(2)/2)*DH191+(1-EXP(-LN(2)/2))/(LN(2)/2)*DB192*DE192*VLOOKUP('Données projet'!$B$13,Paramètres!$A$1:$I$89,3,0)*0.475*44/12</f>
        <v>3.378041572721345E-17</v>
      </c>
      <c r="DI192" s="22">
        <f t="shared" si="175"/>
        <v>3.5340873957677665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>
        <f>DO192*VLOOKUP('Données projet'!$B$14,Paramètres!$A$1:$I$89,3,0)*VLOOKUP('Données projet'!$B$14,Paramètres!$A$1:$I$89,5,0)</f>
        <v>0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239.26156489359892</v>
      </c>
      <c r="DU192" s="59">
        <f t="shared" si="152"/>
        <v>213.97034450798111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1.5223128667063557</v>
      </c>
      <c r="EB192" s="21">
        <f>EXP(-LN(2)/25)*EB191+(1-EXP(-LN(2)/25))/(LN(2)/25)*Calculateur!DW192*Calculateur!DY192*VLOOKUP('Données projet'!$B$14,Paramètres!$A$1:$I$89,3,0)*0.475*44/12</f>
        <v>4.1036478953760041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5.62596076208236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1.9733333333333292</v>
      </c>
      <c r="EJ192" s="12">
        <f>IF('Données projet'!$A$192&gt;35,EJ191+EI192-ER191,IF(A192&lt;'Données projet'!$A$192,$EG$205^A192,IF(A192='Données projet'!$A$192,'Données projet'!$B$192,EJ191+EI192-ER191)))</f>
        <v>141.06333333333305</v>
      </c>
      <c r="EK192" s="17">
        <f>EJ192*VLOOKUP('Données projet'!$B$15,Paramètres!$A$1:$I$89,3,0)*VLOOKUP('Données projet'!$B$15,Paramètres!$A$1:$I$89,5,0)</f>
        <v>140.83763199999973</v>
      </c>
      <c r="EL192" s="13">
        <f t="shared" si="179"/>
        <v>36.488828553101627</v>
      </c>
      <c r="EM192" s="20">
        <f t="shared" si="180"/>
        <v>308.84358546331816</v>
      </c>
      <c r="EN192" s="59">
        <f t="shared" si="128"/>
        <v>602.17691879665153</v>
      </c>
      <c r="EO192" s="59">
        <f ca="1">AVERAGE(OFFSET($EN$3,0,0,'Données projet'!$E$15+1,1))-AVERAGE(OFFSET($H$3,0,0,'Données projet'!$E$15+1,1))</f>
        <v>525.74725170626471</v>
      </c>
      <c r="EP192" s="59">
        <f t="shared" si="154"/>
        <v>259.19103598192197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106.12927016394504</v>
      </c>
      <c r="EW192" s="21">
        <f>EXP(-LN(2)/25)*EW191+(1-EXP(-LN(2)/25))/(LN(2)/25)*Calculateur!ER192*Calculateur!ET192*VLOOKUP('Données projet'!$B$15,Paramètres!$A$1:$I$89,3,0)*0.475*44/12</f>
        <v>40.687463903272999</v>
      </c>
      <c r="EX192" s="21">
        <f>EXP(-LN(2)/2)*EX191+(1-EXP(-LN(2)/2))/(LN(2)/2)*ER192*EU192*VLOOKUP('Données projet'!$B$15,Paramètres!$A$1:$I$89,3,0)*0.475*44/12</f>
        <v>9.8041548816940344E-7</v>
      </c>
      <c r="EY192" s="22">
        <f t="shared" si="181"/>
        <v>146.8167350476335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1.9733333333333292</v>
      </c>
      <c r="N193" s="13">
        <f>IF('Données projet'!$A$36&gt;35,N192+M193-V192,IF(A193&lt;'Données projet'!$A$36,$K$205^A193,IF(A193='Données projet'!$A$36,'Données projet'!$B$36,N192+M193-V192)))</f>
        <v>143.03666666666638</v>
      </c>
      <c r="O193" s="13">
        <f>N193*VLOOKUP('Données projet'!$B$9,Paramètres!$A$1:$I$89,3,0)*VLOOKUP('Données projet'!$B$9,Paramètres!$A$1:$I$89,5,0)</f>
        <v>145.0391799999997</v>
      </c>
      <c r="P193" s="13">
        <f t="shared" si="141"/>
        <v>37.449024342936362</v>
      </c>
      <c r="Q193" s="20">
        <f t="shared" si="162"/>
        <v>317.8336225639469</v>
      </c>
      <c r="R193" s="59">
        <f t="shared" si="109"/>
        <v>611.16695589728022</v>
      </c>
      <c r="S193" s="59">
        <f ca="1">AVERAGE(OFFSET($R$3,0,0,'Données projet'!$E$9+1,1))-AVERAGE(OFFSET($H$3,0,0,'Données projet'!$E$9+1,1))</f>
        <v>533.26035274112917</v>
      </c>
      <c r="T193" s="59">
        <f t="shared" si="142"/>
        <v>262.58149402282521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105.67389209456327</v>
      </c>
      <c r="AA193" s="21">
        <f>EXP(-LN(2)/25)*AA192+(1-EXP(-LN(2)/25))/(LN(2)/25)*Calculateur!V193*Calculateur!X193*VLOOKUP('Données projet'!$B$9,Paramètres!$A$1:$I$89,3,0)*0.475*44/12</f>
        <v>40.193220298539401</v>
      </c>
      <c r="AB193" s="21">
        <f>EXP(-LN(2)/2)*AB192+(1-EXP(-LN(2)/2))/(LN(2)/2)*V193*Y193*VLOOKUP('Données projet'!$B$9,Paramètres!$A$1:$I$89,3,0)*0.475*44/12</f>
        <v>7.0409060319091823E-7</v>
      </c>
      <c r="AC193" s="22">
        <f t="shared" si="163"/>
        <v>145.86711309719328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5.4001247917767614E-13</v>
      </c>
      <c r="AJ193" s="13">
        <f>AI193*VLOOKUP('Données projet'!$B$10,Paramètres!$A$1:$I$89,3,0)*VLOOKUP('Données projet'!$B$10,Paramètres!$A$1:$I$89,5,0)</f>
        <v>4.8860329115996133E-13</v>
      </c>
      <c r="AK193" s="13">
        <f t="shared" si="164"/>
        <v>6.1025862939685007E-12</v>
      </c>
      <c r="AL193" s="20">
        <f t="shared" si="165"/>
        <v>1.1479655194098737E-11</v>
      </c>
      <c r="AM193" s="59">
        <f t="shared" si="113"/>
        <v>293.3333333333448</v>
      </c>
      <c r="AN193" s="59">
        <f ca="1">AVERAGE(OFFSET($AM$3,0,0,'Données projet'!$E$10+1,1))-AVERAGE(OFFSET($H$3,0,0,'Données projet'!$E$10+1,1))</f>
        <v>482.62991869403385</v>
      </c>
      <c r="AO193" s="59">
        <f t="shared" si="144"/>
        <v>310.43914804089906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76.847847978446765</v>
      </c>
      <c r="AV193" s="21">
        <f>EXP(-LN(2)/25)*AV192+(1-EXP(-LN(2)/25))/(LN(2)/25)*Calculateur!AQ193*Calculateur!AS193*VLOOKUP('Données projet'!$B$10,Paramètres!$A$1:$I$89,3,0)*0.475*44/12</f>
        <v>10.14372655161325</v>
      </c>
      <c r="AW193" s="21">
        <f>EXP(-LN(2)/2)*AW192+(1-EXP(-LN(2)/2))/(LN(2)/2)*AQ193*AT193*VLOOKUP('Données projet'!$B$10,Paramètres!$A$1:$I$89,3,0)*0.475*44/12</f>
        <v>1.1422394957112173E-3</v>
      </c>
      <c r="AX193" s="21">
        <f t="shared" si="166"/>
        <v>86.992716769555727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384.34044781465661</v>
      </c>
      <c r="BJ193" s="59">
        <f t="shared" si="146"/>
        <v>374.99493809709708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6.4621539442759843</v>
      </c>
      <c r="BQ193" s="21">
        <f>EXP(-LN(2)/25)*BQ192+(1-EXP(-LN(2)/25))/(LN(2)/25)*Calculateur!BL193*Calculateur!BN193*VLOOKUP('Données projet'!$B$11,Paramètres!$A$1:$I$89,3,0)*0.475*44/12</f>
        <v>2.6693420265976813</v>
      </c>
      <c r="BR193" s="21">
        <f>EXP(-LN(2)/2)*BR192+(1-EXP(-LN(2)/2))/(LN(2)/2)*BL193*BO193*VLOOKUP('Données projet'!$B$11,Paramètres!$A$1:$I$89,3,0)*0.475*44/12</f>
        <v>1.9023965341197663E-15</v>
      </c>
      <c r="BS193" s="22">
        <f t="shared" si="169"/>
        <v>9.1314959708736669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5.4001247917767614E-13</v>
      </c>
      <c r="BZ193" s="13">
        <f>BY193*VLOOKUP('Données projet'!$B$12,Paramètres!$A$1:$I$89,3,0)*VLOOKUP('Données projet'!$B$12,Paramètres!$A$1:$I$89,5,0)</f>
        <v>5.1387587518547664E-13</v>
      </c>
      <c r="CA193" s="13">
        <f t="shared" si="170"/>
        <v>6.3806716506132977E-12</v>
      </c>
      <c r="CB193" s="20">
        <f t="shared" si="171"/>
        <v>1.2008003607432866E-11</v>
      </c>
      <c r="CC193" s="59">
        <f t="shared" si="119"/>
        <v>293.33333333334531</v>
      </c>
      <c r="CD193" s="59">
        <f ca="1">AVERAGE(OFFSET($CC$3,0,0,'Données projet'!$E$12+1,1))-AVERAGE(OFFSET($H$3,0,0,'Données projet'!$E$12+1,1))</f>
        <v>513.14430745499283</v>
      </c>
      <c r="CE193" s="59">
        <f t="shared" si="148"/>
        <v>324.2490378019823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66.56107717111334</v>
      </c>
      <c r="CL193" s="21">
        <f>EXP(-LN(2)/25)*CL192+(1-EXP(-LN(2)/25))/(LN(2)/25)*Calculateur!CG193*Calculateur!CI193*VLOOKUP('Données projet'!$B$12,Paramètres!$A$1:$I$89,3,0)*0.475*44/12</f>
        <v>9.3735933132846494</v>
      </c>
      <c r="CM193" s="21">
        <f>EXP(-LN(2)/2)*CM192+(1-EXP(-LN(2)/2))/(LN(2)/2)*CG193*CJ193*VLOOKUP('Données projet'!$B$12,Paramètres!$A$1:$I$89,3,0)*0.475*44/12</f>
        <v>3.1045407701385617E-4</v>
      </c>
      <c r="CN193" s="22">
        <f t="shared" si="172"/>
        <v>75.934980938474993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-1.1368683772161603E-13</v>
      </c>
      <c r="CU193" s="17">
        <f>CT193*VLOOKUP('Données projet'!$B$13,Paramètres!$A$1:$I$89,3,0)*VLOOKUP('Données projet'!$B$13,Paramètres!$A$1:$I$89,5,0)</f>
        <v>-8.8675733422860506E-14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197.51452239559433</v>
      </c>
      <c r="CZ193" s="59">
        <f t="shared" si="150"/>
        <v>196.65166921588821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2.5097231517429477</v>
      </c>
      <c r="DG193" s="21">
        <f>EXP(-LN(2)/25)*DG192+(1-EXP(-LN(2)/25))/(LN(2)/25)*Calculateur!DB193*Calculateur!DD193*VLOOKUP('Données projet'!$B$13,Paramètres!$A$1:$I$89,3,0)*0.475*44/12</f>
        <v>0.94752712834996389</v>
      </c>
      <c r="DH193" s="21">
        <f>EXP(-LN(2)/2)*DH192+(1-EXP(-LN(2)/2))/(LN(2)/2)*DB193*DE193*VLOOKUP('Données projet'!$B$13,Paramètres!$A$1:$I$89,3,0)*0.475*44/12</f>
        <v>2.388636103201333E-17</v>
      </c>
      <c r="DI193" s="22">
        <f t="shared" si="175"/>
        <v>3.4572502800929117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>
        <f>DO193*VLOOKUP('Données projet'!$B$14,Paramètres!$A$1:$I$89,3,0)*VLOOKUP('Données projet'!$B$14,Paramètres!$A$1:$I$89,5,0)</f>
        <v>0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239.26156489359892</v>
      </c>
      <c r="DU193" s="59">
        <f t="shared" si="152"/>
        <v>213.97034450798111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1.492461239909409</v>
      </c>
      <c r="EB193" s="21">
        <f>EXP(-LN(2)/25)*EB192+(1-EXP(-LN(2)/25))/(LN(2)/25)*Calculateur!DW193*Calculateur!DY193*VLOOKUP('Données projet'!$B$14,Paramètres!$A$1:$I$89,3,0)*0.475*44/12</f>
        <v>3.9914334278754833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5.4838946677848925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1.9733333333333292</v>
      </c>
      <c r="EJ193" s="12">
        <f>IF('Données projet'!$A$192&gt;35,EJ192+EI193-ER192,IF(A193&lt;'Données projet'!$A$192,$EG$205^A193,IF(A193='Données projet'!$A$192,'Données projet'!$B$192,EJ192+EI193-ER192)))</f>
        <v>143.03666666666638</v>
      </c>
      <c r="EK193" s="17">
        <f>EJ193*VLOOKUP('Données projet'!$B$15,Paramètres!$A$1:$I$89,3,0)*VLOOKUP('Données projet'!$B$15,Paramètres!$A$1:$I$89,5,0)</f>
        <v>142.80780799999974</v>
      </c>
      <c r="EL193" s="13">
        <f t="shared" si="179"/>
        <v>36.939489617270922</v>
      </c>
      <c r="EM193" s="20">
        <f t="shared" si="180"/>
        <v>313.05987668341305</v>
      </c>
      <c r="EN193" s="59">
        <f t="shared" si="128"/>
        <v>606.39321001674637</v>
      </c>
      <c r="EO193" s="59">
        <f ca="1">AVERAGE(OFFSET($EN$3,0,0,'Données projet'!$E$15+1,1))-AVERAGE(OFFSET($H$3,0,0,'Données projet'!$E$15+1,1))</f>
        <v>525.74725170626471</v>
      </c>
      <c r="EP193" s="59">
        <f t="shared" si="154"/>
        <v>259.19103598192197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104.04813990849307</v>
      </c>
      <c r="EW193" s="21">
        <f>EXP(-LN(2)/25)*EW192+(1-EXP(-LN(2)/25))/(LN(2)/25)*Calculateur!ER193*Calculateur!ET193*VLOOKUP('Données projet'!$B$15,Paramètres!$A$1:$I$89,3,0)*0.475*44/12</f>
        <v>39.574863063177261</v>
      </c>
      <c r="EX193" s="21">
        <f>EXP(-LN(2)/2)*EX192+(1-EXP(-LN(2)/2))/(LN(2)/2)*ER193*EU193*VLOOKUP('Données projet'!$B$15,Paramètres!$A$1:$I$89,3,0)*0.475*44/12</f>
        <v>6.9325844006490454E-7</v>
      </c>
      <c r="EY193" s="22">
        <f t="shared" si="181"/>
        <v>143.62300366492877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>
        <f>VLOOKUP(A194,'Données projet'!$A$35:$I$55,2,0)</f>
        <v>145.01</v>
      </c>
      <c r="L194" s="12">
        <f>VLOOKUP(A194,'Données projet'!$A$35:$I$55,9,0)</f>
        <v>1.9733333333333292</v>
      </c>
      <c r="M194" s="12">
        <f t="array" ref="M194">INDEX(L:L,MIN(IF(ISNUMBER(L194:L390),ROW(L194:L390),"")))</f>
        <v>1.9733333333333292</v>
      </c>
      <c r="N194" s="13">
        <f>IF('Données projet'!$A$36&gt;35,N193+M194-V193,IF(A194&lt;'Données projet'!$A$36,$K$205^A194,IF(A194='Données projet'!$A$36,'Données projet'!$B$36,N193+M194-V193)))</f>
        <v>145.00999999999971</v>
      </c>
      <c r="O194" s="13">
        <f>N194*VLOOKUP('Données projet'!$B$9,Paramètres!$A$1:$I$89,3,0)*VLOOKUP('Données projet'!$B$9,Paramètres!$A$1:$I$89,5,0)</f>
        <v>147.04013999999972</v>
      </c>
      <c r="P194" s="13">
        <f t="shared" si="141"/>
        <v>37.905168606806875</v>
      </c>
      <c r="Q194" s="20">
        <f t="shared" si="162"/>
        <v>322.11307915685478</v>
      </c>
      <c r="R194" s="59">
        <f t="shared" si="109"/>
        <v>615.4464124901881</v>
      </c>
      <c r="S194" s="59">
        <f ca="1">AVERAGE(OFFSET($R$3,0,0,'Données projet'!$E$9+1,1))-AVERAGE(OFFSET($H$3,0,0,'Données projet'!$E$9+1,1))</f>
        <v>533.26035274112917</v>
      </c>
      <c r="T194" s="59">
        <f t="shared" si="142"/>
        <v>262.58149402282521</v>
      </c>
      <c r="U194" s="15">
        <f>IF(ISNA(VLOOKUP(A194,'Données projet'!$A$35:$I$55,3,0)),0,VLOOKUP(A194,'Données projet'!$A$35:$I$55,3,0))</f>
        <v>16</v>
      </c>
      <c r="V194" s="15">
        <f>IF(ISNA(VLOOKUP(A194,'Données projet'!$A$35:$I$55,4,0)),0,VLOOKUP(A194,'Données projet'!$A$35:$I$55,4,0))</f>
        <v>145.01</v>
      </c>
      <c r="W194" s="16">
        <f>IF(ISNA(VLOOKUP(A194,'Données projet'!$A$35:$I$55,5,0)),0%,VLOOKUP(A194,'Données projet'!$A$35:$I$55,5,0)*VLOOKUP('Données projet'!$B$9,Paramètres!$A$1:$I$89,7,0))</f>
        <v>0.19350000000000001</v>
      </c>
      <c r="X194" s="16">
        <f>IF(ISNA(VLOOKUP(A194,'Données projet'!$A$35:$I$55,6,0)),0%,VLOOKUP(A194,'Données projet'!$A$35:$I$55,6,0)*VLOOKUP('Données projet'!$B$9,Paramètres!$A$1:$I$89,7,0))</f>
        <v>2.1500000000000002E-2</v>
      </c>
      <c r="Y194" s="16">
        <f>IF(ISNA(VLOOKUP(A194,'Données projet'!$A$35:$I$55,7,0)),0%,VLOOKUP(A194,'Données projet'!$A$35:$I$55,7,0))</f>
        <v>0.05</v>
      </c>
      <c r="Z194" s="21">
        <f>EXP(-LN(2)/35)*Z193+(1-EXP(-LN(2)/35))/(LN(2)/35)*V194*W194*VLOOKUP('Données projet'!$B$9,Paramètres!$A$1:$I$89,3,0)*0.475*44/12</f>
        <v>135.05483002385387</v>
      </c>
      <c r="AA194" s="21">
        <f>EXP(-LN(2)/25)*AA193+(1-EXP(-LN(2)/25))/(LN(2)/25)*Calculateur!V194*Calculateur!X194*VLOOKUP('Données projet'!$B$9,Paramètres!$A$1:$I$89,3,0)*0.475*44/12</f>
        <v>42.575167409995252</v>
      </c>
      <c r="AB194" s="21">
        <f>EXP(-LN(2)/2)*AB193+(1-EXP(-LN(2)/2))/(LN(2)/2)*V194*Y194*VLOOKUP('Données projet'!$B$9,Paramètres!$A$1:$I$89,3,0)*0.475*44/12</f>
        <v>6.9368169787344574</v>
      </c>
      <c r="AC194" s="22">
        <f t="shared" si="163"/>
        <v>184.5668144125836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5.4001247917767614E-13</v>
      </c>
      <c r="AJ194" s="13">
        <f>AI194*VLOOKUP('Données projet'!$B$10,Paramètres!$A$1:$I$89,3,0)*VLOOKUP('Données projet'!$B$10,Paramètres!$A$1:$I$89,5,0)</f>
        <v>4.8860329115996133E-13</v>
      </c>
      <c r="AK194" s="13">
        <f t="shared" si="164"/>
        <v>6.1025862939685007E-12</v>
      </c>
      <c r="AL194" s="20">
        <f t="shared" si="165"/>
        <v>1.1479655194098737E-11</v>
      </c>
      <c r="AM194" s="59">
        <f t="shared" si="113"/>
        <v>293.3333333333448</v>
      </c>
      <c r="AN194" s="59">
        <f ca="1">AVERAGE(OFFSET($AM$3,0,0,'Données projet'!$E$10+1,1))-AVERAGE(OFFSET($H$3,0,0,'Données projet'!$E$10+1,1))</f>
        <v>482.62991869403385</v>
      </c>
      <c r="AO194" s="59">
        <f t="shared" si="144"/>
        <v>310.43914804089906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75.340908552148406</v>
      </c>
      <c r="AV194" s="21">
        <f>EXP(-LN(2)/25)*AV193+(1-EXP(-LN(2)/25))/(LN(2)/25)*Calculateur!AQ194*Calculateur!AS194*VLOOKUP('Données projet'!$B$10,Paramètres!$A$1:$I$89,3,0)*0.475*44/12</f>
        <v>9.8663458156239905</v>
      </c>
      <c r="AW194" s="21">
        <f>EXP(-LN(2)/2)*AW193+(1-EXP(-LN(2)/2))/(LN(2)/2)*AQ194*AT194*VLOOKUP('Données projet'!$B$10,Paramètres!$A$1:$I$89,3,0)*0.475*44/12</f>
        <v>8.0768529315650411E-4</v>
      </c>
      <c r="AX194" s="21">
        <f t="shared" si="166"/>
        <v>85.208062053065547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384.34044781465661</v>
      </c>
      <c r="BJ194" s="59">
        <f t="shared" si="146"/>
        <v>374.99493809709708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6.3354350469534451</v>
      </c>
      <c r="BQ194" s="21">
        <f>EXP(-LN(2)/25)*BQ193+(1-EXP(-LN(2)/25))/(LN(2)/25)*Calculateur!BL194*Calculateur!BN194*VLOOKUP('Données projet'!$B$11,Paramètres!$A$1:$I$89,3,0)*0.475*44/12</f>
        <v>2.5963487285057711</v>
      </c>
      <c r="BR194" s="21">
        <f>EXP(-LN(2)/2)*BR193+(1-EXP(-LN(2)/2))/(LN(2)/2)*BL194*BO194*VLOOKUP('Données projet'!$B$11,Paramètres!$A$1:$I$89,3,0)*0.475*44/12</f>
        <v>1.345197489781872E-15</v>
      </c>
      <c r="BS194" s="22">
        <f t="shared" si="169"/>
        <v>8.931783775459218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5.4001247917767614E-13</v>
      </c>
      <c r="BZ194" s="13">
        <f>BY194*VLOOKUP('Données projet'!$B$12,Paramètres!$A$1:$I$89,3,0)*VLOOKUP('Données projet'!$B$12,Paramètres!$A$1:$I$89,5,0)</f>
        <v>5.1387587518547664E-13</v>
      </c>
      <c r="CA194" s="13">
        <f t="shared" si="170"/>
        <v>6.3806716506132977E-12</v>
      </c>
      <c r="CB194" s="20">
        <f t="shared" si="171"/>
        <v>1.2008003607432866E-11</v>
      </c>
      <c r="CC194" s="59">
        <f t="shared" si="119"/>
        <v>293.33333333334531</v>
      </c>
      <c r="CD194" s="59">
        <f ca="1">AVERAGE(OFFSET($CC$3,0,0,'Données projet'!$E$12+1,1))-AVERAGE(OFFSET($H$3,0,0,'Données projet'!$E$12+1,1))</f>
        <v>513.14430745499283</v>
      </c>
      <c r="CE194" s="59">
        <f t="shared" si="148"/>
        <v>324.2490378019823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65.255855046036132</v>
      </c>
      <c r="CL194" s="21">
        <f>EXP(-LN(2)/25)*CL193+(1-EXP(-LN(2)/25))/(LN(2)/25)*Calculateur!CG194*Calculateur!CI194*VLOOKUP('Données projet'!$B$12,Paramètres!$A$1:$I$89,3,0)*0.475*44/12</f>
        <v>9.1172719111970313</v>
      </c>
      <c r="CM194" s="21">
        <f>EXP(-LN(2)/2)*CM193+(1-EXP(-LN(2)/2))/(LN(2)/2)*CG194*CJ194*VLOOKUP('Données projet'!$B$12,Paramètres!$A$1:$I$89,3,0)*0.475*44/12</f>
        <v>2.1952418310350837E-4</v>
      </c>
      <c r="CN194" s="22">
        <f t="shared" si="172"/>
        <v>74.373346481416277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-1.1368683772161603E-13</v>
      </c>
      <c r="CU194" s="17">
        <f>CT194*VLOOKUP('Données projet'!$B$13,Paramètres!$A$1:$I$89,3,0)*VLOOKUP('Données projet'!$B$13,Paramètres!$A$1:$I$89,5,0)</f>
        <v>-8.8675733422860506E-14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197.51452239559433</v>
      </c>
      <c r="CZ194" s="59">
        <f t="shared" si="150"/>
        <v>196.65166921588821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2.4605090115172392</v>
      </c>
      <c r="DG194" s="21">
        <f>EXP(-LN(2)/25)*DG193+(1-EXP(-LN(2)/25))/(LN(2)/25)*Calculateur!DB194*Calculateur!DD194*VLOOKUP('Données projet'!$B$13,Paramètres!$A$1:$I$89,3,0)*0.475*44/12</f>
        <v>0.92161694919694803</v>
      </c>
      <c r="DH194" s="21">
        <f>EXP(-LN(2)/2)*DH193+(1-EXP(-LN(2)/2))/(LN(2)/2)*DB194*DE194*VLOOKUP('Données projet'!$B$13,Paramètres!$A$1:$I$89,3,0)*0.475*44/12</f>
        <v>1.6890207863606725E-17</v>
      </c>
      <c r="DI194" s="22">
        <f t="shared" si="175"/>
        <v>3.3821259607141871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>
        <f>DO194*VLOOKUP('Données projet'!$B$14,Paramètres!$A$1:$I$89,3,0)*VLOOKUP('Données projet'!$B$14,Paramètres!$A$1:$I$89,5,0)</f>
        <v>0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239.26156489359892</v>
      </c>
      <c r="DU194" s="59">
        <f t="shared" si="152"/>
        <v>213.97034450798111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1.463194985306256</v>
      </c>
      <c r="EB194" s="21">
        <f>EXP(-LN(2)/25)*EB193+(1-EXP(-LN(2)/25))/(LN(2)/25)*Calculateur!DW194*Calculateur!DY194*VLOOKUP('Données projet'!$B$14,Paramètres!$A$1:$I$89,3,0)*0.475*44/12</f>
        <v>3.8822874708898669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5.3454824561961232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>
        <f>VLOOKUP(A194,'Données projet'!$A$191:$I$211,2,0)</f>
        <v>145.01</v>
      </c>
      <c r="EH194" s="12">
        <f>VLOOKUP(A194,'Données projet'!$A$191:$I$211,9,0)</f>
        <v>1.9733333333333292</v>
      </c>
      <c r="EI194" s="12">
        <f t="array" ref="EI194">INDEX(EH:EH,MIN(IF(ISNUMBER(EH194:EH390),ROW(EH194:EH390),"")))</f>
        <v>1.9733333333333292</v>
      </c>
      <c r="EJ194" s="12">
        <f>IF('Données projet'!$A$192&gt;35,EJ193+EI194-ER193,IF(A194&lt;'Données projet'!$A$192,$EG$205^A194,IF(A194='Données projet'!$A$192,'Données projet'!$B$192,EJ193+EI194-ER193)))</f>
        <v>145.00999999999971</v>
      </c>
      <c r="EK194" s="17">
        <f>EJ194*VLOOKUP('Données projet'!$B$15,Paramètres!$A$1:$I$89,3,0)*VLOOKUP('Données projet'!$B$15,Paramètres!$A$1:$I$89,5,0)</f>
        <v>144.77798399999972</v>
      </c>
      <c r="EL194" s="13">
        <f t="shared" si="179"/>
        <v>37.389427542086295</v>
      </c>
      <c r="EM194" s="20">
        <f t="shared" si="180"/>
        <v>317.27490843579983</v>
      </c>
      <c r="EN194" s="59">
        <f t="shared" si="128"/>
        <v>610.6082417691332</v>
      </c>
      <c r="EO194" s="59">
        <f ca="1">AVERAGE(OFFSET($EN$3,0,0,'Données projet'!$E$15+1,1))-AVERAGE(OFFSET($H$3,0,0,'Données projet'!$E$15+1,1))</f>
        <v>525.74725170626471</v>
      </c>
      <c r="EP194" s="59">
        <f t="shared" si="154"/>
        <v>259.19103598192197</v>
      </c>
      <c r="EQ194" s="15">
        <f>IF(ISNA(VLOOKUP(A194,'Données projet'!$A$191:$I$211,3,0)),0,VLOOKUP(A194,'Données projet'!$A$191:$I$211,3,0))</f>
        <v>16</v>
      </c>
      <c r="ER194" s="15">
        <f>IF(ISNA(VLOOKUP(A194,'Données projet'!$A$191:$I$211,4,0)),0,VLOOKUP(A194,'Données projet'!$A$191:$I$211,4,0))</f>
        <v>145.01</v>
      </c>
      <c r="ES194" s="16">
        <f>IF(ISNA(VLOOKUP(A194,'Données projet'!$A$191:$I$211,5,0)),0%,VLOOKUP(A194,'Données projet'!$A$191:$I$211,5,0)*VLOOKUP('Données projet'!$B$15,Paramètres!$A$1:$I$89,7,0))</f>
        <v>0.19350000000000001</v>
      </c>
      <c r="ET194" s="16">
        <f>IF(ISNA(VLOOKUP(A194,'Données projet'!$A$191:$I$211,6,0)),0%,VLOOKUP(A194,'Données projet'!$A$191:$I$211,6,0)*VLOOKUP('Données projet'!$B$15,Paramètres!$A$1:$I$89,7,0))</f>
        <v>2.1500000000000002E-2</v>
      </c>
      <c r="EU194" s="16">
        <f>IF(ISNA(VLOOKUP(A194,'Données projet'!$A$191:$I$211,7,0)),0%,VLOOKUP(A194,'Données projet'!$A$191:$I$211,7,0))</f>
        <v>0.05</v>
      </c>
      <c r="EV194" s="21">
        <f>EXP(-LN(2)/35)*EV193+(1-EXP(-LN(2)/35))/(LN(2)/35)*ER194*ES194*VLOOKUP('Données projet'!$B$15,Paramètres!$A$1:$I$89,3,0)*0.475*44/12</f>
        <v>132.97706340810225</v>
      </c>
      <c r="EW194" s="21">
        <f>EXP(-LN(2)/25)*EW193+(1-EXP(-LN(2)/25))/(LN(2)/25)*Calculateur!ER194*Calculateur!ET194*VLOOKUP('Données projet'!$B$15,Paramètres!$A$1:$I$89,3,0)*0.475*44/12</f>
        <v>41.92016483445687</v>
      </c>
      <c r="EX194" s="21">
        <f>EXP(-LN(2)/2)*EX193+(1-EXP(-LN(2)/2))/(LN(2)/2)*ER194*EU194*VLOOKUP('Données projet'!$B$15,Paramètres!$A$1:$I$89,3,0)*0.475*44/12</f>
        <v>6.8300967175231566</v>
      </c>
      <c r="EY194" s="22">
        <f t="shared" si="181"/>
        <v>181.72732496008229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-2.8819613362429665E-13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533.26035274112917</v>
      </c>
      <c r="T195" s="59">
        <f t="shared" si="142"/>
        <v>262.58149402282521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132.40648718239851</v>
      </c>
      <c r="AA195" s="21">
        <f>EXP(-LN(2)/25)*AA194+(1-EXP(-LN(2)/25))/(LN(2)/25)*Calculateur!V195*Calculateur!X195*VLOOKUP('Données projet'!$B$9,Paramètres!$A$1:$I$89,3,0)*0.475*44/12</f>
        <v>41.410947218238185</v>
      </c>
      <c r="AB195" s="21">
        <f>EXP(-LN(2)/2)*AB194+(1-EXP(-LN(2)/2))/(LN(2)/2)*V195*Y195*VLOOKUP('Données projet'!$B$9,Paramètres!$A$1:$I$89,3,0)*0.475*44/12</f>
        <v>4.9050703255131136</v>
      </c>
      <c r="AC195" s="22">
        <f t="shared" si="163"/>
        <v>178.72250472614982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5.4001247917767614E-13</v>
      </c>
      <c r="AJ195" s="13">
        <f>AI195*VLOOKUP('Données projet'!$B$10,Paramètres!$A$1:$I$89,3,0)*VLOOKUP('Données projet'!$B$10,Paramètres!$A$1:$I$89,5,0)</f>
        <v>4.8860329115996133E-13</v>
      </c>
      <c r="AK195" s="13">
        <f t="shared" si="164"/>
        <v>6.1025862939685007E-12</v>
      </c>
      <c r="AL195" s="20">
        <f t="shared" si="165"/>
        <v>1.1479655194098737E-11</v>
      </c>
      <c r="AM195" s="59">
        <f t="shared" si="113"/>
        <v>293.3333333333448</v>
      </c>
      <c r="AN195" s="59">
        <f ca="1">AVERAGE(OFFSET($AM$3,0,0,'Données projet'!$E$10+1,1))-AVERAGE(OFFSET($H$3,0,0,'Données projet'!$E$10+1,1))</f>
        <v>482.62991869403385</v>
      </c>
      <c r="AO195" s="59">
        <f t="shared" si="144"/>
        <v>310.43914804089906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73.863519288857475</v>
      </c>
      <c r="AV195" s="21">
        <f>EXP(-LN(2)/25)*AV194+(1-EXP(-LN(2)/25))/(LN(2)/25)*Calculateur!AQ195*Calculateur!AS195*VLOOKUP('Données projet'!$B$10,Paramètres!$A$1:$I$89,3,0)*0.475*44/12</f>
        <v>9.5965500704471758</v>
      </c>
      <c r="AW195" s="21">
        <f>EXP(-LN(2)/2)*AW194+(1-EXP(-LN(2)/2))/(LN(2)/2)*AQ195*AT195*VLOOKUP('Données projet'!$B$10,Paramètres!$A$1:$I$89,3,0)*0.475*44/12</f>
        <v>5.7111974785560864E-4</v>
      </c>
      <c r="AX195" s="21">
        <f t="shared" si="166"/>
        <v>83.460640479052515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384.34044781465661</v>
      </c>
      <c r="BJ195" s="59">
        <f t="shared" si="146"/>
        <v>374.99493809709708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6.2112010299165057</v>
      </c>
      <c r="BQ195" s="21">
        <f>EXP(-LN(2)/25)*BQ194+(1-EXP(-LN(2)/25))/(LN(2)/25)*Calculateur!BL195*Calculateur!BN195*VLOOKUP('Données projet'!$B$11,Paramètres!$A$1:$I$89,3,0)*0.475*44/12</f>
        <v>2.525351435988735</v>
      </c>
      <c r="BR195" s="21">
        <f>EXP(-LN(2)/2)*BR194+(1-EXP(-LN(2)/2))/(LN(2)/2)*BL195*BO195*VLOOKUP('Données projet'!$B$11,Paramètres!$A$1:$I$89,3,0)*0.475*44/12</f>
        <v>9.5119826705988313E-16</v>
      </c>
      <c r="BS195" s="22">
        <f t="shared" si="169"/>
        <v>8.7365524659052429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5.4001247917767614E-13</v>
      </c>
      <c r="BZ195" s="13">
        <f>BY195*VLOOKUP('Données projet'!$B$12,Paramètres!$A$1:$I$89,3,0)*VLOOKUP('Données projet'!$B$12,Paramètres!$A$1:$I$89,5,0)</f>
        <v>5.1387587518547664E-13</v>
      </c>
      <c r="CA195" s="13">
        <f t="shared" si="170"/>
        <v>6.3806716506132977E-12</v>
      </c>
      <c r="CB195" s="20">
        <f t="shared" si="171"/>
        <v>1.2008003607432866E-11</v>
      </c>
      <c r="CC195" s="59">
        <f t="shared" si="119"/>
        <v>293.33333333334531</v>
      </c>
      <c r="CD195" s="59">
        <f ca="1">AVERAGE(OFFSET($CC$3,0,0,'Données projet'!$E$12+1,1))-AVERAGE(OFFSET($H$3,0,0,'Données projet'!$E$12+1,1))</f>
        <v>513.14430745499283</v>
      </c>
      <c r="CE195" s="59">
        <f t="shared" si="148"/>
        <v>324.2490378019823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63.976227530724806</v>
      </c>
      <c r="CL195" s="21">
        <f>EXP(-LN(2)/25)*CL194+(1-EXP(-LN(2)/25))/(LN(2)/25)*Calculateur!CG195*Calculateur!CI195*VLOOKUP('Données projet'!$B$12,Paramètres!$A$1:$I$89,3,0)*0.475*44/12</f>
        <v>8.8679596313288567</v>
      </c>
      <c r="CM195" s="21">
        <f>EXP(-LN(2)/2)*CM194+(1-EXP(-LN(2)/2))/(LN(2)/2)*CG195*CJ195*VLOOKUP('Données projet'!$B$12,Paramètres!$A$1:$I$89,3,0)*0.475*44/12</f>
        <v>1.5522703850692808E-4</v>
      </c>
      <c r="CN195" s="22">
        <f t="shared" si="172"/>
        <v>72.844342389092162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-1.1368683772161603E-13</v>
      </c>
      <c r="CU195" s="17">
        <f>CT195*VLOOKUP('Données projet'!$B$13,Paramètres!$A$1:$I$89,3,0)*VLOOKUP('Données projet'!$B$13,Paramètres!$A$1:$I$89,5,0)</f>
        <v>-8.8675733422860506E-14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197.51452239559433</v>
      </c>
      <c r="CZ195" s="59">
        <f t="shared" si="150"/>
        <v>196.65166921588821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2.4122599305636951</v>
      </c>
      <c r="DG195" s="21">
        <f>EXP(-LN(2)/25)*DG194+(1-EXP(-LN(2)/25))/(LN(2)/25)*Calculateur!DB195*Calculateur!DD195*VLOOKUP('Données projet'!$B$13,Paramètres!$A$1:$I$89,3,0)*0.475*44/12</f>
        <v>0.89641528525542846</v>
      </c>
      <c r="DH195" s="21">
        <f>EXP(-LN(2)/2)*DH194+(1-EXP(-LN(2)/2))/(LN(2)/2)*DB195*DE195*VLOOKUP('Données projet'!$B$13,Paramètres!$A$1:$I$89,3,0)*0.475*44/12</f>
        <v>1.1943180516006665E-17</v>
      </c>
      <c r="DI195" s="22">
        <f t="shared" si="175"/>
        <v>3.3086752158191235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>
        <f>DO195*VLOOKUP('Données projet'!$B$14,Paramètres!$A$1:$I$89,3,0)*VLOOKUP('Données projet'!$B$14,Paramètres!$A$1:$I$89,5,0)</f>
        <v>0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239.26156489359892</v>
      </c>
      <c r="DU195" s="59">
        <f t="shared" si="152"/>
        <v>213.97034450798111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1.4345026241052181</v>
      </c>
      <c r="EB195" s="21">
        <f>EXP(-LN(2)/25)*EB194+(1-EXP(-LN(2)/25))/(LN(2)/25)*Calculateur!DW195*Calculateur!DY195*VLOOKUP('Données projet'!$B$14,Paramètres!$A$1:$I$89,3,0)*0.475*44/12</f>
        <v>3.7761261158377586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5.2106287399429769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-2.8421709430404007E-13</v>
      </c>
      <c r="EK195" s="17">
        <f>EJ195*VLOOKUP('Données projet'!$B$15,Paramètres!$A$1:$I$89,3,0)*VLOOKUP('Données projet'!$B$15,Paramètres!$A$1:$I$89,5,0)</f>
        <v>-2.8376234695315366E-13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525.74725170626471</v>
      </c>
      <c r="EP195" s="59">
        <f t="shared" si="154"/>
        <v>259.19103598192197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130.36946430266929</v>
      </c>
      <c r="EW195" s="21">
        <f>EXP(-LN(2)/25)*EW194+(1-EXP(-LN(2)/25))/(LN(2)/25)*Calculateur!ER195*Calculateur!ET195*VLOOKUP('Données projet'!$B$15,Paramètres!$A$1:$I$89,3,0)*0.475*44/12</f>
        <v>40.773855722572989</v>
      </c>
      <c r="EX195" s="21">
        <f>EXP(-LN(2)/2)*EX194+(1-EXP(-LN(2)/2))/(LN(2)/2)*ER195*EU195*VLOOKUP('Données projet'!$B$15,Paramètres!$A$1:$I$89,3,0)*0.475*44/12</f>
        <v>4.8296077051206039</v>
      </c>
      <c r="EY195" s="22">
        <f t="shared" si="181"/>
        <v>175.97292773036287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-2.8819613362429665E-13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533.26035274112917</v>
      </c>
      <c r="T196" s="59">
        <f t="shared" si="142"/>
        <v>262.58149402282521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129.81007672873446</v>
      </c>
      <c r="AA196" s="21">
        <f>EXP(-LN(2)/25)*AA195+(1-EXP(-LN(2)/25))/(LN(2)/25)*Calculateur!V196*Calculateur!X196*VLOOKUP('Données projet'!$B$9,Paramètres!$A$1:$I$89,3,0)*0.475*44/12</f>
        <v>40.278562688848396</v>
      </c>
      <c r="AB196" s="21">
        <f>EXP(-LN(2)/2)*AB195+(1-EXP(-LN(2)/2))/(LN(2)/2)*V196*Y196*VLOOKUP('Données projet'!$B$9,Paramètres!$A$1:$I$89,3,0)*0.475*44/12</f>
        <v>3.4684084893672291</v>
      </c>
      <c r="AC196" s="22">
        <f t="shared" si="163"/>
        <v>173.55704790695006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5.4001247917767614E-13</v>
      </c>
      <c r="AJ196" s="13">
        <f>AI196*VLOOKUP('Données projet'!$B$10,Paramètres!$A$1:$I$89,3,0)*VLOOKUP('Données projet'!$B$10,Paramètres!$A$1:$I$89,5,0)</f>
        <v>4.8860329115996133E-13</v>
      </c>
      <c r="AK196" s="13">
        <f t="shared" si="164"/>
        <v>6.1025862939685007E-12</v>
      </c>
      <c r="AL196" s="20">
        <f t="shared" si="165"/>
        <v>1.1479655194098737E-11</v>
      </c>
      <c r="AM196" s="59">
        <f t="shared" ref="AM196:AM203" si="193">AL196+(AD196+AE196)*44/12</f>
        <v>293.3333333333448</v>
      </c>
      <c r="AN196" s="59">
        <f ca="1">AVERAGE(OFFSET($AM$3,0,0,'Données projet'!$E$10+1,1))-AVERAGE(OFFSET($H$3,0,0,'Données projet'!$E$10+1,1))</f>
        <v>482.62991869403385</v>
      </c>
      <c r="AO196" s="59">
        <f t="shared" si="144"/>
        <v>310.43914804089906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72.415100727901205</v>
      </c>
      <c r="AV196" s="21">
        <f>EXP(-LN(2)/25)*AV195+(1-EXP(-LN(2)/25))/(LN(2)/25)*Calculateur!AQ196*Calculateur!AS196*VLOOKUP('Données projet'!$B$10,Paramètres!$A$1:$I$89,3,0)*0.475*44/12</f>
        <v>9.334131904110162</v>
      </c>
      <c r="AW196" s="21">
        <f>EXP(-LN(2)/2)*AW195+(1-EXP(-LN(2)/2))/(LN(2)/2)*AQ196*AT196*VLOOKUP('Données projet'!$B$10,Paramètres!$A$1:$I$89,3,0)*0.475*44/12</f>
        <v>4.0384264657825205E-4</v>
      </c>
      <c r="AX196" s="21">
        <f t="shared" si="166"/>
        <v>81.749636474657947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384.34044781465661</v>
      </c>
      <c r="BJ196" s="59">
        <f t="shared" si="146"/>
        <v>374.99493809709708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6.0894031661783918</v>
      </c>
      <c r="BQ196" s="21">
        <f>EXP(-LN(2)/25)*BQ195+(1-EXP(-LN(2)/25))/(LN(2)/25)*Calculateur!BL196*Calculateur!BN196*VLOOKUP('Données projet'!$B$11,Paramètres!$A$1:$I$89,3,0)*0.475*44/12</f>
        <v>2.4562955681691627</v>
      </c>
      <c r="BR196" s="21">
        <f>EXP(-LN(2)/2)*BR195+(1-EXP(-LN(2)/2))/(LN(2)/2)*BL196*BO196*VLOOKUP('Données projet'!$B$11,Paramètres!$A$1:$I$89,3,0)*0.475*44/12</f>
        <v>6.7259874489093599E-16</v>
      </c>
      <c r="BS196" s="22">
        <f t="shared" si="169"/>
        <v>8.545698734347555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5.4001247917767614E-13</v>
      </c>
      <c r="BZ196" s="13">
        <f>BY196*VLOOKUP('Données projet'!$B$12,Paramètres!$A$1:$I$89,3,0)*VLOOKUP('Données projet'!$B$12,Paramètres!$A$1:$I$89,5,0)</f>
        <v>5.1387587518547664E-13</v>
      </c>
      <c r="CA196" s="13">
        <f t="shared" si="170"/>
        <v>6.3806716506132977E-12</v>
      </c>
      <c r="CB196" s="20">
        <f t="shared" si="171"/>
        <v>1.2008003607432866E-11</v>
      </c>
      <c r="CC196" s="59">
        <f t="shared" ref="CC196:CC203" si="195">CB196+(BT196+BU196)*44/12</f>
        <v>293.33333333334531</v>
      </c>
      <c r="CD196" s="59">
        <f ca="1">AVERAGE(OFFSET($CC$3,0,0,'Données projet'!$E$12+1,1))-AVERAGE(OFFSET($H$3,0,0,'Données projet'!$E$12+1,1))</f>
        <v>513.14430745499283</v>
      </c>
      <c r="CE196" s="59">
        <f t="shared" si="148"/>
        <v>324.2490378019823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62.721692730493018</v>
      </c>
      <c r="CL196" s="21">
        <f>EXP(-LN(2)/25)*CL195+(1-EXP(-LN(2)/25))/(LN(2)/25)*Calculateur!CG196*Calculateur!CI196*VLOOKUP('Données projet'!$B$12,Paramètres!$A$1:$I$89,3,0)*0.475*44/12</f>
        <v>8.6254648088644394</v>
      </c>
      <c r="CM196" s="21">
        <f>EXP(-LN(2)/2)*CM195+(1-EXP(-LN(2)/2))/(LN(2)/2)*CG196*CJ196*VLOOKUP('Données projet'!$B$12,Paramètres!$A$1:$I$89,3,0)*0.475*44/12</f>
        <v>1.0976209155175418E-4</v>
      </c>
      <c r="CN196" s="22">
        <f t="shared" si="172"/>
        <v>71.347267301449008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-1.1368683772161603E-13</v>
      </c>
      <c r="CU196" s="17">
        <f>CT196*VLOOKUP('Données projet'!$B$13,Paramètres!$A$1:$I$89,3,0)*VLOOKUP('Données projet'!$B$13,Paramètres!$A$1:$I$89,5,0)</f>
        <v>-8.8675733422860506E-14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197.51452239559433</v>
      </c>
      <c r="CZ196" s="59">
        <f t="shared" si="150"/>
        <v>196.65166921588821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2.3649569846586167</v>
      </c>
      <c r="DG196" s="21">
        <f>EXP(-LN(2)/25)*DG195+(1-EXP(-LN(2)/25))/(LN(2)/25)*Calculateur!DB196*Calculateur!DD196*VLOOKUP('Données projet'!$B$13,Paramètres!$A$1:$I$89,3,0)*0.475*44/12</f>
        <v>0.87190276213968776</v>
      </c>
      <c r="DH196" s="21">
        <f>EXP(-LN(2)/2)*DH195+(1-EXP(-LN(2)/2))/(LN(2)/2)*DB196*DE196*VLOOKUP('Données projet'!$B$13,Paramètres!$A$1:$I$89,3,0)*0.475*44/12</f>
        <v>8.4451039318033624E-18</v>
      </c>
      <c r="DI196" s="22">
        <f t="shared" si="175"/>
        <v>3.2368597467983045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>
        <f>DO196*VLOOKUP('Données projet'!$B$14,Paramètres!$A$1:$I$89,3,0)*VLOOKUP('Données projet'!$B$14,Paramètres!$A$1:$I$89,5,0)</f>
        <v>0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239.26156489359892</v>
      </c>
      <c r="DU196" s="59">
        <f t="shared" si="152"/>
        <v>213.97034450798111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1.4063729026067204</v>
      </c>
      <c r="EB196" s="21">
        <f>EXP(-LN(2)/25)*EB195+(1-EXP(-LN(2)/25))/(LN(2)/25)*Calculateur!DW196*Calculateur!DY196*VLOOKUP('Données projet'!$B$14,Paramètres!$A$1:$I$89,3,0)*0.475*44/12</f>
        <v>3.6728677486223331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5.0792406512290533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-2.8421709430404007E-13</v>
      </c>
      <c r="EK196" s="17">
        <f>EJ196*VLOOKUP('Données projet'!$B$15,Paramètres!$A$1:$I$89,3,0)*VLOOKUP('Données projet'!$B$15,Paramètres!$A$1:$I$89,5,0)</f>
        <v>-2.8376234695315366E-13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525.74725170626471</v>
      </c>
      <c r="EP196" s="59">
        <f t="shared" si="154"/>
        <v>259.19103598192197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127.81299862521546</v>
      </c>
      <c r="EW196" s="21">
        <f>EXP(-LN(2)/25)*EW195+(1-EXP(-LN(2)/25))/(LN(2)/25)*Calculateur!ER196*Calculateur!ET196*VLOOKUP('Données projet'!$B$15,Paramètres!$A$1:$I$89,3,0)*0.475*44/12</f>
        <v>39.658892493635349</v>
      </c>
      <c r="EX196" s="21">
        <f>EXP(-LN(2)/2)*EX195+(1-EXP(-LN(2)/2))/(LN(2)/2)*ER196*EU196*VLOOKUP('Données projet'!$B$15,Paramètres!$A$1:$I$89,3,0)*0.475*44/12</f>
        <v>3.4150483587615792</v>
      </c>
      <c r="EY196" s="22">
        <f t="shared" si="181"/>
        <v>170.88693947761237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-2.8819613362429665E-13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533.26035274112917</v>
      </c>
      <c r="T197" s="59">
        <f t="shared" ref="T197:T203" si="204">$T$3</f>
        <v>262.58149402282521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127.26458030041276</v>
      </c>
      <c r="AA197" s="21">
        <f>EXP(-LN(2)/25)*AA196+(1-EXP(-LN(2)/25))/(LN(2)/25)*Calculateur!V197*Calculateur!X197*VLOOKUP('Données projet'!$B$9,Paramètres!$A$1:$I$89,3,0)*0.475*44/12</f>
        <v>39.177143273964283</v>
      </c>
      <c r="AB197" s="21">
        <f>EXP(-LN(2)/2)*AB196+(1-EXP(-LN(2)/2))/(LN(2)/2)*V197*Y197*VLOOKUP('Données projet'!$B$9,Paramètres!$A$1:$I$89,3,0)*0.475*44/12</f>
        <v>2.4525351627565573</v>
      </c>
      <c r="AC197" s="22">
        <f t="shared" si="163"/>
        <v>168.89425873713361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5.4001247917767614E-13</v>
      </c>
      <c r="AJ197" s="13">
        <f>AI197*VLOOKUP('Données projet'!$B$10,Paramètres!$A$1:$I$89,3,0)*VLOOKUP('Données projet'!$B$10,Paramètres!$A$1:$I$89,5,0)</f>
        <v>4.8860329115996133E-13</v>
      </c>
      <c r="AK197" s="13">
        <f t="shared" si="164"/>
        <v>6.1025862939685007E-12</v>
      </c>
      <c r="AL197" s="20">
        <f t="shared" si="165"/>
        <v>1.1479655194098737E-11</v>
      </c>
      <c r="AM197" s="59">
        <f t="shared" si="193"/>
        <v>293.3333333333448</v>
      </c>
      <c r="AN197" s="59">
        <f ca="1">AVERAGE(OFFSET($AM$3,0,0,'Données projet'!$E$10+1,1))-AVERAGE(OFFSET($H$3,0,0,'Données projet'!$E$10+1,1))</f>
        <v>482.62991869403385</v>
      </c>
      <c r="AO197" s="59">
        <f t="shared" ref="AO197:AO203" si="205">$AO$3</f>
        <v>310.43914804089906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70.995084771477195</v>
      </c>
      <c r="AV197" s="21">
        <f>EXP(-LN(2)/25)*AV196+(1-EXP(-LN(2)/25))/(LN(2)/25)*Calculateur!AQ197*Calculateur!AS197*VLOOKUP('Données projet'!$B$10,Paramètres!$A$1:$I$89,3,0)*0.475*44/12</f>
        <v>9.0788895763316066</v>
      </c>
      <c r="AW197" s="21">
        <f>EXP(-LN(2)/2)*AW196+(1-EXP(-LN(2)/2))/(LN(2)/2)*AQ197*AT197*VLOOKUP('Données projet'!$B$10,Paramètres!$A$1:$I$89,3,0)*0.475*44/12</f>
        <v>2.8555987392780432E-4</v>
      </c>
      <c r="AX197" s="21">
        <f t="shared" si="166"/>
        <v>80.07425990768273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384.34044781465661</v>
      </c>
      <c r="BJ197" s="59">
        <f t="shared" ref="BJ197:BJ203" si="206">$BJ$3</f>
        <v>374.99493809709708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5.9699936842588208</v>
      </c>
      <c r="BQ197" s="21">
        <f>EXP(-LN(2)/25)*BQ196+(1-EXP(-LN(2)/25))/(LN(2)/25)*Calculateur!BL197*Calculateur!BN197*VLOOKUP('Données projet'!$B$11,Paramètres!$A$1:$I$89,3,0)*0.475*44/12</f>
        <v>2.389128036686607</v>
      </c>
      <c r="BR197" s="21">
        <f>EXP(-LN(2)/2)*BR196+(1-EXP(-LN(2)/2))/(LN(2)/2)*BL197*BO197*VLOOKUP('Données projet'!$B$11,Paramètres!$A$1:$I$89,3,0)*0.475*44/12</f>
        <v>4.7559913352994157E-16</v>
      </c>
      <c r="BS197" s="22">
        <f t="shared" si="169"/>
        <v>8.3591217209454278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5.4001247917767614E-13</v>
      </c>
      <c r="BZ197" s="13">
        <f>BY197*VLOOKUP('Données projet'!$B$12,Paramètres!$A$1:$I$89,3,0)*VLOOKUP('Données projet'!$B$12,Paramètres!$A$1:$I$89,5,0)</f>
        <v>5.1387587518547664E-13</v>
      </c>
      <c r="CA197" s="13">
        <f t="shared" si="170"/>
        <v>6.3806716506132977E-12</v>
      </c>
      <c r="CB197" s="20">
        <f t="shared" si="171"/>
        <v>1.2008003607432866E-11</v>
      </c>
      <c r="CC197" s="59">
        <f t="shared" si="195"/>
        <v>293.33333333334531</v>
      </c>
      <c r="CD197" s="59">
        <f ca="1">AVERAGE(OFFSET($CC$3,0,0,'Données projet'!$E$12+1,1))-AVERAGE(OFFSET($H$3,0,0,'Données projet'!$E$12+1,1))</f>
        <v>513.14430745499283</v>
      </c>
      <c r="CE197" s="59">
        <f t="shared" ref="CE197:CE203" si="207">$CE$3</f>
        <v>324.2490378019823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61.491758592503103</v>
      </c>
      <c r="CL197" s="21">
        <f>EXP(-LN(2)/25)*CL196+(1-EXP(-LN(2)/25))/(LN(2)/25)*Calculateur!CG197*Calculateur!CI197*VLOOKUP('Données projet'!$B$12,Paramètres!$A$1:$I$89,3,0)*0.475*44/12</f>
        <v>8.3896010200725613</v>
      </c>
      <c r="CM197" s="21">
        <f>EXP(-LN(2)/2)*CM196+(1-EXP(-LN(2)/2))/(LN(2)/2)*CG197*CJ197*VLOOKUP('Données projet'!$B$12,Paramètres!$A$1:$I$89,3,0)*0.475*44/12</f>
        <v>7.7613519253464042E-5</v>
      </c>
      <c r="CN197" s="22">
        <f t="shared" si="172"/>
        <v>69.881437226094917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-1.1368683772161603E-13</v>
      </c>
      <c r="CU197" s="17">
        <f>CT197*VLOOKUP('Données projet'!$B$13,Paramètres!$A$1:$I$89,3,0)*VLOOKUP('Données projet'!$B$13,Paramètres!$A$1:$I$89,5,0)</f>
        <v>-8.8675733422860506E-14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197.51452239559433</v>
      </c>
      <c r="CZ197" s="59">
        <f t="shared" ref="CZ197:CZ203" si="208">$CZ$3</f>
        <v>196.65166921588821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2.3185816206707885</v>
      </c>
      <c r="DG197" s="21">
        <f>EXP(-LN(2)/25)*DG196+(1-EXP(-LN(2)/25))/(LN(2)/25)*Calculateur!DB197*Calculateur!DD197*VLOOKUP('Données projet'!$B$13,Paramètres!$A$1:$I$89,3,0)*0.475*44/12</f>
        <v>0.8480605352576045</v>
      </c>
      <c r="DH197" s="21">
        <f>EXP(-LN(2)/2)*DH196+(1-EXP(-LN(2)/2))/(LN(2)/2)*DB197*DE197*VLOOKUP('Données projet'!$B$13,Paramètres!$A$1:$I$89,3,0)*0.475*44/12</f>
        <v>5.9715902580033325E-18</v>
      </c>
      <c r="DI197" s="22">
        <f t="shared" si="175"/>
        <v>3.1666421559283933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>
        <f>DO197*VLOOKUP('Données projet'!$B$14,Paramètres!$A$1:$I$89,3,0)*VLOOKUP('Données projet'!$B$14,Paramètres!$A$1:$I$89,5,0)</f>
        <v>0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239.26156489359892</v>
      </c>
      <c r="DU197" s="59">
        <f t="shared" ref="DU197:DU203" si="209">$DU$3</f>
        <v>213.97034450798111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1.3787947877893723</v>
      </c>
      <c r="EB197" s="21">
        <f>EXP(-LN(2)/25)*EB196+(1-EXP(-LN(2)/25))/(LN(2)/25)*Calculateur!DW197*Calculateur!DY197*VLOOKUP('Données projet'!$B$14,Paramètres!$A$1:$I$89,3,0)*0.475*44/12</f>
        <v>3.5724329868885349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4.951227774677907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-2.8421709430404007E-13</v>
      </c>
      <c r="EK197" s="17">
        <f>EJ197*VLOOKUP('Données projet'!$B$15,Paramètres!$A$1:$I$89,3,0)*VLOOKUP('Données projet'!$B$15,Paramètres!$A$1:$I$89,5,0)</f>
        <v>-2.8376234695315366E-13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525.74725170626471</v>
      </c>
      <c r="EP197" s="59">
        <f t="shared" ref="EP197:EP203" si="210">$EP$3</f>
        <v>259.19103598192197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125.3066636804064</v>
      </c>
      <c r="EW197" s="21">
        <f>EXP(-LN(2)/25)*EW196+(1-EXP(-LN(2)/25))/(LN(2)/25)*Calculateur!ER197*Calculateur!ET197*VLOOKUP('Données projet'!$B$15,Paramètres!$A$1:$I$89,3,0)*0.475*44/12</f>
        <v>38.574417992826376</v>
      </c>
      <c r="EX197" s="21">
        <f>EXP(-LN(2)/2)*EX196+(1-EXP(-LN(2)/2))/(LN(2)/2)*ER197*EU197*VLOOKUP('Données projet'!$B$15,Paramètres!$A$1:$I$89,3,0)*0.475*44/12</f>
        <v>2.4148038525603024</v>
      </c>
      <c r="EY197" s="22">
        <f t="shared" si="181"/>
        <v>166.2958855257931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-2.8819613362429665E-13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533.26035274112917</v>
      </c>
      <c r="T198" s="59">
        <f t="shared" si="204"/>
        <v>262.58149402282521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124.76899950445095</v>
      </c>
      <c r="AA198" s="21">
        <f>EXP(-LN(2)/25)*AA197+(1-EXP(-LN(2)/25))/(LN(2)/25)*Calculateur!V198*Calculateur!X198*VLOOKUP('Données projet'!$B$9,Paramètres!$A$1:$I$89,3,0)*0.475*44/12</f>
        <v>38.105842230901303</v>
      </c>
      <c r="AB198" s="21">
        <f>EXP(-LN(2)/2)*AB197+(1-EXP(-LN(2)/2))/(LN(2)/2)*V198*Y198*VLOOKUP('Données projet'!$B$9,Paramètres!$A$1:$I$89,3,0)*0.475*44/12</f>
        <v>1.7342042446836148</v>
      </c>
      <c r="AC198" s="22">
        <f t="shared" si="163"/>
        <v>164.60904598003586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5.4001247917767614E-13</v>
      </c>
      <c r="AJ198" s="13">
        <f>AI198*VLOOKUP('Données projet'!$B$10,Paramètres!$A$1:$I$89,3,0)*VLOOKUP('Données projet'!$B$10,Paramètres!$A$1:$I$89,5,0)</f>
        <v>4.8860329115996133E-13</v>
      </c>
      <c r="AK198" s="13">
        <f t="shared" si="164"/>
        <v>6.1025862939685007E-12</v>
      </c>
      <c r="AL198" s="20">
        <f t="shared" si="165"/>
        <v>1.1479655194098737E-11</v>
      </c>
      <c r="AM198" s="59">
        <f t="shared" si="193"/>
        <v>293.3333333333448</v>
      </c>
      <c r="AN198" s="59">
        <f ca="1">AVERAGE(OFFSET($AM$3,0,0,'Données projet'!$E$10+1,1))-AVERAGE(OFFSET($H$3,0,0,'Données projet'!$E$10+1,1))</f>
        <v>482.62991869403385</v>
      </c>
      <c r="AO198" s="59">
        <f t="shared" si="205"/>
        <v>310.43914804089906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69.602914461834445</v>
      </c>
      <c r="AV198" s="21">
        <f>EXP(-LN(2)/25)*AV197+(1-EXP(-LN(2)/25))/(LN(2)/25)*Calculateur!AQ198*Calculateur!AS198*VLOOKUP('Données projet'!$B$10,Paramètres!$A$1:$I$89,3,0)*0.475*44/12</f>
        <v>8.8306268634287655</v>
      </c>
      <c r="AW198" s="21">
        <f>EXP(-LN(2)/2)*AW197+(1-EXP(-LN(2)/2))/(LN(2)/2)*AQ198*AT198*VLOOKUP('Données projet'!$B$10,Paramètres!$A$1:$I$89,3,0)*0.475*44/12</f>
        <v>2.0192132328912603E-4</v>
      </c>
      <c r="AX198" s="21">
        <f t="shared" si="166"/>
        <v>78.433743246586502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384.34044781465661</v>
      </c>
      <c r="BJ198" s="59">
        <f t="shared" si="206"/>
        <v>374.99493809709708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5.8529257494471008</v>
      </c>
      <c r="BQ198" s="21">
        <f>EXP(-LN(2)/25)*BQ197+(1-EXP(-LN(2)/25))/(LN(2)/25)*Calculateur!BL198*Calculateur!BN198*VLOOKUP('Données projet'!$B$11,Paramètres!$A$1:$I$89,3,0)*0.475*44/12</f>
        <v>2.3237972048846287</v>
      </c>
      <c r="BR198" s="21">
        <f>EXP(-LN(2)/2)*BR197+(1-EXP(-LN(2)/2))/(LN(2)/2)*BL198*BO198*VLOOKUP('Données projet'!$B$11,Paramètres!$A$1:$I$89,3,0)*0.475*44/12</f>
        <v>3.3629937244546799E-16</v>
      </c>
      <c r="BS198" s="22">
        <f t="shared" si="169"/>
        <v>8.1767229543317299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5.4001247917767614E-13</v>
      </c>
      <c r="BZ198" s="13">
        <f>BY198*VLOOKUP('Données projet'!$B$12,Paramètres!$A$1:$I$89,3,0)*VLOOKUP('Données projet'!$B$12,Paramètres!$A$1:$I$89,5,0)</f>
        <v>5.1387587518547664E-13</v>
      </c>
      <c r="CA198" s="13">
        <f t="shared" si="170"/>
        <v>6.3806716506132977E-12</v>
      </c>
      <c r="CB198" s="20">
        <f t="shared" si="171"/>
        <v>1.2008003607432866E-11</v>
      </c>
      <c r="CC198" s="59">
        <f t="shared" si="195"/>
        <v>293.33333333334531</v>
      </c>
      <c r="CD198" s="59">
        <f ca="1">AVERAGE(OFFSET($CC$3,0,0,'Données projet'!$E$12+1,1))-AVERAGE(OFFSET($H$3,0,0,'Données projet'!$E$12+1,1))</f>
        <v>513.14430745499283</v>
      </c>
      <c r="CE198" s="59">
        <f t="shared" si="207"/>
        <v>324.2490378019823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60.285942712773419</v>
      </c>
      <c r="CL198" s="21">
        <f>EXP(-LN(2)/25)*CL197+(1-EXP(-LN(2)/25))/(LN(2)/25)*Calculateur!CG198*Calculateur!CI198*VLOOKUP('Données projet'!$B$12,Paramètres!$A$1:$I$89,3,0)*0.475*44/12</f>
        <v>8.1601869389887334</v>
      </c>
      <c r="CM198" s="21">
        <f>EXP(-LN(2)/2)*CM197+(1-EXP(-LN(2)/2))/(LN(2)/2)*CG198*CJ198*VLOOKUP('Données projet'!$B$12,Paramètres!$A$1:$I$89,3,0)*0.475*44/12</f>
        <v>5.4881045775877092E-5</v>
      </c>
      <c r="CN198" s="22">
        <f t="shared" si="172"/>
        <v>68.446184532807919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-1.1368683772161603E-13</v>
      </c>
      <c r="CU198" s="17">
        <f>CT198*VLOOKUP('Données projet'!$B$13,Paramètres!$A$1:$I$89,3,0)*VLOOKUP('Données projet'!$B$13,Paramètres!$A$1:$I$89,5,0)</f>
        <v>-8.8675733422860506E-14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197.51452239559433</v>
      </c>
      <c r="CZ198" s="59">
        <f t="shared" si="208"/>
        <v>196.65166921588821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2.2731156492845828</v>
      </c>
      <c r="DG198" s="21">
        <f>EXP(-LN(2)/25)*DG197+(1-EXP(-LN(2)/25))/(LN(2)/25)*Calculateur!DB198*Calculateur!DD198*VLOOKUP('Données projet'!$B$13,Paramètres!$A$1:$I$89,3,0)*0.475*44/12</f>
        <v>0.82487027532342005</v>
      </c>
      <c r="DH198" s="21">
        <f>EXP(-LN(2)/2)*DH197+(1-EXP(-LN(2)/2))/(LN(2)/2)*DB198*DE198*VLOOKUP('Données projet'!$B$13,Paramètres!$A$1:$I$89,3,0)*0.475*44/12</f>
        <v>4.2225519659016812E-18</v>
      </c>
      <c r="DI198" s="22">
        <f t="shared" si="175"/>
        <v>3.097985924608003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>
        <f>DO198*VLOOKUP('Données projet'!$B$14,Paramètres!$A$1:$I$89,3,0)*VLOOKUP('Données projet'!$B$14,Paramètres!$A$1:$I$89,5,0)</f>
        <v>0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239.26156489359892</v>
      </c>
      <c r="DU198" s="59">
        <f t="shared" si="209"/>
        <v>213.97034450798111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1.3517574629826032</v>
      </c>
      <c r="EB198" s="21">
        <f>EXP(-LN(2)/25)*EB197+(1-EXP(-LN(2)/25))/(LN(2)/25)*Calculateur!DW198*Calculateur!DY198*VLOOKUP('Données projet'!$B$14,Paramètres!$A$1:$I$89,3,0)*0.475*44/12</f>
        <v>3.4747446189959823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4.8265020819785853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-2.8421709430404007E-13</v>
      </c>
      <c r="EK198" s="17">
        <f>EJ198*VLOOKUP('Données projet'!$B$15,Paramètres!$A$1:$I$89,3,0)*VLOOKUP('Données projet'!$B$15,Paramètres!$A$1:$I$89,5,0)</f>
        <v>-2.8376234695315366E-13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525.74725170626471</v>
      </c>
      <c r="EP198" s="59">
        <f t="shared" si="210"/>
        <v>259.19103598192197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122.84947643515169</v>
      </c>
      <c r="EW198" s="21">
        <f>EXP(-LN(2)/25)*EW197+(1-EXP(-LN(2)/25))/(LN(2)/25)*Calculateur!ER198*Calculateur!ET198*VLOOKUP('Données projet'!$B$15,Paramètres!$A$1:$I$89,3,0)*0.475*44/12</f>
        <v>37.519598504272061</v>
      </c>
      <c r="EX198" s="21">
        <f>EXP(-LN(2)/2)*EX197+(1-EXP(-LN(2)/2))/(LN(2)/2)*ER198*EU198*VLOOKUP('Données projet'!$B$15,Paramètres!$A$1:$I$89,3,0)*0.475*44/12</f>
        <v>1.7075241793807898</v>
      </c>
      <c r="EY198" s="22">
        <f t="shared" si="181"/>
        <v>162.07659911880452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-2.8819613362429665E-13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533.26035274112917</v>
      </c>
      <c r="T199" s="59">
        <f t="shared" si="204"/>
        <v>262.58149402282521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122.32235552574396</v>
      </c>
      <c r="AA199" s="21">
        <f>EXP(-LN(2)/25)*AA198+(1-EXP(-LN(2)/25))/(LN(2)/25)*Calculateur!V199*Calculateur!X199*VLOOKUP('Données projet'!$B$9,Paramètres!$A$1:$I$89,3,0)*0.475*44/12</f>
        <v>37.063835971198152</v>
      </c>
      <c r="AB199" s="21">
        <f>EXP(-LN(2)/2)*AB198+(1-EXP(-LN(2)/2))/(LN(2)/2)*V199*Y199*VLOOKUP('Données projet'!$B$9,Paramètres!$A$1:$I$89,3,0)*0.475*44/12</f>
        <v>1.2262675813782788</v>
      </c>
      <c r="AC199" s="22">
        <f t="shared" si="163"/>
        <v>160.61245907832037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5.4001247917767614E-13</v>
      </c>
      <c r="AJ199" s="13">
        <f>AI199*VLOOKUP('Données projet'!$B$10,Paramètres!$A$1:$I$89,3,0)*VLOOKUP('Données projet'!$B$10,Paramètres!$A$1:$I$89,5,0)</f>
        <v>4.8860329115996133E-13</v>
      </c>
      <c r="AK199" s="13">
        <f t="shared" si="164"/>
        <v>6.1025862939685007E-12</v>
      </c>
      <c r="AL199" s="20">
        <f t="shared" si="165"/>
        <v>1.1479655194098737E-11</v>
      </c>
      <c r="AM199" s="59">
        <f t="shared" si="193"/>
        <v>293.3333333333448</v>
      </c>
      <c r="AN199" s="59">
        <f ca="1">AVERAGE(OFFSET($AM$3,0,0,'Données projet'!$E$10+1,1))-AVERAGE(OFFSET($H$3,0,0,'Données projet'!$E$10+1,1))</f>
        <v>482.62991869403385</v>
      </c>
      <c r="AO199" s="59">
        <f t="shared" si="205"/>
        <v>310.43914804089906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68.23804376282375</v>
      </c>
      <c r="AV199" s="21">
        <f>EXP(-LN(2)/25)*AV198+(1-EXP(-LN(2)/25))/(LN(2)/25)*Calculateur!AQ199*Calculateur!AS199*VLOOKUP('Données projet'!$B$10,Paramètres!$A$1:$I$89,3,0)*0.475*44/12</f>
        <v>8.5891529074658219</v>
      </c>
      <c r="AW199" s="21">
        <f>EXP(-LN(2)/2)*AW198+(1-EXP(-LN(2)/2))/(LN(2)/2)*AQ199*AT199*VLOOKUP('Données projet'!$B$10,Paramètres!$A$1:$I$89,3,0)*0.475*44/12</f>
        <v>1.4277993696390216E-4</v>
      </c>
      <c r="AX199" s="21">
        <f t="shared" si="166"/>
        <v>76.827339450226532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384.34044781465661</v>
      </c>
      <c r="BJ199" s="59">
        <f t="shared" si="206"/>
        <v>374.99493809709708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5.7381534454326486</v>
      </c>
      <c r="BQ199" s="21">
        <f>EXP(-LN(2)/25)*BQ198+(1-EXP(-LN(2)/25))/(LN(2)/25)*Calculateur!BL199*Calculateur!BN199*VLOOKUP('Données projet'!$B$11,Paramètres!$A$1:$I$89,3,0)*0.475*44/12</f>
        <v>2.2602528481138746</v>
      </c>
      <c r="BR199" s="21">
        <f>EXP(-LN(2)/2)*BR198+(1-EXP(-LN(2)/2))/(LN(2)/2)*BL199*BO199*VLOOKUP('Données projet'!$B$11,Paramètres!$A$1:$I$89,3,0)*0.475*44/12</f>
        <v>2.3779956676497078E-16</v>
      </c>
      <c r="BS199" s="22">
        <f t="shared" si="169"/>
        <v>7.9984062935465232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5.4001247917767614E-13</v>
      </c>
      <c r="BZ199" s="13">
        <f>BY199*VLOOKUP('Données projet'!$B$12,Paramètres!$A$1:$I$89,3,0)*VLOOKUP('Données projet'!$B$12,Paramètres!$A$1:$I$89,5,0)</f>
        <v>5.1387587518547664E-13</v>
      </c>
      <c r="CA199" s="13">
        <f t="shared" si="170"/>
        <v>6.3806716506132977E-12</v>
      </c>
      <c r="CB199" s="20">
        <f t="shared" si="171"/>
        <v>1.2008003607432866E-11</v>
      </c>
      <c r="CC199" s="59">
        <f t="shared" si="195"/>
        <v>293.33333333334531</v>
      </c>
      <c r="CD199" s="59">
        <f ca="1">AVERAGE(OFFSET($CC$3,0,0,'Données projet'!$E$12+1,1))-AVERAGE(OFFSET($H$3,0,0,'Données projet'!$E$12+1,1))</f>
        <v>513.14430745499283</v>
      </c>
      <c r="CE199" s="59">
        <f t="shared" si="207"/>
        <v>324.2490378019823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59.103772146970172</v>
      </c>
      <c r="CL199" s="21">
        <f>EXP(-LN(2)/25)*CL198+(1-EXP(-LN(2)/25))/(LN(2)/25)*Calculateur!CG199*Calculateur!CI199*VLOOKUP('Données projet'!$B$12,Paramètres!$A$1:$I$89,3,0)*0.475*44/12</f>
        <v>7.9370461980165059</v>
      </c>
      <c r="CM199" s="21">
        <f>EXP(-LN(2)/2)*CM198+(1-EXP(-LN(2)/2))/(LN(2)/2)*CG199*CJ199*VLOOKUP('Données projet'!$B$12,Paramètres!$A$1:$I$89,3,0)*0.475*44/12</f>
        <v>3.8806759626732021E-5</v>
      </c>
      <c r="CN199" s="22">
        <f t="shared" si="172"/>
        <v>67.040857151746309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-1.1368683772161603E-13</v>
      </c>
      <c r="CU199" s="17">
        <f>CT199*VLOOKUP('Données projet'!$B$13,Paramètres!$A$1:$I$89,3,0)*VLOOKUP('Données projet'!$B$13,Paramètres!$A$1:$I$89,5,0)</f>
        <v>-8.8675733422860506E-14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197.51452239559433</v>
      </c>
      <c r="CZ199" s="59">
        <f t="shared" si="208"/>
        <v>196.65166921588821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2.2285412378657563</v>
      </c>
      <c r="DG199" s="21">
        <f>EXP(-LN(2)/25)*DG198+(1-EXP(-LN(2)/25))/(LN(2)/25)*Calculateur!DB199*Calculateur!DD199*VLOOKUP('Données projet'!$B$13,Paramètres!$A$1:$I$89,3,0)*0.475*44/12</f>
        <v>0.80231415426665864</v>
      </c>
      <c r="DH199" s="21">
        <f>EXP(-LN(2)/2)*DH198+(1-EXP(-LN(2)/2))/(LN(2)/2)*DB199*DE199*VLOOKUP('Données projet'!$B$13,Paramètres!$A$1:$I$89,3,0)*0.475*44/12</f>
        <v>2.9857951290016662E-18</v>
      </c>
      <c r="DI199" s="22">
        <f t="shared" si="175"/>
        <v>3.0308553921324148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>
        <f>DO199*VLOOKUP('Données projet'!$B$14,Paramètres!$A$1:$I$89,3,0)*VLOOKUP('Données projet'!$B$14,Paramètres!$A$1:$I$89,5,0)</f>
        <v>0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239.26156489359892</v>
      </c>
      <c r="DU199" s="59">
        <f t="shared" si="209"/>
        <v>213.97034450798111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1.3252503236241551</v>
      </c>
      <c r="EB199" s="21">
        <f>EXP(-LN(2)/25)*EB198+(1-EXP(-LN(2)/25))/(LN(2)/25)*Calculateur!DW199*Calculateur!DY199*VLOOKUP('Données projet'!$B$14,Paramètres!$A$1:$I$89,3,0)*0.475*44/12</f>
        <v>3.3797275446606592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4.7049778682848142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-2.8421709430404007E-13</v>
      </c>
      <c r="EK199" s="17">
        <f>EJ199*VLOOKUP('Données projet'!$B$15,Paramètres!$A$1:$I$89,3,0)*VLOOKUP('Données projet'!$B$15,Paramètres!$A$1:$I$89,5,0)</f>
        <v>-2.8376234695315366E-13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525.74725170626471</v>
      </c>
      <c r="EP199" s="59">
        <f t="shared" si="210"/>
        <v>259.19103598192197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120.44047313304019</v>
      </c>
      <c r="EW199" s="21">
        <f>EXP(-LN(2)/25)*EW198+(1-EXP(-LN(2)/25))/(LN(2)/25)*Calculateur!ER199*Calculateur!ET199*VLOOKUP('Données projet'!$B$15,Paramètres!$A$1:$I$89,3,0)*0.475*44/12</f>
        <v>36.49362311010281</v>
      </c>
      <c r="EX199" s="21">
        <f>EXP(-LN(2)/2)*EX198+(1-EXP(-LN(2)/2))/(LN(2)/2)*ER199*EU199*VLOOKUP('Données projet'!$B$15,Paramètres!$A$1:$I$89,3,0)*0.475*44/12</f>
        <v>1.2074019262801514</v>
      </c>
      <c r="EY199" s="22">
        <f t="shared" si="181"/>
        <v>158.14149816942313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-2.8819613362429665E-13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533.26035274112917</v>
      </c>
      <c r="T200" s="59">
        <f t="shared" si="204"/>
        <v>262.58149402282521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119.92368874315393</v>
      </c>
      <c r="AA200" s="21">
        <f>EXP(-LN(2)/25)*AA199+(1-EXP(-LN(2)/25))/(LN(2)/25)*Calculateur!V200*Calculateur!X200*VLOOKUP('Données projet'!$B$9,Paramètres!$A$1:$I$89,3,0)*0.475*44/12</f>
        <v>36.050323427463319</v>
      </c>
      <c r="AB200" s="21">
        <f>EXP(-LN(2)/2)*AB199+(1-EXP(-LN(2)/2))/(LN(2)/2)*V200*Y200*VLOOKUP('Données projet'!$B$9,Paramètres!$A$1:$I$89,3,0)*0.475*44/12</f>
        <v>0.8671021223418075</v>
      </c>
      <c r="AC200" s="22">
        <f t="shared" si="163"/>
        <v>156.84111429295905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5.4001247917767614E-13</v>
      </c>
      <c r="AJ200" s="13">
        <f>AI200*VLOOKUP('Données projet'!$B$10,Paramètres!$A$1:$I$89,3,0)*VLOOKUP('Données projet'!$B$10,Paramètres!$A$1:$I$89,5,0)</f>
        <v>4.8860329115996133E-13</v>
      </c>
      <c r="AK200" s="13">
        <f t="shared" si="164"/>
        <v>6.1025862939685007E-12</v>
      </c>
      <c r="AL200" s="20">
        <f t="shared" si="165"/>
        <v>1.1479655194098737E-11</v>
      </c>
      <c r="AM200" s="59">
        <f t="shared" si="193"/>
        <v>293.3333333333448</v>
      </c>
      <c r="AN200" s="59">
        <f ca="1">AVERAGE(OFFSET($AM$3,0,0,'Données projet'!$E$10+1,1))-AVERAGE(OFFSET($H$3,0,0,'Données projet'!$E$10+1,1))</f>
        <v>482.62991869403385</v>
      </c>
      <c r="AO200" s="59">
        <f t="shared" si="205"/>
        <v>310.43914804089906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66.899937345731729</v>
      </c>
      <c r="AV200" s="21">
        <f>EXP(-LN(2)/25)*AV199+(1-EXP(-LN(2)/25))/(LN(2)/25)*Calculateur!AQ200*Calculateur!AS200*VLOOKUP('Données projet'!$B$10,Paramètres!$A$1:$I$89,3,0)*0.475*44/12</f>
        <v>8.3542820695272493</v>
      </c>
      <c r="AW200" s="21">
        <f>EXP(-LN(2)/2)*AW199+(1-EXP(-LN(2)/2))/(LN(2)/2)*AQ200*AT200*VLOOKUP('Données projet'!$B$10,Paramètres!$A$1:$I$89,3,0)*0.475*44/12</f>
        <v>1.0096066164456301E-4</v>
      </c>
      <c r="AX200" s="21">
        <f t="shared" si="166"/>
        <v>75.254320375920614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384.34044781465661</v>
      </c>
      <c r="BJ200" s="59">
        <f t="shared" si="206"/>
        <v>374.99493809709708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5.6256317562957268</v>
      </c>
      <c r="BQ200" s="21">
        <f>EXP(-LN(2)/25)*BQ199+(1-EXP(-LN(2)/25))/(LN(2)/25)*Calculateur!BL200*Calculateur!BN200*VLOOKUP('Données projet'!$B$11,Paramètres!$A$1:$I$89,3,0)*0.475*44/12</f>
        <v>2.1984461151206691</v>
      </c>
      <c r="BR200" s="21">
        <f>EXP(-LN(2)/2)*BR199+(1-EXP(-LN(2)/2))/(LN(2)/2)*BL200*BO200*VLOOKUP('Données projet'!$B$11,Paramètres!$A$1:$I$89,3,0)*0.475*44/12</f>
        <v>1.68149686222734E-16</v>
      </c>
      <c r="BS200" s="22">
        <f t="shared" si="169"/>
        <v>7.8240778714163959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5.4001247917767614E-13</v>
      </c>
      <c r="BZ200" s="13">
        <f>BY200*VLOOKUP('Données projet'!$B$12,Paramètres!$A$1:$I$89,3,0)*VLOOKUP('Données projet'!$B$12,Paramètres!$A$1:$I$89,5,0)</f>
        <v>5.1387587518547664E-13</v>
      </c>
      <c r="CA200" s="13">
        <f t="shared" si="170"/>
        <v>6.3806716506132977E-12</v>
      </c>
      <c r="CB200" s="20">
        <f t="shared" si="171"/>
        <v>1.2008003607432866E-11</v>
      </c>
      <c r="CC200" s="59">
        <f t="shared" si="195"/>
        <v>293.33333333334531</v>
      </c>
      <c r="CD200" s="59">
        <f ca="1">AVERAGE(OFFSET($CC$3,0,0,'Données projet'!$E$12+1,1))-AVERAGE(OFFSET($H$3,0,0,'Données projet'!$E$12+1,1))</f>
        <v>513.14430745499283</v>
      </c>
      <c r="CE200" s="59">
        <f t="shared" si="207"/>
        <v>324.2490378019823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57.944783224909479</v>
      </c>
      <c r="CL200" s="21">
        <f>EXP(-LN(2)/25)*CL199+(1-EXP(-LN(2)/25))/(LN(2)/25)*Calculateur!CG200*Calculateur!CI200*VLOOKUP('Données projet'!$B$12,Paramètres!$A$1:$I$89,3,0)*0.475*44/12</f>
        <v>7.7200072523406256</v>
      </c>
      <c r="CM200" s="21">
        <f>EXP(-LN(2)/2)*CM199+(1-EXP(-LN(2)/2))/(LN(2)/2)*CG200*CJ200*VLOOKUP('Données projet'!$B$12,Paramètres!$A$1:$I$89,3,0)*0.475*44/12</f>
        <v>2.7440522887938546E-5</v>
      </c>
      <c r="CN200" s="22">
        <f t="shared" si="172"/>
        <v>65.664817917772993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-1.1368683772161603E-13</v>
      </c>
      <c r="CU200" s="17">
        <f>CT200*VLOOKUP('Données projet'!$B$13,Paramètres!$A$1:$I$89,3,0)*VLOOKUP('Données projet'!$B$13,Paramètres!$A$1:$I$89,5,0)</f>
        <v>-8.8675733422860506E-14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197.51452239559433</v>
      </c>
      <c r="CZ200" s="59">
        <f t="shared" si="208"/>
        <v>196.65166921588821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2.1848409034671468</v>
      </c>
      <c r="DG200" s="21">
        <f>EXP(-LN(2)/25)*DG199+(1-EXP(-LN(2)/25))/(LN(2)/25)*Calculateur!DB200*Calculateur!DD200*VLOOKUP('Données projet'!$B$13,Paramètres!$A$1:$I$89,3,0)*0.475*44/12</f>
        <v>0.78037483152636922</v>
      </c>
      <c r="DH200" s="21">
        <f>EXP(-LN(2)/2)*DH199+(1-EXP(-LN(2)/2))/(LN(2)/2)*DB200*DE200*VLOOKUP('Données projet'!$B$13,Paramètres!$A$1:$I$89,3,0)*0.475*44/12</f>
        <v>2.1112759829508406E-18</v>
      </c>
      <c r="DI200" s="22">
        <f t="shared" si="175"/>
        <v>2.965215734993516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>
        <f>DO200*VLOOKUP('Données projet'!$B$14,Paramètres!$A$1:$I$89,3,0)*VLOOKUP('Données projet'!$B$14,Paramètres!$A$1:$I$89,5,0)</f>
        <v>0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239.26156489359892</v>
      </c>
      <c r="DU200" s="59">
        <f t="shared" si="209"/>
        <v>213.97034450798111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1.2992629731007674</v>
      </c>
      <c r="EB200" s="21">
        <f>EXP(-LN(2)/25)*EB199+(1-EXP(-LN(2)/25))/(LN(2)/25)*Calculateur!DW200*Calculateur!DY200*VLOOKUP('Données projet'!$B$14,Paramètres!$A$1:$I$89,3,0)*0.475*44/12</f>
        <v>3.2873087172197661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4.5865716903205334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-2.8421709430404007E-13</v>
      </c>
      <c r="EK200" s="17">
        <f>EJ200*VLOOKUP('Données projet'!$B$15,Paramètres!$A$1:$I$89,3,0)*VLOOKUP('Données projet'!$B$15,Paramètres!$A$1:$I$89,5,0)</f>
        <v>-2.8376234695315366E-13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525.74725170626471</v>
      </c>
      <c r="EP200" s="59">
        <f t="shared" si="210"/>
        <v>259.19103598192197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118.07870891633617</v>
      </c>
      <c r="EW200" s="21">
        <f>EXP(-LN(2)/25)*EW199+(1-EXP(-LN(2)/25))/(LN(2)/25)*Calculateur!ER200*Calculateur!ET200*VLOOKUP('Données projet'!$B$15,Paramètres!$A$1:$I$89,3,0)*0.475*44/12</f>
        <v>35.495703067040814</v>
      </c>
      <c r="EX200" s="21">
        <f>EXP(-LN(2)/2)*EX199+(1-EXP(-LN(2)/2))/(LN(2)/2)*ER200*EU200*VLOOKUP('Données projet'!$B$15,Paramètres!$A$1:$I$89,3,0)*0.475*44/12</f>
        <v>0.85376208969039502</v>
      </c>
      <c r="EY200" s="22">
        <f t="shared" si="181"/>
        <v>154.4281740730674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-2.8819613362429665E-13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533.26035274112917</v>
      </c>
      <c r="T201" s="59">
        <f t="shared" si="204"/>
        <v>262.58149402282521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117.57205835312823</v>
      </c>
      <c r="AA201" s="21">
        <f>EXP(-LN(2)/25)*AA200+(1-EXP(-LN(2)/25))/(LN(2)/25)*Calculateur!V201*Calculateur!X201*VLOOKUP('Données projet'!$B$9,Paramètres!$A$1:$I$89,3,0)*0.475*44/12</f>
        <v>35.064525437535217</v>
      </c>
      <c r="AB201" s="21">
        <f>EXP(-LN(2)/2)*AB200+(1-EXP(-LN(2)/2))/(LN(2)/2)*V201*Y201*VLOOKUP('Données projet'!$B$9,Paramètres!$A$1:$I$89,3,0)*0.475*44/12</f>
        <v>0.61313379068913954</v>
      </c>
      <c r="AC201" s="22">
        <f t="shared" si="163"/>
        <v>153.2497175813526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5.4001247917767614E-13</v>
      </c>
      <c r="AJ201" s="13">
        <f>AI201*VLOOKUP('Données projet'!$B$10,Paramètres!$A$1:$I$89,3,0)*VLOOKUP('Données projet'!$B$10,Paramètres!$A$1:$I$89,5,0)</f>
        <v>4.8860329115996133E-13</v>
      </c>
      <c r="AK201" s="13">
        <f t="shared" si="164"/>
        <v>6.1025862939685007E-12</v>
      </c>
      <c r="AL201" s="20">
        <f t="shared" si="165"/>
        <v>1.1479655194098737E-11</v>
      </c>
      <c r="AM201" s="59">
        <f t="shared" si="193"/>
        <v>293.3333333333448</v>
      </c>
      <c r="AN201" s="59">
        <f ca="1">AVERAGE(OFFSET($AM$3,0,0,'Données projet'!$E$10+1,1))-AVERAGE(OFFSET($H$3,0,0,'Données projet'!$E$10+1,1))</f>
        <v>482.62991869403385</v>
      </c>
      <c r="AO201" s="59">
        <f t="shared" si="205"/>
        <v>310.43914804089906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65.588070379314559</v>
      </c>
      <c r="AV201" s="21">
        <f>EXP(-LN(2)/25)*AV200+(1-EXP(-LN(2)/25))/(LN(2)/25)*Calculateur!AQ201*Calculateur!AS201*VLOOKUP('Données projet'!$B$10,Paramètres!$A$1:$I$89,3,0)*0.475*44/12</f>
        <v>8.1258337870034261</v>
      </c>
      <c r="AW201" s="21">
        <f>EXP(-LN(2)/2)*AW200+(1-EXP(-LN(2)/2))/(LN(2)/2)*AQ201*AT201*VLOOKUP('Données projet'!$B$10,Paramètres!$A$1:$I$89,3,0)*0.475*44/12</f>
        <v>7.1389968481951079E-5</v>
      </c>
      <c r="AX201" s="21">
        <f t="shared" si="166"/>
        <v>73.713975556286471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384.34044781465661</v>
      </c>
      <c r="BJ201" s="59">
        <f t="shared" si="206"/>
        <v>374.99493809709708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5.5153165488513265</v>
      </c>
      <c r="BQ201" s="21">
        <f>EXP(-LN(2)/25)*BQ200+(1-EXP(-LN(2)/25))/(LN(2)/25)*Calculateur!BL201*Calculateur!BN201*VLOOKUP('Données projet'!$B$11,Paramètres!$A$1:$I$89,3,0)*0.475*44/12</f>
        <v>2.1383294904914378</v>
      </c>
      <c r="BR201" s="21">
        <f>EXP(-LN(2)/2)*BR200+(1-EXP(-LN(2)/2))/(LN(2)/2)*BL201*BO201*VLOOKUP('Données projet'!$B$11,Paramètres!$A$1:$I$89,3,0)*0.475*44/12</f>
        <v>1.1889978338248539E-16</v>
      </c>
      <c r="BS201" s="22">
        <f t="shared" si="169"/>
        <v>7.6536460393427639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5.4001247917767614E-13</v>
      </c>
      <c r="BZ201" s="13">
        <f>BY201*VLOOKUP('Données projet'!$B$12,Paramètres!$A$1:$I$89,3,0)*VLOOKUP('Données projet'!$B$12,Paramètres!$A$1:$I$89,5,0)</f>
        <v>5.1387587518547664E-13</v>
      </c>
      <c r="CA201" s="13">
        <f t="shared" si="170"/>
        <v>6.3806716506132977E-12</v>
      </c>
      <c r="CB201" s="20">
        <f t="shared" si="171"/>
        <v>1.2008003607432866E-11</v>
      </c>
      <c r="CC201" s="59">
        <f t="shared" si="195"/>
        <v>293.33333333334531</v>
      </c>
      <c r="CD201" s="59">
        <f ca="1">AVERAGE(OFFSET($CC$3,0,0,'Données projet'!$E$12+1,1))-AVERAGE(OFFSET($H$3,0,0,'Données projet'!$E$12+1,1))</f>
        <v>513.14430745499283</v>
      </c>
      <c r="CE201" s="59">
        <f t="shared" si="207"/>
        <v>324.2490378019823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56.808521368696958</v>
      </c>
      <c r="CL201" s="21">
        <f>EXP(-LN(2)/25)*CL200+(1-EXP(-LN(2)/25))/(LN(2)/25)*Calculateur!CG201*Calculateur!CI201*VLOOKUP('Données projet'!$B$12,Paramètres!$A$1:$I$89,3,0)*0.475*44/12</f>
        <v>7.5089032480478339</v>
      </c>
      <c r="CM201" s="21">
        <f>EXP(-LN(2)/2)*CM200+(1-EXP(-LN(2)/2))/(LN(2)/2)*CG201*CJ201*VLOOKUP('Données projet'!$B$12,Paramètres!$A$1:$I$89,3,0)*0.475*44/12</f>
        <v>1.9403379813366011E-5</v>
      </c>
      <c r="CN201" s="22">
        <f t="shared" si="172"/>
        <v>64.317444020124597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-1.1368683772161603E-13</v>
      </c>
      <c r="CU201" s="17">
        <f>CT201*VLOOKUP('Données projet'!$B$13,Paramètres!$A$1:$I$89,3,0)*VLOOKUP('Données projet'!$B$13,Paramètres!$A$1:$I$89,5,0)</f>
        <v>-8.8675733422860506E-14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197.51452239559433</v>
      </c>
      <c r="CZ201" s="59">
        <f t="shared" si="208"/>
        <v>196.65166921588821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2.1419975059715215</v>
      </c>
      <c r="DG201" s="21">
        <f>EXP(-LN(2)/25)*DG200+(1-EXP(-LN(2)/25))/(LN(2)/25)*Calculateur!DB201*Calculateur!DD201*VLOOKUP('Données projet'!$B$13,Paramètres!$A$1:$I$89,3,0)*0.475*44/12</f>
        <v>0.75903544072015183</v>
      </c>
      <c r="DH201" s="21">
        <f>EXP(-LN(2)/2)*DH200+(1-EXP(-LN(2)/2))/(LN(2)/2)*DB201*DE201*VLOOKUP('Données projet'!$B$13,Paramètres!$A$1:$I$89,3,0)*0.475*44/12</f>
        <v>1.4928975645008331E-18</v>
      </c>
      <c r="DI201" s="22">
        <f t="shared" si="175"/>
        <v>2.9010329466916733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>
        <f>DO201*VLOOKUP('Données projet'!$B$14,Paramètres!$A$1:$I$89,3,0)*VLOOKUP('Données projet'!$B$14,Paramètres!$A$1:$I$89,5,0)</f>
        <v>0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239.26156489359892</v>
      </c>
      <c r="DU201" s="59">
        <f t="shared" si="209"/>
        <v>213.97034450798111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1.2737852186704248</v>
      </c>
      <c r="EB201" s="21">
        <f>EXP(-LN(2)/25)*EB200+(1-EXP(-LN(2)/25))/(LN(2)/25)*Calculateur!DW201*Calculateur!DY201*VLOOKUP('Données projet'!$B$14,Paramètres!$A$1:$I$89,3,0)*0.475*44/12</f>
        <v>3.1974170874753396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4.4712023061457646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-2.8421709430404007E-13</v>
      </c>
      <c r="EK201" s="17">
        <f>EJ201*VLOOKUP('Données projet'!$B$15,Paramètres!$A$1:$I$89,3,0)*VLOOKUP('Données projet'!$B$15,Paramètres!$A$1:$I$89,5,0)</f>
        <v>-2.8376234695315366E-13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525.74725170626471</v>
      </c>
      <c r="EP201" s="59">
        <f t="shared" si="210"/>
        <v>259.19103598192197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115.76325745538779</v>
      </c>
      <c r="EW201" s="21">
        <f>EXP(-LN(2)/25)*EW200+(1-EXP(-LN(2)/25))/(LN(2)/25)*Calculateur!ER201*Calculateur!ET201*VLOOKUP('Données projet'!$B$15,Paramètres!$A$1:$I$89,3,0)*0.475*44/12</f>
        <v>34.525071200034688</v>
      </c>
      <c r="EX201" s="21">
        <f>EXP(-LN(2)/2)*EX200+(1-EXP(-LN(2)/2))/(LN(2)/2)*ER201*EU201*VLOOKUP('Données projet'!$B$15,Paramètres!$A$1:$I$89,3,0)*0.475*44/12</f>
        <v>0.60370096314007571</v>
      </c>
      <c r="EY201" s="22">
        <f t="shared" si="181"/>
        <v>150.89202961856256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-2.8819613362429665E-13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533.26035274112917</v>
      </c>
      <c r="T202" s="59">
        <f t="shared" si="204"/>
        <v>262.58149402282521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115.26654200069802</v>
      </c>
      <c r="AA202" s="21">
        <f>EXP(-LN(2)/25)*AA201+(1-EXP(-LN(2)/25))/(LN(2)/25)*Calculateur!V202*Calculateur!X202*VLOOKUP('Données projet'!$B$9,Paramètres!$A$1:$I$89,3,0)*0.475*44/12</f>
        <v>34.105684145482563</v>
      </c>
      <c r="AB202" s="21">
        <f>EXP(-LN(2)/2)*AB201+(1-EXP(-LN(2)/2))/(LN(2)/2)*V202*Y202*VLOOKUP('Données projet'!$B$9,Paramètres!$A$1:$I$89,3,0)*0.475*44/12</f>
        <v>0.43355106117090386</v>
      </c>
      <c r="AC202" s="22">
        <f t="shared" si="163"/>
        <v>149.8057772073515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5.4001247917767614E-13</v>
      </c>
      <c r="AJ202" s="13">
        <f>AI202*VLOOKUP('Données projet'!$B$10,Paramètres!$A$1:$I$89,3,0)*VLOOKUP('Données projet'!$B$10,Paramètres!$A$1:$I$89,5,0)</f>
        <v>4.8860329115996133E-13</v>
      </c>
      <c r="AK202" s="13">
        <f t="shared" si="164"/>
        <v>6.1025862939685007E-12</v>
      </c>
      <c r="AL202" s="20">
        <f t="shared" si="165"/>
        <v>1.1479655194098737E-11</v>
      </c>
      <c r="AM202" s="59">
        <f t="shared" si="193"/>
        <v>293.3333333333448</v>
      </c>
      <c r="AN202" s="59">
        <f ca="1">AVERAGE(OFFSET($AM$3,0,0,'Données projet'!$E$10+1,1))-AVERAGE(OFFSET($H$3,0,0,'Données projet'!$E$10+1,1))</f>
        <v>482.62991869403385</v>
      </c>
      <c r="AO202" s="59">
        <f t="shared" si="205"/>
        <v>310.43914804089906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64.301928323948985</v>
      </c>
      <c r="AV202" s="21">
        <f>EXP(-LN(2)/25)*AV201+(1-EXP(-LN(2)/25))/(LN(2)/25)*Calculateur!AQ202*Calculateur!AS202*VLOOKUP('Données projet'!$B$10,Paramètres!$A$1:$I$89,3,0)*0.475*44/12</f>
        <v>7.9036324347787907</v>
      </c>
      <c r="AW202" s="21">
        <f>EXP(-LN(2)/2)*AW201+(1-EXP(-LN(2)/2))/(LN(2)/2)*AQ202*AT202*VLOOKUP('Données projet'!$B$10,Paramètres!$A$1:$I$89,3,0)*0.475*44/12</f>
        <v>5.0480330822281507E-5</v>
      </c>
      <c r="AX202" s="21">
        <f t="shared" si="166"/>
        <v>72.205611239058598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384.34044781465661</v>
      </c>
      <c r="BJ202" s="59">
        <f t="shared" si="206"/>
        <v>374.99493809709708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5.4071645553392784</v>
      </c>
      <c r="BQ202" s="21">
        <f>EXP(-LN(2)/25)*BQ201+(1-EXP(-LN(2)/25))/(LN(2)/25)*Calculateur!BL202*Calculateur!BN202*VLOOKUP('Données projet'!$B$11,Paramètres!$A$1:$I$89,3,0)*0.475*44/12</f>
        <v>2.0798567581240888</v>
      </c>
      <c r="BR202" s="21">
        <f>EXP(-LN(2)/2)*BR201+(1-EXP(-LN(2)/2))/(LN(2)/2)*BL202*BO202*VLOOKUP('Données projet'!$B$11,Paramètres!$A$1:$I$89,3,0)*0.475*44/12</f>
        <v>8.4074843111366999E-17</v>
      </c>
      <c r="BS202" s="22">
        <f t="shared" si="169"/>
        <v>7.4870213134633676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5.4001247917767614E-13</v>
      </c>
      <c r="BZ202" s="13">
        <f>BY202*VLOOKUP('Données projet'!$B$12,Paramètres!$A$1:$I$89,3,0)*VLOOKUP('Données projet'!$B$12,Paramètres!$A$1:$I$89,5,0)</f>
        <v>5.1387587518547664E-13</v>
      </c>
      <c r="CA202" s="13">
        <f t="shared" si="170"/>
        <v>6.3806716506132977E-12</v>
      </c>
      <c r="CB202" s="20">
        <f t="shared" si="171"/>
        <v>1.2008003607432866E-11</v>
      </c>
      <c r="CC202" s="59">
        <f t="shared" si="195"/>
        <v>293.33333333334531</v>
      </c>
      <c r="CD202" s="59">
        <f ca="1">AVERAGE(OFFSET($CC$3,0,0,'Données projet'!$E$12+1,1))-AVERAGE(OFFSET($H$3,0,0,'Données projet'!$E$12+1,1))</f>
        <v>513.14430745499283</v>
      </c>
      <c r="CE202" s="59">
        <f t="shared" si="207"/>
        <v>324.2490378019823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55.694540914433468</v>
      </c>
      <c r="CL202" s="21">
        <f>EXP(-LN(2)/25)*CL201+(1-EXP(-LN(2)/25))/(LN(2)/25)*Calculateur!CG202*Calculateur!CI202*VLOOKUP('Données projet'!$B$12,Paramètres!$A$1:$I$89,3,0)*0.475*44/12</f>
        <v>7.3035718938539063</v>
      </c>
      <c r="CM202" s="21">
        <f>EXP(-LN(2)/2)*CM201+(1-EXP(-LN(2)/2))/(LN(2)/2)*CG202*CJ202*VLOOKUP('Données projet'!$B$12,Paramètres!$A$1:$I$89,3,0)*0.475*44/12</f>
        <v>1.3720261443969273E-5</v>
      </c>
      <c r="CN202" s="22">
        <f t="shared" si="172"/>
        <v>62.998126528548816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-1.1368683772161603E-13</v>
      </c>
      <c r="CU202" s="17">
        <f>CT202*VLOOKUP('Données projet'!$B$13,Paramètres!$A$1:$I$89,3,0)*VLOOKUP('Données projet'!$B$13,Paramètres!$A$1:$I$89,5,0)</f>
        <v>-8.8675733422860506E-14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197.51452239559433</v>
      </c>
      <c r="CZ202" s="59">
        <f t="shared" si="208"/>
        <v>196.65166921588821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2.0999942413688935</v>
      </c>
      <c r="DG202" s="21">
        <f>EXP(-LN(2)/25)*DG201+(1-EXP(-LN(2)/25))/(LN(2)/25)*Calculateur!DB202*Calculateur!DD202*VLOOKUP('Données projet'!$B$13,Paramètres!$A$1:$I$89,3,0)*0.475*44/12</f>
        <v>0.73827957667772026</v>
      </c>
      <c r="DH202" s="21">
        <f>EXP(-LN(2)/2)*DH201+(1-EXP(-LN(2)/2))/(LN(2)/2)*DB202*DE202*VLOOKUP('Données projet'!$B$13,Paramètres!$A$1:$I$89,3,0)*0.475*44/12</f>
        <v>1.0556379914754203E-18</v>
      </c>
      <c r="DI202" s="22">
        <f t="shared" si="175"/>
        <v>2.8382738180466136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>
        <f>DO202*VLOOKUP('Données projet'!$B$14,Paramètres!$A$1:$I$89,3,0)*VLOOKUP('Données projet'!$B$14,Paramètres!$A$1:$I$89,5,0)</f>
        <v>0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239.26156489359892</v>
      </c>
      <c r="DU202" s="59">
        <f t="shared" si="209"/>
        <v>213.97034450798111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1.2488070674645655</v>
      </c>
      <c r="EB202" s="21">
        <f>EXP(-LN(2)/25)*EB201+(1-EXP(-LN(2)/25))/(LN(2)/25)*Calculateur!DW202*Calculateur!DY202*VLOOKUP('Données projet'!$B$14,Paramètres!$A$1:$I$89,3,0)*0.475*44/12</f>
        <v>3.1099835490734695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4.3587906165380348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-2.8421709430404007E-13</v>
      </c>
      <c r="EK202" s="17">
        <f>EJ202*VLOOKUP('Données projet'!$B$15,Paramètres!$A$1:$I$89,3,0)*VLOOKUP('Données projet'!$B$15,Paramètres!$A$1:$I$89,5,0)</f>
        <v>-2.8376234695315366E-13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525.74725170626471</v>
      </c>
      <c r="EP202" s="59">
        <f t="shared" si="210"/>
        <v>259.19103598192197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113.49321058530266</v>
      </c>
      <c r="EW202" s="21">
        <f>EXP(-LN(2)/25)*EW201+(1-EXP(-LN(2)/25))/(LN(2)/25)*Calculateur!ER202*Calculateur!ET202*VLOOKUP('Données projet'!$B$15,Paramètres!$A$1:$I$89,3,0)*0.475*44/12</f>
        <v>33.580981312475153</v>
      </c>
      <c r="EX202" s="21">
        <f>EXP(-LN(2)/2)*EX201+(1-EXP(-LN(2)/2))/(LN(2)/2)*ER202*EU202*VLOOKUP('Données projet'!$B$15,Paramètres!$A$1:$I$89,3,0)*0.475*44/12</f>
        <v>0.42688104484519751</v>
      </c>
      <c r="EY202" s="22">
        <f t="shared" si="181"/>
        <v>147.50107294262301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-2.8819613362429665E-13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533.26035274112917</v>
      </c>
      <c r="T203" s="59">
        <f t="shared" si="204"/>
        <v>262.58149402282521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113.00623541771284</v>
      </c>
      <c r="AA203" s="21">
        <f>EXP(-LN(2)/25)*AA202+(1-EXP(-LN(2)/25))/(LN(2)/25)*Calculateur!V203*Calculateur!X203*VLOOKUP('Données projet'!$B$9,Paramètres!$A$1:$I$89,3,0)*0.475*44/12</f>
        <v>33.173062418984365</v>
      </c>
      <c r="AB203" s="21">
        <f>EXP(-LN(2)/2)*AB202+(1-EXP(-LN(2)/2))/(LN(2)/2)*V203*Y203*VLOOKUP('Données projet'!$B$9,Paramètres!$A$1:$I$89,3,0)*0.475*44/12</f>
        <v>0.30656689534456982</v>
      </c>
      <c r="AC203" s="22">
        <f t="shared" si="163"/>
        <v>146.48586473204176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5.4001247917767614E-13</v>
      </c>
      <c r="AJ203" s="13">
        <f>AI203*VLOOKUP('Données projet'!$B$10,Paramètres!$A$1:$I$89,3,0)*VLOOKUP('Données projet'!$B$10,Paramètres!$A$1:$I$89,5,0)</f>
        <v>4.8860329115996133E-13</v>
      </c>
      <c r="AK203" s="13">
        <f t="shared" si="164"/>
        <v>6.1025862939685007E-12</v>
      </c>
      <c r="AL203" s="20">
        <f t="shared" si="165"/>
        <v>1.1479655194098737E-11</v>
      </c>
      <c r="AM203" s="59">
        <f t="shared" si="193"/>
        <v>293.3333333333448</v>
      </c>
      <c r="AN203" s="59">
        <f ca="1">AVERAGE(OFFSET($AM$3,0,0,'Données projet'!$E$10+1,1))-AVERAGE(OFFSET($H$3,0,0,'Données projet'!$E$10+1,1))</f>
        <v>482.62991869403385</v>
      </c>
      <c r="AO203" s="59">
        <f t="shared" si="205"/>
        <v>310.43914804089906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63.041006729819941</v>
      </c>
      <c r="AV203" s="21">
        <f>EXP(-LN(2)/25)*AV202+(1-EXP(-LN(2)/25))/(LN(2)/25)*Calculateur!AQ203*Calculateur!AS203*VLOOKUP('Données projet'!$B$10,Paramètres!$A$1:$I$89,3,0)*0.475*44/12</f>
        <v>7.6875071902157988</v>
      </c>
      <c r="AW203" s="21">
        <f>EXP(-LN(2)/2)*AW202+(1-EXP(-LN(2)/2))/(LN(2)/2)*AQ203*AT203*VLOOKUP('Données projet'!$B$10,Paramètres!$A$1:$I$89,3,0)*0.475*44/12</f>
        <v>3.569498424097554E-5</v>
      </c>
      <c r="AX203" s="21">
        <f t="shared" si="166"/>
        <v>70.728549615019972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384.34044781465661</v>
      </c>
      <c r="BJ203" s="59">
        <f t="shared" si="206"/>
        <v>374.99493809709708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5.301133356453799</v>
      </c>
      <c r="BQ203" s="21">
        <f>EXP(-LN(2)/25)*BQ202+(1-EXP(-LN(2)/25))/(LN(2)/25)*Calculateur!BL203*Calculateur!BN203*VLOOKUP('Données projet'!$B$11,Paramètres!$A$1:$I$89,3,0)*0.475*44/12</f>
        <v>2.0229829656982723</v>
      </c>
      <c r="BR203" s="21">
        <f>EXP(-LN(2)/2)*BR202+(1-EXP(-LN(2)/2))/(LN(2)/2)*BL203*BO203*VLOOKUP('Données projet'!$B$11,Paramètres!$A$1:$I$89,3,0)*0.475*44/12</f>
        <v>5.9449891691242696E-17</v>
      </c>
      <c r="BS203" s="22">
        <f t="shared" si="169"/>
        <v>7.3241163221520713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5.4001247917767614E-13</v>
      </c>
      <c r="BZ203" s="13">
        <f>BY203*VLOOKUP('Données projet'!$B$12,Paramètres!$A$1:$I$89,3,0)*VLOOKUP('Données projet'!$B$12,Paramètres!$A$1:$I$89,5,0)</f>
        <v>5.1387587518547664E-13</v>
      </c>
      <c r="CA203" s="13">
        <f t="shared" si="170"/>
        <v>6.3806716506132977E-12</v>
      </c>
      <c r="CB203" s="20">
        <f t="shared" si="171"/>
        <v>1.2008003607432866E-11</v>
      </c>
      <c r="CC203" s="59">
        <f t="shared" si="195"/>
        <v>293.33333333334531</v>
      </c>
      <c r="CD203" s="59">
        <f ca="1">AVERAGE(OFFSET($CC$3,0,0,'Données projet'!$E$12+1,1))-AVERAGE(OFFSET($H$3,0,0,'Données projet'!$E$12+1,1))</f>
        <v>513.14430745499283</v>
      </c>
      <c r="CE203" s="59">
        <f t="shared" si="207"/>
        <v>324.2490378019823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54.602404937417091</v>
      </c>
      <c r="CL203" s="21">
        <f>EXP(-LN(2)/25)*CL202+(1-EXP(-LN(2)/25))/(LN(2)/25)*Calculateur!CG203*Calculateur!CI203*VLOOKUP('Données projet'!$B$12,Paramètres!$A$1:$I$89,3,0)*0.475*44/12</f>
        <v>7.1038553363383174</v>
      </c>
      <c r="CM203" s="21">
        <f>EXP(-LN(2)/2)*CM202+(1-EXP(-LN(2)/2))/(LN(2)/2)*CG203*CJ203*VLOOKUP('Données projet'!$B$12,Paramètres!$A$1:$I$89,3,0)*0.475*44/12</f>
        <v>9.7016899066830053E-6</v>
      </c>
      <c r="CN203" s="22">
        <f t="shared" si="172"/>
        <v>61.706269975445316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-1.1368683772161603E-13</v>
      </c>
      <c r="CU203" s="17">
        <f>CT203*VLOOKUP('Données projet'!$B$13,Paramètres!$A$1:$I$89,3,0)*VLOOKUP('Données projet'!$B$13,Paramètres!$A$1:$I$89,5,0)</f>
        <v>-8.8675733422860506E-14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197.51452239559433</v>
      </c>
      <c r="CZ203" s="59">
        <f t="shared" si="208"/>
        <v>196.65166921588821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2.0588146351656613</v>
      </c>
      <c r="DG203" s="21">
        <f>EXP(-LN(2)/25)*DG202+(1-EXP(-LN(2)/25))/(LN(2)/25)*Calculateur!DB203*Calculateur!DD203*VLOOKUP('Données projet'!$B$13,Paramètres!$A$1:$I$89,3,0)*0.475*44/12</f>
        <v>0.71809128282903245</v>
      </c>
      <c r="DH203" s="21">
        <f>EXP(-LN(2)/2)*DH202+(1-EXP(-LN(2)/2))/(LN(2)/2)*DB203*DE203*VLOOKUP('Données projet'!$B$13,Paramètres!$A$1:$I$89,3,0)*0.475*44/12</f>
        <v>7.4644878225041656E-19</v>
      </c>
      <c r="DI203" s="22">
        <f t="shared" si="175"/>
        <v>2.7769059179946938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>
        <f>DO203*VLOOKUP('Données projet'!$B$14,Paramètres!$A$1:$I$89,3,0)*VLOOKUP('Données projet'!$B$14,Paramètres!$A$1:$I$89,5,0)</f>
        <v>0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239.26156489359892</v>
      </c>
      <c r="DU203" s="59">
        <f t="shared" si="209"/>
        <v>213.97034450798111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1.2243187225686851</v>
      </c>
      <c r="EB203" s="21">
        <f>EXP(-LN(2)/25)*EB202+(1-EXP(-LN(2)/25))/(LN(2)/25)*Calculateur!DW203*Calculateur!DY203*VLOOKUP('Données projet'!$B$14,Paramètres!$A$1:$I$89,3,0)*0.475*44/12</f>
        <v>3.0249408853771285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4.2492596079458131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-2.8421709430404007E-13</v>
      </c>
      <c r="EK203" s="17">
        <f>EJ203*VLOOKUP('Données projet'!$B$15,Paramètres!$A$1:$I$89,3,0)*VLOOKUP('Données projet'!$B$15,Paramètres!$A$1:$I$89,5,0)</f>
        <v>-2.8376234695315366E-13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525.74725170626471</v>
      </c>
      <c r="EP203" s="59">
        <f t="shared" si="210"/>
        <v>259.19103598192197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111.26767794974803</v>
      </c>
      <c r="EW203" s="21">
        <f>EXP(-LN(2)/25)*EW202+(1-EXP(-LN(2)/25))/(LN(2)/25)*Calculateur!ER203*Calculateur!ET203*VLOOKUP('Données projet'!$B$15,Paramètres!$A$1:$I$89,3,0)*0.475*44/12</f>
        <v>32.662707612538462</v>
      </c>
      <c r="EX203" s="21">
        <f>EXP(-LN(2)/2)*EX202+(1-EXP(-LN(2)/2))/(LN(2)/2)*ER203*EU203*VLOOKUP('Données projet'!$B$15,Paramètres!$A$1:$I$89,3,0)*0.475*44/12</f>
        <v>0.30185048157003785</v>
      </c>
      <c r="EY203" s="22">
        <f t="shared" si="181"/>
        <v>144.23223604385652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102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102</v>
      </c>
      <c r="BA204" s="81" t="s">
        <v>102</v>
      </c>
      <c r="BV204" s="81" t="s">
        <v>102</v>
      </c>
      <c r="CQ204" s="81" t="s">
        <v>102</v>
      </c>
      <c r="DL204" s="81" t="s">
        <v>102</v>
      </c>
      <c r="EG204" s="81" t="s">
        <v>102</v>
      </c>
      <c r="FB204" s="81" t="s">
        <v>102</v>
      </c>
      <c r="FW204" s="81" t="s">
        <v>102</v>
      </c>
      <c r="GR204" s="81" t="s">
        <v>102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1.0924684246274448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1.1281922301282807</v>
      </c>
      <c r="BA205" s="82">
        <f>EXP(LN('Données projet'!B88)/'Données projet'!A88)</f>
        <v>1.3208724756526424</v>
      </c>
      <c r="BV205" s="82">
        <f>EXP(LN('Données projet'!B114)/'Données projet'!A114)</f>
        <v>1.1281922301282807</v>
      </c>
      <c r="CQ205" s="82">
        <f>EXP(LN('Données projet'!B140)/'Données projet'!A140)</f>
        <v>1.2414494093563335</v>
      </c>
      <c r="DL205" s="82">
        <f>EXP(LN('Données projet'!B166)/'Données projet'!A166)</f>
        <v>1.2770702581475548</v>
      </c>
      <c r="EG205" s="82">
        <f>EXP(LN('Données projet'!B192)/'Données projet'!A192)</f>
        <v>1.0924684246274448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103</v>
      </c>
      <c r="B1" s="112" t="s">
        <v>104</v>
      </c>
      <c r="C1" s="113" t="s">
        <v>105</v>
      </c>
      <c r="D1" s="112" t="s">
        <v>106</v>
      </c>
      <c r="E1" s="113" t="s">
        <v>107</v>
      </c>
      <c r="F1" s="113" t="s">
        <v>106</v>
      </c>
      <c r="G1" s="113" t="s">
        <v>108</v>
      </c>
      <c r="H1" s="113" t="s">
        <v>106</v>
      </c>
      <c r="I1" s="114" t="s">
        <v>109</v>
      </c>
      <c r="J1" s="78"/>
      <c r="K1" s="78"/>
      <c r="L1" s="78"/>
      <c r="M1" s="78"/>
      <c r="N1" s="78"/>
    </row>
    <row r="2" spans="1:16" x14ac:dyDescent="0.35">
      <c r="A2" s="115" t="s">
        <v>110</v>
      </c>
      <c r="B2" s="116" t="s">
        <v>111</v>
      </c>
      <c r="C2" s="117">
        <v>0.62</v>
      </c>
      <c r="D2" s="117" t="s">
        <v>112</v>
      </c>
      <c r="E2" s="117">
        <v>1.56</v>
      </c>
      <c r="F2" s="117" t="s">
        <v>113</v>
      </c>
      <c r="G2" s="118">
        <v>0.43</v>
      </c>
      <c r="H2" s="119" t="s">
        <v>114</v>
      </c>
      <c r="I2" s="120">
        <v>0.25</v>
      </c>
      <c r="J2" s="78"/>
      <c r="K2" s="78"/>
      <c r="L2" s="78"/>
      <c r="M2" s="78"/>
      <c r="N2" s="78"/>
      <c r="O2" s="281" t="s">
        <v>115</v>
      </c>
      <c r="P2" s="121">
        <v>0</v>
      </c>
    </row>
    <row r="3" spans="1:16" ht="15" thickBot="1" x14ac:dyDescent="0.4">
      <c r="A3" s="122" t="s">
        <v>116</v>
      </c>
      <c r="B3" s="123" t="s">
        <v>117</v>
      </c>
      <c r="C3" s="124">
        <v>0.64</v>
      </c>
      <c r="D3" s="124" t="s">
        <v>112</v>
      </c>
      <c r="E3" s="124">
        <v>1.56</v>
      </c>
      <c r="F3" s="125" t="s">
        <v>113</v>
      </c>
      <c r="G3" s="126">
        <v>0.43</v>
      </c>
      <c r="H3" s="124" t="s">
        <v>114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118</v>
      </c>
      <c r="B4" s="123" t="s">
        <v>119</v>
      </c>
      <c r="C4" s="124">
        <v>0.42</v>
      </c>
      <c r="D4" s="124" t="s">
        <v>112</v>
      </c>
      <c r="E4" s="124">
        <v>1.56</v>
      </c>
      <c r="F4" s="125" t="s">
        <v>113</v>
      </c>
      <c r="G4" s="126">
        <v>0.43</v>
      </c>
      <c r="H4" s="124" t="s">
        <v>114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120</v>
      </c>
      <c r="B5" s="123" t="s">
        <v>121</v>
      </c>
      <c r="C5" s="124">
        <v>0.42</v>
      </c>
      <c r="D5" s="124" t="s">
        <v>112</v>
      </c>
      <c r="E5" s="124">
        <v>1.56</v>
      </c>
      <c r="F5" s="125" t="s">
        <v>113</v>
      </c>
      <c r="G5" s="126">
        <v>0.43</v>
      </c>
      <c r="H5" s="124" t="s">
        <v>114</v>
      </c>
      <c r="I5" s="127">
        <v>0.25</v>
      </c>
      <c r="J5" s="78"/>
      <c r="K5" s="78"/>
      <c r="L5" s="78"/>
      <c r="M5" s="78"/>
      <c r="N5" s="78"/>
      <c r="O5" s="281" t="s">
        <v>122</v>
      </c>
      <c r="P5" s="121">
        <v>0</v>
      </c>
    </row>
    <row r="6" spans="1:16" x14ac:dyDescent="0.35">
      <c r="A6" s="122" t="s">
        <v>123</v>
      </c>
      <c r="B6" s="123" t="s">
        <v>124</v>
      </c>
      <c r="C6" s="124">
        <v>0.42</v>
      </c>
      <c r="D6" s="124" t="s">
        <v>112</v>
      </c>
      <c r="E6" s="124">
        <v>1.56</v>
      </c>
      <c r="F6" s="125" t="s">
        <v>113</v>
      </c>
      <c r="G6" s="126">
        <v>0.43</v>
      </c>
      <c r="H6" s="124" t="s">
        <v>114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125</v>
      </c>
      <c r="B7" s="123" t="s">
        <v>126</v>
      </c>
      <c r="C7" s="124">
        <v>0.52</v>
      </c>
      <c r="D7" s="124" t="s">
        <v>112</v>
      </c>
      <c r="E7" s="124">
        <v>1.56</v>
      </c>
      <c r="F7" s="125" t="s">
        <v>113</v>
      </c>
      <c r="G7" s="126">
        <v>0.43</v>
      </c>
      <c r="H7" s="124" t="s">
        <v>114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127</v>
      </c>
      <c r="B8" s="123" t="s">
        <v>128</v>
      </c>
      <c r="C8" s="124">
        <v>0.36</v>
      </c>
      <c r="D8" s="124" t="s">
        <v>112</v>
      </c>
      <c r="E8" s="124">
        <v>1.3</v>
      </c>
      <c r="F8" s="125" t="s">
        <v>113</v>
      </c>
      <c r="G8" s="126">
        <v>0.55000000000000004</v>
      </c>
      <c r="H8" s="124" t="s">
        <v>129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23</v>
      </c>
      <c r="B9" s="123" t="s">
        <v>130</v>
      </c>
      <c r="C9" s="124">
        <v>0.61</v>
      </c>
      <c r="D9" s="124" t="s">
        <v>112</v>
      </c>
      <c r="E9" s="124">
        <v>1.56</v>
      </c>
      <c r="F9" s="125" t="s">
        <v>113</v>
      </c>
      <c r="G9" s="126">
        <v>0.43</v>
      </c>
      <c r="H9" s="124" t="s">
        <v>114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131</v>
      </c>
      <c r="B10" s="123" t="s">
        <v>132</v>
      </c>
      <c r="C10" s="124">
        <v>0.66</v>
      </c>
      <c r="D10" s="124" t="s">
        <v>112</v>
      </c>
      <c r="E10" s="124">
        <v>1.56</v>
      </c>
      <c r="F10" s="125" t="s">
        <v>113</v>
      </c>
      <c r="G10" s="126">
        <v>0.43</v>
      </c>
      <c r="H10" s="124" t="s">
        <v>114</v>
      </c>
      <c r="I10" s="127">
        <v>0.25</v>
      </c>
      <c r="J10" s="78"/>
      <c r="K10" s="78"/>
      <c r="L10" s="78"/>
      <c r="M10" s="78"/>
      <c r="N10" s="78"/>
      <c r="O10" s="281" t="s">
        <v>133</v>
      </c>
      <c r="P10" s="121">
        <v>0</v>
      </c>
    </row>
    <row r="11" spans="1:16" ht="15" thickBot="1" x14ac:dyDescent="0.4">
      <c r="A11" s="122" t="s">
        <v>134</v>
      </c>
      <c r="B11" s="123" t="s">
        <v>135</v>
      </c>
      <c r="C11" s="124">
        <v>0.47</v>
      </c>
      <c r="D11" s="124" t="s">
        <v>112</v>
      </c>
      <c r="E11" s="124">
        <v>1.56</v>
      </c>
      <c r="F11" s="125" t="s">
        <v>113</v>
      </c>
      <c r="G11" s="126">
        <v>0.43</v>
      </c>
      <c r="H11" s="124" t="s">
        <v>114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136</v>
      </c>
      <c r="B12" s="123" t="s">
        <v>137</v>
      </c>
      <c r="C12" s="124">
        <v>0.67</v>
      </c>
      <c r="D12" s="124" t="s">
        <v>112</v>
      </c>
      <c r="E12" s="124">
        <v>1.56</v>
      </c>
      <c r="F12" s="125" t="s">
        <v>113</v>
      </c>
      <c r="G12" s="126">
        <v>0.43</v>
      </c>
      <c r="H12" s="124" t="s">
        <v>138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139</v>
      </c>
      <c r="B13" s="123" t="s">
        <v>140</v>
      </c>
      <c r="C13" s="124">
        <v>0.7</v>
      </c>
      <c r="D13" s="124" t="s">
        <v>112</v>
      </c>
      <c r="E13" s="124">
        <v>1.56</v>
      </c>
      <c r="F13" s="125" t="s">
        <v>113</v>
      </c>
      <c r="G13" s="126">
        <v>0.43</v>
      </c>
      <c r="H13" s="124" t="s">
        <v>138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141</v>
      </c>
      <c r="B14" s="123" t="s">
        <v>142</v>
      </c>
      <c r="C14" s="124">
        <v>0.54</v>
      </c>
      <c r="D14" s="124" t="s">
        <v>112</v>
      </c>
      <c r="E14" s="124">
        <v>1.56</v>
      </c>
      <c r="F14" s="125" t="s">
        <v>113</v>
      </c>
      <c r="G14" s="126">
        <v>0.43</v>
      </c>
      <c r="H14" s="124" t="s">
        <v>138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16</v>
      </c>
      <c r="B15" s="123" t="s">
        <v>143</v>
      </c>
      <c r="C15" s="124">
        <v>0.65</v>
      </c>
      <c r="D15" s="124" t="s">
        <v>112</v>
      </c>
      <c r="E15" s="124">
        <v>1.56</v>
      </c>
      <c r="F15" s="125" t="s">
        <v>113</v>
      </c>
      <c r="G15" s="126">
        <v>0.43</v>
      </c>
      <c r="H15" s="124" t="s">
        <v>138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144</v>
      </c>
      <c r="B16" s="123" t="s">
        <v>145</v>
      </c>
      <c r="C16" s="124">
        <v>0.56000000000000005</v>
      </c>
      <c r="D16" s="124" t="s">
        <v>112</v>
      </c>
      <c r="E16" s="124">
        <v>1.56</v>
      </c>
      <c r="F16" s="125" t="s">
        <v>113</v>
      </c>
      <c r="G16" s="126">
        <v>0.43</v>
      </c>
      <c r="H16" s="124" t="s">
        <v>138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19</v>
      </c>
      <c r="B17" s="123" t="s">
        <v>146</v>
      </c>
      <c r="C17" s="124">
        <v>0.57999999999999996</v>
      </c>
      <c r="D17" s="124" t="s">
        <v>112</v>
      </c>
      <c r="E17" s="124">
        <v>1.56</v>
      </c>
      <c r="F17" s="125" t="s">
        <v>113</v>
      </c>
      <c r="G17" s="126">
        <v>0.43</v>
      </c>
      <c r="H17" s="124" t="s">
        <v>138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147</v>
      </c>
      <c r="B18" s="123" t="s">
        <v>148</v>
      </c>
      <c r="C18" s="124">
        <v>0.64</v>
      </c>
      <c r="D18" s="124" t="s">
        <v>112</v>
      </c>
      <c r="E18" s="124">
        <v>1.56</v>
      </c>
      <c r="F18" s="125" t="s">
        <v>113</v>
      </c>
      <c r="G18" s="126">
        <v>0.43</v>
      </c>
      <c r="H18" s="124" t="s">
        <v>138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149</v>
      </c>
      <c r="B19" s="123" t="s">
        <v>150</v>
      </c>
      <c r="C19" s="124">
        <v>0.73</v>
      </c>
      <c r="D19" s="124" t="s">
        <v>112</v>
      </c>
      <c r="E19" s="124">
        <v>1.56</v>
      </c>
      <c r="F19" s="125" t="s">
        <v>113</v>
      </c>
      <c r="G19" s="126">
        <v>0.43</v>
      </c>
      <c r="H19" s="124" t="s">
        <v>138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151</v>
      </c>
      <c r="B20" s="123" t="s">
        <v>152</v>
      </c>
      <c r="C20" s="124">
        <v>0.69</v>
      </c>
      <c r="D20" s="124" t="s">
        <v>153</v>
      </c>
      <c r="E20" s="124">
        <v>1.56</v>
      </c>
      <c r="F20" s="125" t="s">
        <v>113</v>
      </c>
      <c r="G20" s="126">
        <v>0.43</v>
      </c>
      <c r="H20" s="124" t="s">
        <v>154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155</v>
      </c>
      <c r="B21" s="123" t="s">
        <v>156</v>
      </c>
      <c r="C21" s="124">
        <v>0.36</v>
      </c>
      <c r="D21" s="124" t="s">
        <v>112</v>
      </c>
      <c r="E21" s="124">
        <v>1.3</v>
      </c>
      <c r="F21" s="125" t="s">
        <v>113</v>
      </c>
      <c r="G21" s="126">
        <v>0.55000000000000004</v>
      </c>
      <c r="H21" s="124" t="s">
        <v>129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157</v>
      </c>
      <c r="B22" s="123" t="s">
        <v>158</v>
      </c>
      <c r="C22" s="124">
        <v>0.4</v>
      </c>
      <c r="D22" s="124" t="s">
        <v>112</v>
      </c>
      <c r="E22" s="124">
        <v>1.3</v>
      </c>
      <c r="F22" s="125" t="s">
        <v>113</v>
      </c>
      <c r="G22" s="126">
        <v>0.55000000000000004</v>
      </c>
      <c r="H22" s="124" t="s">
        <v>129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159</v>
      </c>
      <c r="B23" s="123" t="s">
        <v>160</v>
      </c>
      <c r="C23" s="124">
        <v>0.43</v>
      </c>
      <c r="D23" s="124" t="s">
        <v>112</v>
      </c>
      <c r="E23" s="124">
        <v>1.3</v>
      </c>
      <c r="F23" s="125" t="s">
        <v>113</v>
      </c>
      <c r="G23" s="126">
        <v>0.55000000000000004</v>
      </c>
      <c r="H23" s="124" t="s">
        <v>129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161</v>
      </c>
      <c r="B24" s="123" t="s">
        <v>162</v>
      </c>
      <c r="C24" s="124">
        <v>0.37</v>
      </c>
      <c r="D24" s="124" t="s">
        <v>112</v>
      </c>
      <c r="E24" s="124">
        <v>1.3</v>
      </c>
      <c r="F24" s="125" t="s">
        <v>113</v>
      </c>
      <c r="G24" s="126">
        <v>0.55000000000000004</v>
      </c>
      <c r="H24" s="124" t="s">
        <v>138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163</v>
      </c>
      <c r="B25" s="123" t="s">
        <v>164</v>
      </c>
      <c r="C25" s="124">
        <v>0.36</v>
      </c>
      <c r="D25" s="124" t="s">
        <v>112</v>
      </c>
      <c r="E25" s="124">
        <v>1.3</v>
      </c>
      <c r="F25" s="125" t="s">
        <v>113</v>
      </c>
      <c r="G25" s="126">
        <v>0.55000000000000004</v>
      </c>
      <c r="H25" s="124" t="s">
        <v>138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165</v>
      </c>
      <c r="B26" s="123" t="s">
        <v>166</v>
      </c>
      <c r="C26" s="124">
        <v>0.56000000000000005</v>
      </c>
      <c r="D26" s="124" t="s">
        <v>112</v>
      </c>
      <c r="E26" s="124">
        <v>1.56</v>
      </c>
      <c r="F26" s="125" t="s">
        <v>113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168</v>
      </c>
      <c r="B27" s="123" t="s">
        <v>169</v>
      </c>
      <c r="C27" s="124">
        <v>0.51</v>
      </c>
      <c r="D27" s="124" t="s">
        <v>112</v>
      </c>
      <c r="E27" s="124">
        <v>1.56</v>
      </c>
      <c r="F27" s="125" t="s">
        <v>113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21</v>
      </c>
      <c r="B28" s="123" t="s">
        <v>170</v>
      </c>
      <c r="C28" s="124">
        <v>0.51</v>
      </c>
      <c r="D28" s="124" t="s">
        <v>112</v>
      </c>
      <c r="E28" s="124">
        <v>1.56</v>
      </c>
      <c r="F28" s="125" t="s">
        <v>113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171</v>
      </c>
      <c r="B29" s="123" t="s">
        <v>171</v>
      </c>
      <c r="C29" s="124">
        <v>0.56000000000000005</v>
      </c>
      <c r="D29" s="124" t="s">
        <v>112</v>
      </c>
      <c r="E29" s="124">
        <v>1.56</v>
      </c>
      <c r="F29" s="125" t="s">
        <v>113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172</v>
      </c>
      <c r="C30" s="124">
        <v>0.55000000000000004</v>
      </c>
      <c r="D30" s="124" t="s">
        <v>112</v>
      </c>
      <c r="E30" s="124">
        <v>1.56</v>
      </c>
      <c r="F30" s="125" t="s">
        <v>113</v>
      </c>
      <c r="G30" s="126">
        <v>0.53</v>
      </c>
      <c r="H30" s="124" t="s">
        <v>138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112</v>
      </c>
      <c r="E31" s="124">
        <v>1.56</v>
      </c>
      <c r="F31" s="125" t="s">
        <v>113</v>
      </c>
      <c r="G31" s="126">
        <v>0.43</v>
      </c>
      <c r="H31" s="124" t="s">
        <v>114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112</v>
      </c>
      <c r="E32" s="124">
        <v>1.3</v>
      </c>
      <c r="F32" s="125" t="s">
        <v>113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112</v>
      </c>
      <c r="E33" s="124">
        <v>1.3</v>
      </c>
      <c r="F33" s="125" t="s">
        <v>113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113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112</v>
      </c>
      <c r="E35" s="124">
        <v>1.56</v>
      </c>
      <c r="F35" s="125" t="s">
        <v>113</v>
      </c>
      <c r="G35" s="126">
        <v>0.43</v>
      </c>
      <c r="H35" s="124" t="s">
        <v>114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112</v>
      </c>
      <c r="E36" s="124">
        <v>1.56</v>
      </c>
      <c r="F36" s="125" t="s">
        <v>113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112</v>
      </c>
      <c r="E37" s="124">
        <v>1.56</v>
      </c>
      <c r="F37" s="125" t="s">
        <v>113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112</v>
      </c>
      <c r="E38" s="124">
        <v>1.56</v>
      </c>
      <c r="F38" s="125" t="s">
        <v>113</v>
      </c>
      <c r="G38" s="126">
        <v>0.43</v>
      </c>
      <c r="H38" s="124" t="s">
        <v>114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113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113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113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113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113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113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113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113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113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113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113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113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113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113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113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113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113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113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113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113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113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113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113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112</v>
      </c>
      <c r="E62" s="124">
        <v>1.56</v>
      </c>
      <c r="F62" s="125" t="s">
        <v>113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112</v>
      </c>
      <c r="E63" s="124">
        <v>1.3</v>
      </c>
      <c r="F63" s="125" t="s">
        <v>113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112</v>
      </c>
      <c r="E64" s="124">
        <v>1.3</v>
      </c>
      <c r="F64" s="125" t="s">
        <v>113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112</v>
      </c>
      <c r="E65" s="124">
        <v>1.3</v>
      </c>
      <c r="F65" s="125" t="s">
        <v>113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112</v>
      </c>
      <c r="E66" s="124">
        <v>1.3</v>
      </c>
      <c r="F66" s="125" t="s">
        <v>113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112</v>
      </c>
      <c r="E67" s="124">
        <v>1.3</v>
      </c>
      <c r="F67" s="125" t="s">
        <v>113</v>
      </c>
      <c r="G67" s="126">
        <v>0.45</v>
      </c>
      <c r="H67" s="124" t="s">
        <v>138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112</v>
      </c>
      <c r="E68" s="124">
        <v>1.3</v>
      </c>
      <c r="F68" s="125" t="s">
        <v>113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112</v>
      </c>
      <c r="E69" s="124">
        <v>1.3</v>
      </c>
      <c r="F69" s="125" t="s">
        <v>113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112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113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112</v>
      </c>
      <c r="E72" s="124">
        <v>1.3</v>
      </c>
      <c r="F72" s="125" t="s">
        <v>113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113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112</v>
      </c>
      <c r="E74" s="124">
        <v>1.3</v>
      </c>
      <c r="F74" s="125" t="s">
        <v>113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112</v>
      </c>
      <c r="E75" s="124">
        <v>1.56</v>
      </c>
      <c r="F75" s="125" t="s">
        <v>113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112</v>
      </c>
      <c r="E76" s="124">
        <v>1.56</v>
      </c>
      <c r="F76" s="125" t="s">
        <v>113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112</v>
      </c>
      <c r="E77" s="124">
        <v>1.3</v>
      </c>
      <c r="F77" s="125" t="s">
        <v>113</v>
      </c>
      <c r="G77" s="126">
        <v>0.55000000000000004</v>
      </c>
      <c r="H77" s="124" t="s">
        <v>138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112</v>
      </c>
      <c r="E78" s="124">
        <v>1.3</v>
      </c>
      <c r="F78" s="125" t="s">
        <v>113</v>
      </c>
      <c r="G78" s="126">
        <v>0.55000000000000004</v>
      </c>
      <c r="H78" s="124" t="s">
        <v>138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112</v>
      </c>
      <c r="E79" s="124">
        <v>1.3</v>
      </c>
      <c r="F79" s="125" t="s">
        <v>113</v>
      </c>
      <c r="G79" s="126">
        <v>0.55000000000000004</v>
      </c>
      <c r="H79" s="124" t="s">
        <v>129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112</v>
      </c>
      <c r="E80" s="124">
        <v>1.3</v>
      </c>
      <c r="F80" s="125" t="s">
        <v>113</v>
      </c>
      <c r="G80" s="126">
        <v>0.55000000000000004</v>
      </c>
      <c r="H80" s="124" t="s">
        <v>129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112</v>
      </c>
      <c r="E81" s="124">
        <v>1.56</v>
      </c>
      <c r="F81" s="125" t="s">
        <v>113</v>
      </c>
      <c r="G81" s="126">
        <v>0.43</v>
      </c>
      <c r="H81" s="124" t="s">
        <v>114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113</v>
      </c>
      <c r="G82" s="126">
        <v>0.55000000000000004</v>
      </c>
      <c r="H82" s="124" t="s">
        <v>129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112</v>
      </c>
      <c r="E83" s="124">
        <v>1.3</v>
      </c>
      <c r="F83" s="125" t="s">
        <v>113</v>
      </c>
      <c r="G83" s="126">
        <v>0.55000000000000004</v>
      </c>
      <c r="H83" s="124" t="s">
        <v>129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112</v>
      </c>
      <c r="E84" s="124">
        <v>1.3</v>
      </c>
      <c r="F84" s="125" t="s">
        <v>113</v>
      </c>
      <c r="G84" s="126">
        <v>0.55000000000000004</v>
      </c>
      <c r="H84" s="124" t="s">
        <v>129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112</v>
      </c>
      <c r="E85" s="124">
        <v>1.56</v>
      </c>
      <c r="F85" s="125" t="s">
        <v>113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112</v>
      </c>
      <c r="E86" s="124">
        <v>1.56</v>
      </c>
      <c r="F86" s="125" t="s">
        <v>113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113</v>
      </c>
      <c r="G87" s="255">
        <v>0.43</v>
      </c>
      <c r="H87" s="253" t="s">
        <v>114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72</v>
      </c>
      <c r="B88" s="130"/>
      <c r="C88" s="124">
        <v>0.42</v>
      </c>
      <c r="D88" s="124" t="s">
        <v>112</v>
      </c>
      <c r="E88" s="124">
        <v>1.3</v>
      </c>
      <c r="F88" s="125" t="s">
        <v>113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112</v>
      </c>
      <c r="E89" s="135">
        <v>1.56</v>
      </c>
      <c r="F89" s="135" t="s">
        <v>113</v>
      </c>
      <c r="G89" s="134"/>
      <c r="H89" s="134"/>
      <c r="I89" s="137"/>
    </row>
    <row r="93" spans="1:14" x14ac:dyDescent="0.35">
      <c r="A93" s="122" t="s">
        <v>73</v>
      </c>
    </row>
    <row r="94" spans="1:14" x14ac:dyDescent="0.35">
      <c r="A94" s="122" t="s">
        <v>74</v>
      </c>
    </row>
    <row r="95" spans="1:14" x14ac:dyDescent="0.35">
      <c r="A95" s="122" t="s">
        <v>75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L21" sqref="L21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Chêne pubescent</v>
      </c>
      <c r="B6" s="146">
        <f>'Données projet'!D9</f>
        <v>0.68180000000000007</v>
      </c>
      <c r="C6" s="147">
        <f ca="1">IF(OR('Données projet'!B9="",'Données projet'!C9="",'Données projet'!C9=0%),0,Calculateur!S3)</f>
        <v>533.26035274112917</v>
      </c>
      <c r="D6" s="147">
        <f>IF(OR('Données projet'!B9="",'Données projet'!C9="",'Données projet'!C9=0%),0,Calculateur!T3)</f>
        <v>262.58149402282521</v>
      </c>
      <c r="E6" s="147">
        <f ca="1">MIN(C6,D6)</f>
        <v>262.58149402282521</v>
      </c>
      <c r="F6" s="147">
        <f ca="1">E6*B6</f>
        <v>179.02806262476224</v>
      </c>
      <c r="G6" s="147">
        <f ca="1">F6*(100%-'Données projet'!$C$24)*(100%-'Données projet'!$C$25)*(100%-'Données projet'!$C$26)*(100%-'Données projet'!$C$27)</f>
        <v>153.06899354417172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153.06899354417172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Chêne sessile</v>
      </c>
      <c r="B7" s="154">
        <f>'Données projet'!D10</f>
        <v>0.68180000000000007</v>
      </c>
      <c r="C7" s="147">
        <f ca="1">IF(OR('Données projet'!B10="",'Données projet'!C10="",'Données projet'!C10=0%),0,Calculateur!AN3)</f>
        <v>482.62991869403385</v>
      </c>
      <c r="D7" s="147">
        <f>IF(OR('Données projet'!B10="",'Données projet'!C10="",'Données projet'!C10=0%),0,Calculateur!AO3)</f>
        <v>310.43914804089906</v>
      </c>
      <c r="E7" s="147">
        <f t="shared" ref="E7:E15" ca="1" si="0">MIN(C7,D7)</f>
        <v>310.43914804089906</v>
      </c>
      <c r="F7" s="147">
        <f t="shared" ref="F7:F15" ca="1" si="1">E7*B7</f>
        <v>211.65741113428501</v>
      </c>
      <c r="G7" s="147">
        <f ca="1">F7*(100%-'Données projet'!$C$24)*(100%-'Données projet'!$C$25)*(100%-'Données projet'!$C$26)*(100%-'Données projet'!$C$27)</f>
        <v>180.96708651981368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180.96708651981368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Erable champêtre</v>
      </c>
      <c r="B8" s="154">
        <f>'Données projet'!D11</f>
        <v>0.92530000000000001</v>
      </c>
      <c r="C8" s="147">
        <f ca="1">IF(OR('Données projet'!B11="",'Données projet'!C11="",'Données projet'!C11=0%),0,Calculateur!BI3)</f>
        <v>384.34044781465661</v>
      </c>
      <c r="D8" s="147">
        <f>IF(OR('Données projet'!B11="",'Données projet'!C11="",'Données projet'!C11=0%),0,Calculateur!BJ3)</f>
        <v>374.99493809709708</v>
      </c>
      <c r="E8" s="147">
        <f t="shared" ca="1" si="0"/>
        <v>374.99493809709708</v>
      </c>
      <c r="F8" s="147">
        <f t="shared" ca="1" si="1"/>
        <v>346.98281622124392</v>
      </c>
      <c r="G8" s="147">
        <f ca="1">F8*(100%-'Données projet'!$C$24)*(100%-'Données projet'!$C$25)*(100%-'Données projet'!$C$26)*(100%-'Données projet'!$C$27)</f>
        <v>296.67030786916354</v>
      </c>
      <c r="H8" s="155">
        <f>IF(OR('Données projet'!B11="",'Données projet'!C11="",'Données projet'!C11=0%),0,AVERAGE(Calculateur!$BS$3:$BS$33)*B8)</f>
        <v>6.1346952701566249</v>
      </c>
      <c r="I8" s="149">
        <f>H8*(100%-'Données projet'!$C$24)*(100%-'Données projet'!$C$25)*(100%-'Données projet'!$C$26)*(100%-'Données projet'!$C$27)</f>
        <v>5.2451644559839137</v>
      </c>
      <c r="J8" s="150">
        <f>IF(OR('Données projet'!B11="",'Données projet'!C11="",'Données projet'!C11=0%),0,SUM(Calculateur!$BL$3:$BL$33)*VLOOKUP('Données projet'!$B$11,Paramètres!$A$1:$I$89,9,0)*B8)</f>
        <v>31.691524999999999</v>
      </c>
      <c r="K8" s="151">
        <f>J8*(100%-'Données projet'!$C$24)*(100%-'Données projet'!$C$25)*(100%-'Données projet'!$C$26)*(100%-'Données projet'!$C$27)</f>
        <v>27.096253874999999</v>
      </c>
      <c r="L8" s="152">
        <f t="shared" ca="1" si="2"/>
        <v>329.01172620014745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Charme</v>
      </c>
      <c r="B9" s="154">
        <f>'Données projet'!D12</f>
        <v>0.92530000000000001</v>
      </c>
      <c r="C9" s="147">
        <f ca="1">IF(OR('Données projet'!B12="",'Données projet'!C12="",'Données projet'!C12=0%),0,Calculateur!CD3)</f>
        <v>513.14430745499283</v>
      </c>
      <c r="D9" s="147">
        <f>IF(OR('Données projet'!B12="",'Données projet'!C12="",'Données projet'!C12=0%),0,Calculateur!CE3)</f>
        <v>324.2490378019823</v>
      </c>
      <c r="E9" s="147">
        <f t="shared" ca="1" si="0"/>
        <v>324.2490378019823</v>
      </c>
      <c r="F9" s="147">
        <f t="shared" ca="1" si="1"/>
        <v>300.02763467817419</v>
      </c>
      <c r="G9" s="147">
        <f ca="1">F9*(100%-'Données projet'!$C$24)*(100%-'Données projet'!$C$25)*(100%-'Données projet'!$C$26)*(100%-'Données projet'!$C$27)</f>
        <v>256.52362764983889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256.52362764983889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Merisier</v>
      </c>
      <c r="B10" s="154">
        <f>'Données projet'!D13</f>
        <v>0.1948</v>
      </c>
      <c r="C10" s="147">
        <f ca="1">IF(OR('Données projet'!B13="",'Données projet'!C13="",'Données projet'!C13=0%),0,Calculateur!CY3)</f>
        <v>197.51452239559433</v>
      </c>
      <c r="D10" s="147">
        <f>IF(OR('Données projet'!B13="",'Données projet'!C13="",'Données projet'!C13=0%),0,Calculateur!CZ3)</f>
        <v>196.65166921588821</v>
      </c>
      <c r="E10" s="147">
        <f t="shared" ca="1" si="0"/>
        <v>196.65166921588821</v>
      </c>
      <c r="F10" s="147">
        <f t="shared" ca="1" si="1"/>
        <v>38.307745163255021</v>
      </c>
      <c r="G10" s="147">
        <f ca="1">F10*(100%-'Données projet'!$C$24)*(100%-'Données projet'!$C$25)*(100%-'Données projet'!$C$26)*(100%-'Données projet'!$C$27)</f>
        <v>32.753122114583043</v>
      </c>
      <c r="H10" s="155">
        <f>IF(OR('Données projet'!B13="",'Données projet'!C13="",'Données projet'!C13=0%),0,AVERAGE(Calculateur!$DI$3:$DI$33)*B10)</f>
        <v>0.28947783735733745</v>
      </c>
      <c r="I10" s="149">
        <f>H10*(100%-'Données projet'!$C$24)*(100%-'Données projet'!$C$25)*(100%-'Données projet'!$C$26)*(100%-'Données projet'!$C$27)</f>
        <v>0.24750355094052351</v>
      </c>
      <c r="J10" s="150">
        <f>IF(OR('Données projet'!B13="",'Données projet'!C13="",'Données projet'!C13=0%),0,SUM(Calculateur!$DB$3:$DB$33)*VLOOKUP('Données projet'!$B$13,Paramètres!$A$1:$I$89,9,0)*B10)</f>
        <v>1.7169871794871794</v>
      </c>
      <c r="K10" s="151">
        <f>J10*(100%-'Données projet'!$C$24)*(100%-'Données projet'!$C$25)*(100%-'Données projet'!$C$26)*(100%-'Données projet'!$C$27)</f>
        <v>1.4680240384615384</v>
      </c>
      <c r="L10" s="152">
        <f t="shared" ca="1" si="2"/>
        <v>34.468649703985101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Chêne chevelu</v>
      </c>
      <c r="B11" s="154">
        <f>'Données projet'!D14</f>
        <v>0.73050000000000004</v>
      </c>
      <c r="C11" s="147">
        <f ca="1">IF(OR('Données projet'!B14="",'Données projet'!C14="",'Données projet'!C14=0%),0,Calculateur!DT3)</f>
        <v>239.26156489359892</v>
      </c>
      <c r="D11" s="147">
        <f>IF(OR('Données projet'!B14="",'Données projet'!C14="",'Données projet'!C14=0%),0,Calculateur!DU3)</f>
        <v>213.97034450798111</v>
      </c>
      <c r="E11" s="147">
        <f t="shared" ca="1" si="0"/>
        <v>213.97034450798111</v>
      </c>
      <c r="F11" s="147">
        <f t="shared" ca="1" si="1"/>
        <v>156.3053366630802</v>
      </c>
      <c r="G11" s="147">
        <f ca="1">F11*(100%-'Données projet'!$C$24)*(100%-'Données projet'!$C$25)*(100%-'Données projet'!$C$26)*(100%-'Données projet'!$C$27)</f>
        <v>133.64106284693355</v>
      </c>
      <c r="H11" s="155">
        <f>IF(OR('Données projet'!B14="",'Données projet'!C14="",'Données projet'!C14=0%),0,AVERAGE(Calculateur!$ED$3:$ED$33)*B11)</f>
        <v>1.5147414695986199</v>
      </c>
      <c r="I11" s="149">
        <f>H11*(100%-'Données projet'!$C$24)*(100%-'Données projet'!$C$25)*(100%-'Données projet'!$C$26)*(100%-'Données projet'!$C$27)</f>
        <v>1.2951039565068201</v>
      </c>
      <c r="J11" s="150">
        <f>IF(OR('Données projet'!B14="",'Données projet'!C14="",'Données projet'!C14=0%),0,SUM(Calculateur!$DW$3:$DW$33)*VLOOKUP('Données projet'!$B$14,Paramètres!$A$1:$I$89,9,0)*B11)</f>
        <v>7.9605769230769221</v>
      </c>
      <c r="K11" s="151">
        <f>J11*(100%-'Données projet'!$C$24)*(100%-'Données projet'!$C$25)*(100%-'Données projet'!$C$26)*(100%-'Données projet'!$C$27)</f>
        <v>6.8062932692307676</v>
      </c>
      <c r="L11" s="152">
        <f t="shared" ca="1" si="2"/>
        <v>141.74246007267112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>Chêne tauzin</v>
      </c>
      <c r="B12" s="154">
        <f>'Données projet'!D15</f>
        <v>0.73050000000000004</v>
      </c>
      <c r="C12" s="147">
        <f ca="1">IF(OR('Données projet'!B15="",'Données projet'!C15="",'Données projet'!C15=0%),0,Calculateur!EO3)</f>
        <v>525.74725170626471</v>
      </c>
      <c r="D12" s="147">
        <f>IF(OR('Données projet'!B15="",'Données projet'!C15="",'Données projet'!C15=0%),0,Calculateur!EP3)</f>
        <v>259.19103598192197</v>
      </c>
      <c r="E12" s="147">
        <f t="shared" ca="1" si="0"/>
        <v>259.19103598192197</v>
      </c>
      <c r="F12" s="147">
        <f t="shared" ca="1" si="1"/>
        <v>189.33905178479401</v>
      </c>
      <c r="G12" s="147">
        <f ca="1">F12*(100%-'Données projet'!$C$24)*(100%-'Données projet'!$C$25)*(100%-'Données projet'!$C$26)*(100%-'Données projet'!$C$27)</f>
        <v>161.88488927599889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161.88488927599889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1421.6480582695945</v>
      </c>
      <c r="G16" s="166">
        <f t="shared" ca="1" si="3"/>
        <v>1215.5090898205033</v>
      </c>
      <c r="H16" s="167">
        <f t="shared" si="3"/>
        <v>7.9389145771125822</v>
      </c>
      <c r="I16" s="167">
        <f t="shared" si="3"/>
        <v>6.7877719634312577</v>
      </c>
      <c r="J16" s="168">
        <f t="shared" si="3"/>
        <v>41.369089102564097</v>
      </c>
      <c r="K16" s="168">
        <f t="shared" si="3"/>
        <v>35.370571182692302</v>
      </c>
      <c r="L16" s="169">
        <f t="shared" ca="1" si="3"/>
        <v>1257.6674329666268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Erable champêtre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Merisier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Chêne chevelu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>Chêne tauzin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L6" zoomScale="115" zoomScaleNormal="115" workbookViewId="0">
      <selection activeCell="U30" sqref="U30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58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Chêne pubescent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319.3578589324145</v>
      </c>
      <c r="U10" s="178">
        <f>'Données projet'!D9</f>
        <v>0.68180000000000007</v>
      </c>
      <c r="V10" s="177">
        <f>U10*T10</f>
        <v>217.73818822012024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1054.1452650674648</v>
      </c>
      <c r="U11" s="178">
        <f>'Données projet'!D10</f>
        <v>0.68180000000000007</v>
      </c>
      <c r="V11" s="177">
        <f t="shared" ref="V11" si="0">U11*T11</f>
        <v>718.71624172299755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champêtre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1728.1744097706571</v>
      </c>
      <c r="U12" s="178">
        <f>'Données projet'!D11</f>
        <v>0.92530000000000001</v>
      </c>
      <c r="V12" s="177">
        <f t="shared" ref="V12:V19" si="1">U12*T12</f>
        <v>1599.079781360789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>Charme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1106.4428348554077</v>
      </c>
      <c r="U13" s="178">
        <f>'Données projet'!D12</f>
        <v>0.92530000000000001</v>
      </c>
      <c r="V13" s="177">
        <f t="shared" si="1"/>
        <v>1023.7915550917087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Chêne pubescent</v>
      </c>
      <c r="C14" s="4"/>
      <c r="D14" s="4"/>
      <c r="E14" s="4"/>
      <c r="F14" s="230"/>
      <c r="G14" s="23"/>
      <c r="H14" s="36" t="s">
        <v>77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Merisier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949.45261750537895</v>
      </c>
      <c r="U14" s="178">
        <f>'Données projet'!D13</f>
        <v>0.1948</v>
      </c>
      <c r="V14" s="177">
        <f t="shared" si="1"/>
        <v>184.95336989004781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chevelu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261.28064843633263</v>
      </c>
      <c r="U15" s="178">
        <f>'Données projet'!D14</f>
        <v>0.73050000000000004</v>
      </c>
      <c r="V15" s="177">
        <f t="shared" si="1"/>
        <v>190.86551368274098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49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/>
      <c r="O16" s="23"/>
      <c r="P16" s="23"/>
      <c r="Q16" s="234"/>
      <c r="R16" s="23"/>
      <c r="S16" s="36" t="str">
        <f>B200</f>
        <v>Chêne tauzin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319.3578589324145</v>
      </c>
      <c r="U16" s="178">
        <f>'Données projet'!D15</f>
        <v>0.73050000000000004</v>
      </c>
      <c r="V16" s="177">
        <f t="shared" si="1"/>
        <v>233.29091595012881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289"/>
      <c r="J17" s="202"/>
      <c r="K17" s="208"/>
      <c r="L17" s="259" t="s">
        <v>312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289"/>
      <c r="J18" s="202"/>
      <c r="K18" s="208"/>
      <c r="L18" s="259" t="s">
        <v>308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89"/>
      <c r="H19" s="212" t="s">
        <v>77</v>
      </c>
      <c r="I19" s="212" t="s">
        <v>313</v>
      </c>
      <c r="J19" s="93"/>
      <c r="K19" s="173"/>
      <c r="L19" s="286" t="s">
        <v>314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89"/>
      <c r="H20" s="190">
        <v>1</v>
      </c>
      <c r="I20" s="191">
        <v>6893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>
        <v>2</v>
      </c>
      <c r="I21" s="191">
        <v>800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>
        <v>3</v>
      </c>
      <c r="I22" s="191">
        <v>800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60</v>
      </c>
      <c r="B23" s="181">
        <f>'Données projet'!D36</f>
        <v>72.87</v>
      </c>
      <c r="C23" s="193">
        <v>15</v>
      </c>
      <c r="D23" s="182">
        <f>B23*C23</f>
        <v>1093.0500000000002</v>
      </c>
      <c r="E23" s="193">
        <v>60</v>
      </c>
      <c r="F23" s="230"/>
      <c r="H23" s="190">
        <v>4</v>
      </c>
      <c r="I23" s="191">
        <v>800</v>
      </c>
      <c r="K23" s="208"/>
      <c r="L23" s="288" t="s">
        <v>315</v>
      </c>
      <c r="M23" s="288"/>
      <c r="N23" s="288"/>
      <c r="O23" s="23"/>
      <c r="P23" s="23"/>
      <c r="Q23" s="234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-41330.0430169807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69</v>
      </c>
      <c r="B24" s="181">
        <f>'Données projet'!D37</f>
        <v>42.22</v>
      </c>
      <c r="C24" s="193">
        <v>15</v>
      </c>
      <c r="D24" s="182">
        <f t="shared" ref="D24:D42" si="2">B24*C24</f>
        <v>633.29999999999995</v>
      </c>
      <c r="E24" s="193">
        <v>60</v>
      </c>
      <c r="F24" s="233"/>
      <c r="H24" s="190">
        <v>5</v>
      </c>
      <c r="I24" s="191">
        <v>800</v>
      </c>
      <c r="K24" s="208"/>
      <c r="O24" s="23"/>
      <c r="P24" s="23"/>
      <c r="Q24" s="234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12948.087314697937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77</v>
      </c>
      <c r="B25" s="181">
        <f>'Données projet'!D38</f>
        <v>33.950000000000017</v>
      </c>
      <c r="C25" s="193">
        <v>15</v>
      </c>
      <c r="D25" s="182">
        <f t="shared" si="2"/>
        <v>509.25000000000023</v>
      </c>
      <c r="E25" s="193">
        <v>60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>
        <v>120</v>
      </c>
      <c r="Q25" s="234"/>
      <c r="R25" s="23"/>
      <c r="S25" s="186" t="s">
        <v>319</v>
      </c>
      <c r="T25" s="303">
        <f ca="1">T23-T24</f>
        <v>-54278.130331678636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86</v>
      </c>
      <c r="B26" s="181">
        <f>'Données projet'!D39</f>
        <v>37.54000000000002</v>
      </c>
      <c r="C26" s="193">
        <v>59.875</v>
      </c>
      <c r="D26" s="182">
        <f t="shared" si="2"/>
        <v>2247.7075000000013</v>
      </c>
      <c r="E26" s="193">
        <v>60</v>
      </c>
      <c r="F26" s="233"/>
      <c r="G26" s="229"/>
      <c r="H26" s="190"/>
      <c r="I26" s="191"/>
      <c r="K26" s="208"/>
      <c r="L26" s="290" t="s">
        <v>320</v>
      </c>
      <c r="M26" s="291"/>
      <c r="N26" s="291"/>
      <c r="O26" s="291"/>
      <c r="P26" s="292"/>
      <c r="Q26" s="234"/>
      <c r="R26" s="23"/>
      <c r="S26" s="186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95</v>
      </c>
      <c r="B27" s="181">
        <f>'Données projet'!D40</f>
        <v>42.199999999999989</v>
      </c>
      <c r="C27" s="193">
        <v>59.875</v>
      </c>
      <c r="D27" s="182">
        <f t="shared" si="2"/>
        <v>2526.7249999999995</v>
      </c>
      <c r="E27" s="193">
        <v>60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322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104</v>
      </c>
      <c r="B28" s="181">
        <f>'Données projet'!D41</f>
        <v>39.400000000000006</v>
      </c>
      <c r="C28" s="193">
        <v>59.875</v>
      </c>
      <c r="D28" s="182">
        <f t="shared" si="2"/>
        <v>2359.0750000000003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113</v>
      </c>
      <c r="B29" s="181">
        <f>'Données projet'!D42</f>
        <v>41.639999999999986</v>
      </c>
      <c r="C29" s="193">
        <v>59.875</v>
      </c>
      <c r="D29" s="182">
        <f t="shared" si="2"/>
        <v>2493.1949999999993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122</v>
      </c>
      <c r="B30" s="181">
        <f>'Données projet'!D43</f>
        <v>45.829999999999984</v>
      </c>
      <c r="C30" s="193">
        <v>59.875</v>
      </c>
      <c r="D30" s="182">
        <f t="shared" si="2"/>
        <v>2744.0712499999991</v>
      </c>
      <c r="E30" s="193">
        <v>60</v>
      </c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2658.7448284800694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132</v>
      </c>
      <c r="B31" s="181">
        <f>'Données projet'!D44</f>
        <v>48.699999999999989</v>
      </c>
      <c r="C31" s="193">
        <v>59.875</v>
      </c>
      <c r="D31" s="182">
        <f t="shared" si="2"/>
        <v>2915.9124999999995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144</v>
      </c>
      <c r="B32" s="181">
        <f>'Données projet'!D45</f>
        <v>60.949999999999989</v>
      </c>
      <c r="C32" s="193">
        <v>59.875</v>
      </c>
      <c r="D32" s="182">
        <f t="shared" si="2"/>
        <v>3649.3812499999995</v>
      </c>
      <c r="E32" s="193">
        <v>60</v>
      </c>
      <c r="F32" s="233"/>
      <c r="G32" s="203"/>
      <c r="H32" s="190"/>
      <c r="I32" s="191"/>
      <c r="K32" s="173"/>
      <c r="N32" s="4"/>
      <c r="O32" s="85" t="s">
        <v>77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156</v>
      </c>
      <c r="B33" s="181">
        <f>'Données projet'!D46</f>
        <v>65.69</v>
      </c>
      <c r="C33" s="193">
        <v>179.75</v>
      </c>
      <c r="D33" s="182">
        <f t="shared" si="2"/>
        <v>11807.7775</v>
      </c>
      <c r="E33" s="193">
        <v>60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120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168</v>
      </c>
      <c r="B34" s="181">
        <f>'Données projet'!D47</f>
        <v>71.37</v>
      </c>
      <c r="C34" s="193">
        <v>179.75</v>
      </c>
      <c r="D34" s="182">
        <f t="shared" si="2"/>
        <v>12828.757500000002</v>
      </c>
      <c r="E34" s="193">
        <v>60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114.83253588516747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180</v>
      </c>
      <c r="B35" s="181">
        <f>'Données projet'!D48</f>
        <v>175.59000000000003</v>
      </c>
      <c r="C35" s="193">
        <v>179.75</v>
      </c>
      <c r="D35" s="182">
        <f t="shared" si="2"/>
        <v>31562.302500000005</v>
      </c>
      <c r="E35" s="193">
        <v>60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109.88759414848563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184</v>
      </c>
      <c r="B36" s="181">
        <f>'Données projet'!D49</f>
        <v>101.19999999999999</v>
      </c>
      <c r="C36" s="193">
        <v>179.75</v>
      </c>
      <c r="D36" s="182">
        <f t="shared" si="2"/>
        <v>18190.699999999997</v>
      </c>
      <c r="E36" s="193">
        <v>60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105.15559248658911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188</v>
      </c>
      <c r="B37" s="181">
        <f>'Données projet'!D50</f>
        <v>72.180000000000007</v>
      </c>
      <c r="C37" s="193">
        <v>179.75</v>
      </c>
      <c r="D37" s="182">
        <f t="shared" si="2"/>
        <v>12974.355000000001</v>
      </c>
      <c r="E37" s="193">
        <v>60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100.62736123118579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191</v>
      </c>
      <c r="B38" s="181">
        <f>'Données projet'!D51</f>
        <v>145.01</v>
      </c>
      <c r="C38" s="193">
        <v>234.375</v>
      </c>
      <c r="D38" s="182">
        <f t="shared" si="2"/>
        <v>33986.71875</v>
      </c>
      <c r="E38" s="193">
        <v>60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96.294125580082095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92.147488593380018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88.179414921894747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84.382215236262937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80.748531326567416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77.271321843605193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73.943848654167653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70.759663783892506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67.71259692238516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49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64.796743466397302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62.006453077892154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59.336318734825049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56.781166253421098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54.336044261646997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51.996214604446891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49.757143162150143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44</v>
      </c>
      <c r="B54" s="181">
        <f>'Données projet'!D62</f>
        <v>76.680000000000007</v>
      </c>
      <c r="C54" s="191">
        <v>15</v>
      </c>
      <c r="D54" s="179">
        <f>B54*C54</f>
        <v>1150.2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47.614491064258509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51</v>
      </c>
      <c r="B55" s="181">
        <f>'Données projet'!D63</f>
        <v>48.769999999999982</v>
      </c>
      <c r="C55" s="191">
        <v>15</v>
      </c>
      <c r="D55" s="179">
        <f t="shared" ref="D55:D73" si="4">B55*C55</f>
        <v>731.54999999999973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45.564106281587101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59</v>
      </c>
      <c r="B56" s="181">
        <f>'Données projet'!D64</f>
        <v>52.75</v>
      </c>
      <c r="C56" s="191">
        <v>59.875</v>
      </c>
      <c r="D56" s="179">
        <f t="shared" si="4"/>
        <v>3158.40625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43.602015580466123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67</v>
      </c>
      <c r="B57" s="181">
        <f>'Données projet'!D65</f>
        <v>44.170000000000016</v>
      </c>
      <c r="C57" s="191">
        <v>59.875</v>
      </c>
      <c r="D57" s="179">
        <f t="shared" si="4"/>
        <v>2644.6787500000009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41.724416823412568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75</v>
      </c>
      <c r="B58" s="181">
        <f>'Données projet'!D66</f>
        <v>43.289999999999992</v>
      </c>
      <c r="C58" s="191">
        <v>59.875</v>
      </c>
      <c r="D58" s="179">
        <f t="shared" si="4"/>
        <v>2591.9887499999995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39.92767160135174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84</v>
      </c>
      <c r="B59" s="181">
        <f>'Données projet'!D67</f>
        <v>49.669999999999987</v>
      </c>
      <c r="C59" s="191">
        <v>59.875</v>
      </c>
      <c r="D59" s="179">
        <f t="shared" si="4"/>
        <v>2973.9912499999991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38.208298183111729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93</v>
      </c>
      <c r="B60" s="181">
        <f>'Données projet'!D68</f>
        <v>42.910000000000025</v>
      </c>
      <c r="C60" s="191">
        <v>59.875</v>
      </c>
      <c r="D60" s="179">
        <f t="shared" si="4"/>
        <v>2569.2362500000013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36.562964768527969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103</v>
      </c>
      <c r="B61" s="181">
        <f>'Données projet'!D69</f>
        <v>56.789999999999964</v>
      </c>
      <c r="C61" s="191">
        <v>59.875</v>
      </c>
      <c r="D61" s="179">
        <f t="shared" si="4"/>
        <v>3400.3012499999977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34.98848303208419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113</v>
      </c>
      <c r="B62" s="181">
        <f>'Données projet'!D70</f>
        <v>45.660000000000025</v>
      </c>
      <c r="C62" s="191">
        <v>179.75</v>
      </c>
      <c r="D62" s="179">
        <f t="shared" si="4"/>
        <v>8207.3850000000039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33.481801944578166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125</v>
      </c>
      <c r="B63" s="181">
        <f>'Données projet'!D71</f>
        <v>70</v>
      </c>
      <c r="C63" s="191">
        <v>179.75</v>
      </c>
      <c r="D63" s="179">
        <f t="shared" si="4"/>
        <v>12582.5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32.040001860840363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137</v>
      </c>
      <c r="B64" s="181">
        <f>'Données projet'!D72</f>
        <v>74.669999999999959</v>
      </c>
      <c r="C64" s="191">
        <v>179.75</v>
      </c>
      <c r="D64" s="179">
        <f t="shared" si="4"/>
        <v>13421.932499999994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30.660288862048187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149</v>
      </c>
      <c r="B65" s="181">
        <f>'Données projet'!D73</f>
        <v>176.67000000000002</v>
      </c>
      <c r="C65" s="191">
        <v>234.375</v>
      </c>
      <c r="D65" s="179">
        <f t="shared" si="4"/>
        <v>41407.031250000007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29.339989341672922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153</v>
      </c>
      <c r="B66" s="181">
        <f>'Données projet'!D74</f>
        <v>102.89000000000001</v>
      </c>
      <c r="C66" s="191">
        <v>234.375</v>
      </c>
      <c r="D66" s="179">
        <f t="shared" si="4"/>
        <v>24114.843750000004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28.076544824567392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157</v>
      </c>
      <c r="B67" s="181">
        <f>'Données projet'!D75</f>
        <v>67.13000000000001</v>
      </c>
      <c r="C67" s="191">
        <v>234.375</v>
      </c>
      <c r="D67" s="179">
        <f t="shared" si="4"/>
        <v>15733.593750000002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26.867507009155403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161</v>
      </c>
      <c r="B68" s="181">
        <f>'Données projet'!D76</f>
        <v>134.26</v>
      </c>
      <c r="C68" s="191">
        <v>234.375</v>
      </c>
      <c r="D68" s="179">
        <f t="shared" si="4"/>
        <v>31467.187499999996</v>
      </c>
      <c r="E68" s="193">
        <v>60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25.710533023115218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165</v>
      </c>
      <c r="B69" s="181">
        <f>'Données projet'!D77</f>
        <v>114.95</v>
      </c>
      <c r="C69" s="191">
        <v>234.375</v>
      </c>
      <c r="D69" s="179">
        <f t="shared" si="4"/>
        <v>26941.40625</v>
      </c>
      <c r="E69" s="193">
        <v>60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24.603380883363851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23.543905151544354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22.530052776597472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21.559859116361217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20.631444130489207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19.743008737310252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18.89283132756962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Erable champêtre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18.079264428296288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17.300731510331378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49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16.555723933331461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15.842798022326761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15.160572270169148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14.507724660448952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13.882990105692777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13.285157995878258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12.71306985251508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15</v>
      </c>
      <c r="B85" s="181">
        <f>'Données projet'!D88</f>
        <v>32</v>
      </c>
      <c r="C85" s="191">
        <v>13.75</v>
      </c>
      <c r="D85" s="179">
        <f>B85*C85</f>
        <v>440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12.16561708374649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20</v>
      </c>
      <c r="B86" s="181">
        <f>'Données projet'!D89</f>
        <v>35</v>
      </c>
      <c r="C86" s="191">
        <v>13.75</v>
      </c>
      <c r="D86" s="179">
        <f t="shared" ref="D86:D104" si="6">B86*C86</f>
        <v>481.25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11.641738836121043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25</v>
      </c>
      <c r="B87" s="181">
        <f>'Données projet'!D90</f>
        <v>35</v>
      </c>
      <c r="C87" s="191">
        <v>13.75</v>
      </c>
      <c r="D87" s="179">
        <f t="shared" si="6"/>
        <v>481.25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11.140419938871815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30</v>
      </c>
      <c r="B88" s="181">
        <f>'Données projet'!D91</f>
        <v>35</v>
      </c>
      <c r="C88" s="191">
        <v>23.75</v>
      </c>
      <c r="D88" s="179">
        <f t="shared" si="6"/>
        <v>831.25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10.660688936719438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35</v>
      </c>
      <c r="B89" s="181">
        <f>'Données projet'!D92</f>
        <v>35</v>
      </c>
      <c r="C89" s="191">
        <v>23.75</v>
      </c>
      <c r="D89" s="179">
        <f t="shared" si="6"/>
        <v>831.25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10.201616207387026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40</v>
      </c>
      <c r="B90" s="181">
        <f>'Données projet'!D93</f>
        <v>35</v>
      </c>
      <c r="C90" s="191">
        <v>23.75</v>
      </c>
      <c r="D90" s="179">
        <f t="shared" si="6"/>
        <v>831.25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9.7623121601789737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45</v>
      </c>
      <c r="B91" s="181">
        <f>'Données projet'!D94</f>
        <v>24</v>
      </c>
      <c r="C91" s="191">
        <v>23.75</v>
      </c>
      <c r="D91" s="179">
        <f t="shared" si="6"/>
        <v>570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9.3419255121329901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50</v>
      </c>
      <c r="B92" s="181">
        <f>'Données projet'!D95</f>
        <v>19</v>
      </c>
      <c r="C92" s="191">
        <v>23.75</v>
      </c>
      <c r="D92" s="179">
        <f t="shared" si="6"/>
        <v>451.25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8.9396416384047761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55</v>
      </c>
      <c r="B93" s="181">
        <f>'Données projet'!D96</f>
        <v>16</v>
      </c>
      <c r="C93" s="191">
        <v>44.375</v>
      </c>
      <c r="D93" s="179">
        <f t="shared" si="6"/>
        <v>710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8.5546809936887822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60</v>
      </c>
      <c r="B94" s="181">
        <f>'Données projet'!D97</f>
        <v>14</v>
      </c>
      <c r="C94" s="191">
        <v>44.375</v>
      </c>
      <c r="D94" s="179">
        <f t="shared" si="6"/>
        <v>621.25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8.186297601616058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65</v>
      </c>
      <c r="B95" s="181">
        <f>'Données projet'!D98</f>
        <v>13</v>
      </c>
      <c r="C95" s="191">
        <v>44.375</v>
      </c>
      <c r="D95" s="179">
        <f t="shared" si="6"/>
        <v>576.875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7.8337776092019729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70</v>
      </c>
      <c r="B96" s="181">
        <f>'Données projet'!D99</f>
        <v>13</v>
      </c>
      <c r="C96" s="191">
        <v>44.375</v>
      </c>
      <c r="D96" s="179">
        <f t="shared" si="6"/>
        <v>576.875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7.4964379035425566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75</v>
      </c>
      <c r="B97" s="181">
        <f>'Données projet'!D100</f>
        <v>12</v>
      </c>
      <c r="C97" s="191">
        <v>44.375</v>
      </c>
      <c r="D97" s="179">
        <f t="shared" si="6"/>
        <v>532.5</v>
      </c>
      <c r="E97" s="193">
        <v>60</v>
      </c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7.1736247880790058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80</v>
      </c>
      <c r="B98" s="181">
        <f>'Données projet'!D101</f>
        <v>330</v>
      </c>
      <c r="C98" s="191">
        <v>44.375</v>
      </c>
      <c r="D98" s="179">
        <f t="shared" si="6"/>
        <v>14643.75</v>
      </c>
      <c r="E98" s="193">
        <v>60</v>
      </c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6.8647127158650765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6.5691030773828505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6.2862230405577515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6.0155244407251214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5.7564827183972458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str">
        <f>IF(O102+1&lt;=MIN('Données projet'!$E$9:$E$18),O102+1,"STOP")</f>
        <v>STOP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>Charme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49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44</v>
      </c>
      <c r="B116" s="181">
        <f>'Données projet'!D114</f>
        <v>76.680000000000007</v>
      </c>
      <c r="C116" s="191">
        <v>15</v>
      </c>
      <c r="D116" s="179">
        <f>B116*C116</f>
        <v>1150.2</v>
      </c>
      <c r="E116" s="193">
        <v>60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51</v>
      </c>
      <c r="B117" s="181">
        <f>'Données projet'!D115</f>
        <v>48.769999999999982</v>
      </c>
      <c r="C117" s="191">
        <v>15</v>
      </c>
      <c r="D117" s="179">
        <f t="shared" ref="D117:D135" si="8">B117*C117</f>
        <v>731.54999999999973</v>
      </c>
      <c r="E117" s="193">
        <v>60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59</v>
      </c>
      <c r="B118" s="181">
        <f>'Données projet'!D116</f>
        <v>52.75</v>
      </c>
      <c r="C118" s="191">
        <v>59.875</v>
      </c>
      <c r="D118" s="179">
        <f t="shared" si="8"/>
        <v>3158.40625</v>
      </c>
      <c r="E118" s="193">
        <v>60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67</v>
      </c>
      <c r="B119" s="181">
        <f>'Données projet'!D117</f>
        <v>44.170000000000016</v>
      </c>
      <c r="C119" s="191">
        <v>59.875</v>
      </c>
      <c r="D119" s="179">
        <f t="shared" si="8"/>
        <v>2644.6787500000009</v>
      </c>
      <c r="E119" s="193">
        <v>60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75</v>
      </c>
      <c r="B120" s="181">
        <f>'Données projet'!D118</f>
        <v>43.289999999999992</v>
      </c>
      <c r="C120" s="191">
        <v>59.875</v>
      </c>
      <c r="D120" s="179">
        <f t="shared" si="8"/>
        <v>2591.9887499999995</v>
      </c>
      <c r="E120" s="193">
        <v>60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84</v>
      </c>
      <c r="B121" s="181">
        <f>'Données projet'!D119</f>
        <v>49.669999999999987</v>
      </c>
      <c r="C121" s="191">
        <v>59.875</v>
      </c>
      <c r="D121" s="179">
        <f t="shared" si="8"/>
        <v>2973.9912499999991</v>
      </c>
      <c r="E121" s="193">
        <v>60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93</v>
      </c>
      <c r="B122" s="181">
        <f>'Données projet'!D120</f>
        <v>42.910000000000025</v>
      </c>
      <c r="C122" s="191">
        <v>59.875</v>
      </c>
      <c r="D122" s="179">
        <f t="shared" si="8"/>
        <v>2569.2362500000013</v>
      </c>
      <c r="E122" s="193">
        <v>60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103</v>
      </c>
      <c r="B123" s="181">
        <f>'Données projet'!D121</f>
        <v>56.789999999999964</v>
      </c>
      <c r="C123" s="191">
        <v>59.875</v>
      </c>
      <c r="D123" s="179">
        <f t="shared" si="8"/>
        <v>3400.3012499999977</v>
      </c>
      <c r="E123" s="193">
        <v>60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113</v>
      </c>
      <c r="B124" s="181">
        <f>'Données projet'!D122</f>
        <v>45.660000000000025</v>
      </c>
      <c r="C124" s="191">
        <v>179.75</v>
      </c>
      <c r="D124" s="179">
        <f t="shared" si="8"/>
        <v>8207.3850000000039</v>
      </c>
      <c r="E124" s="193">
        <v>60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125</v>
      </c>
      <c r="B125" s="181">
        <f>'Données projet'!D123</f>
        <v>70</v>
      </c>
      <c r="C125" s="191">
        <v>179.75</v>
      </c>
      <c r="D125" s="179">
        <f t="shared" si="8"/>
        <v>12582.5</v>
      </c>
      <c r="E125" s="193">
        <v>60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137</v>
      </c>
      <c r="B126" s="181">
        <f>'Données projet'!D124</f>
        <v>74.669999999999959</v>
      </c>
      <c r="C126" s="191">
        <v>179.75</v>
      </c>
      <c r="D126" s="179">
        <f t="shared" si="8"/>
        <v>13421.932499999994</v>
      </c>
      <c r="E126" s="193">
        <v>60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149</v>
      </c>
      <c r="B127" s="181">
        <f>'Données projet'!D125</f>
        <v>176.67000000000002</v>
      </c>
      <c r="C127" s="191">
        <v>234.375</v>
      </c>
      <c r="D127" s="179">
        <f t="shared" si="8"/>
        <v>41407.031250000007</v>
      </c>
      <c r="E127" s="193">
        <v>60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153</v>
      </c>
      <c r="B128" s="181">
        <f>'Données projet'!D126</f>
        <v>102.89000000000001</v>
      </c>
      <c r="C128" s="191">
        <v>234.375</v>
      </c>
      <c r="D128" s="179">
        <f t="shared" si="8"/>
        <v>24114.843750000004</v>
      </c>
      <c r="E128" s="193">
        <v>60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157</v>
      </c>
      <c r="B129" s="181">
        <f>'Données projet'!D127</f>
        <v>67.13000000000001</v>
      </c>
      <c r="C129" s="191">
        <v>234.375</v>
      </c>
      <c r="D129" s="179">
        <f t="shared" si="8"/>
        <v>15733.593750000002</v>
      </c>
      <c r="E129" s="193">
        <v>60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161</v>
      </c>
      <c r="B130" s="181">
        <f>'Données projet'!D128</f>
        <v>134.26</v>
      </c>
      <c r="C130" s="191">
        <v>234.375</v>
      </c>
      <c r="D130" s="179">
        <f t="shared" si="8"/>
        <v>31467.187499999996</v>
      </c>
      <c r="E130" s="193">
        <v>60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24</v>
      </c>
      <c r="B138" s="174" t="str">
        <f>IF('Données projet'!B13="","",'Données projet'!B13)</f>
        <v>Merisier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49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15</v>
      </c>
      <c r="B147" s="175">
        <f>'Données projet'!D140</f>
        <v>1.9230769230769229</v>
      </c>
      <c r="C147" s="191">
        <v>13.5625</v>
      </c>
      <c r="D147" s="182">
        <f>B147*C147</f>
        <v>26.081730769230766</v>
      </c>
      <c r="E147" s="193">
        <v>60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20</v>
      </c>
      <c r="B148" s="175">
        <f>'Données projet'!D141</f>
        <v>16.025641025641026</v>
      </c>
      <c r="C148" s="191">
        <v>13.5625</v>
      </c>
      <c r="D148" s="182">
        <f t="shared" ref="D148:D166" si="10">B148*C148</f>
        <v>217.34775641025641</v>
      </c>
      <c r="E148" s="193">
        <v>60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25</v>
      </c>
      <c r="B149" s="175">
        <f>'Données projet'!D142</f>
        <v>17.307692307692307</v>
      </c>
      <c r="C149" s="191">
        <v>13.5625</v>
      </c>
      <c r="D149" s="182">
        <f t="shared" si="10"/>
        <v>234.73557692307691</v>
      </c>
      <c r="E149" s="193">
        <v>60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31</v>
      </c>
      <c r="B150" s="175">
        <f>'Données projet'!D143</f>
        <v>23.076923076923077</v>
      </c>
      <c r="C150" s="191">
        <v>24.375</v>
      </c>
      <c r="D150" s="182">
        <f t="shared" si="10"/>
        <v>562.5</v>
      </c>
      <c r="E150" s="193">
        <v>60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37</v>
      </c>
      <c r="B151" s="175">
        <f>'Données projet'!D144</f>
        <v>23.076923076923077</v>
      </c>
      <c r="C151" s="191">
        <v>24.375</v>
      </c>
      <c r="D151" s="182">
        <f t="shared" si="10"/>
        <v>562.5</v>
      </c>
      <c r="E151" s="193">
        <v>60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44</v>
      </c>
      <c r="B152" s="175">
        <f>'Données projet'!D145</f>
        <v>27.564102564102562</v>
      </c>
      <c r="C152" s="191">
        <v>24.375</v>
      </c>
      <c r="D152" s="182">
        <f t="shared" si="10"/>
        <v>671.875</v>
      </c>
      <c r="E152" s="193">
        <v>60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52</v>
      </c>
      <c r="B153" s="175">
        <f>'Données projet'!D146</f>
        <v>30.769230769230766</v>
      </c>
      <c r="C153" s="191">
        <v>24.375</v>
      </c>
      <c r="D153" s="182">
        <f t="shared" si="10"/>
        <v>749.99999999999989</v>
      </c>
      <c r="E153" s="193">
        <v>60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60</v>
      </c>
      <c r="B154" s="175">
        <f>'Données projet'!D147</f>
        <v>30.128205128205128</v>
      </c>
      <c r="C154" s="191">
        <v>31.875</v>
      </c>
      <c r="D154" s="182">
        <f t="shared" si="10"/>
        <v>960.33653846153845</v>
      </c>
      <c r="E154" s="193">
        <v>60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69</v>
      </c>
      <c r="B155" s="175">
        <f>'Données projet'!D148</f>
        <v>210.25641025641025</v>
      </c>
      <c r="C155" s="191">
        <v>39.375</v>
      </c>
      <c r="D155" s="182">
        <f t="shared" si="10"/>
        <v>8278.8461538461543</v>
      </c>
      <c r="E155" s="193">
        <v>60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26</v>
      </c>
      <c r="B169" s="174" t="str">
        <f>IF('Données projet'!B14="","",'Données projet'!B14)</f>
        <v>Chêne chevelu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49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10</v>
      </c>
      <c r="B178" s="181">
        <f>'Données projet'!D166</f>
        <v>0</v>
      </c>
      <c r="C178" s="193">
        <v>13.5625</v>
      </c>
      <c r="D178" s="179">
        <f>B178*C178</f>
        <v>0</v>
      </c>
      <c r="E178" s="193">
        <v>60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15</v>
      </c>
      <c r="B179" s="181">
        <f>'Données projet'!D167</f>
        <v>0</v>
      </c>
      <c r="C179" s="193">
        <v>13.5625</v>
      </c>
      <c r="D179" s="179">
        <f t="shared" ref="D179:D197" si="11">B179*C179</f>
        <v>0</v>
      </c>
      <c r="E179" s="193">
        <v>60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20</v>
      </c>
      <c r="B180" s="181">
        <f>'Données projet'!D168</f>
        <v>18.589743589743588</v>
      </c>
      <c r="C180" s="193">
        <v>13.5625</v>
      </c>
      <c r="D180" s="179">
        <f t="shared" si="11"/>
        <v>252.1233974358974</v>
      </c>
      <c r="E180" s="193">
        <v>60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25</v>
      </c>
      <c r="B181" s="181">
        <f>'Données projet'!D169</f>
        <v>12.179487179487179</v>
      </c>
      <c r="C181" s="193">
        <v>13.5625</v>
      </c>
      <c r="D181" s="179">
        <f t="shared" si="11"/>
        <v>165.18429487179486</v>
      </c>
      <c r="E181" s="193">
        <v>60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30</v>
      </c>
      <c r="B182" s="181">
        <f>'Données projet'!D170</f>
        <v>12.820512820512819</v>
      </c>
      <c r="C182" s="193">
        <v>13.5625</v>
      </c>
      <c r="D182" s="179">
        <f t="shared" si="11"/>
        <v>173.87820512820511</v>
      </c>
      <c r="E182" s="193">
        <v>60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35</v>
      </c>
      <c r="B183" s="181">
        <f>'Données projet'!D171</f>
        <v>12.820512820512819</v>
      </c>
      <c r="C183" s="193">
        <v>13.5625</v>
      </c>
      <c r="D183" s="179">
        <f t="shared" si="11"/>
        <v>173.87820512820511</v>
      </c>
      <c r="E183" s="193">
        <v>60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40</v>
      </c>
      <c r="B184" s="181">
        <f>'Données projet'!D172</f>
        <v>12.820512820512819</v>
      </c>
      <c r="C184" s="193">
        <v>13.5625</v>
      </c>
      <c r="D184" s="179">
        <f t="shared" si="11"/>
        <v>173.87820512820511</v>
      </c>
      <c r="E184" s="193">
        <v>60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45</v>
      </c>
      <c r="B185" s="181">
        <f>'Données projet'!D173</f>
        <v>12.179487179487179</v>
      </c>
      <c r="C185" s="193">
        <v>13.5625</v>
      </c>
      <c r="D185" s="179">
        <f t="shared" si="11"/>
        <v>165.18429487179486</v>
      </c>
      <c r="E185" s="193">
        <v>60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50</v>
      </c>
      <c r="B186" s="181">
        <f>'Données projet'!D174</f>
        <v>11.538461538461538</v>
      </c>
      <c r="C186" s="193">
        <v>13.5625</v>
      </c>
      <c r="D186" s="179">
        <f t="shared" si="11"/>
        <v>156.49038461538461</v>
      </c>
      <c r="E186" s="193">
        <v>60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55</v>
      </c>
      <c r="B187" s="181">
        <f>'Données projet'!D175</f>
        <v>10.897435897435898</v>
      </c>
      <c r="C187" s="193">
        <v>13.5625</v>
      </c>
      <c r="D187" s="179">
        <f t="shared" si="11"/>
        <v>147.79647435897436</v>
      </c>
      <c r="E187" s="193">
        <v>60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60</v>
      </c>
      <c r="B188" s="181">
        <f>'Données projet'!D176</f>
        <v>10.256410256410255</v>
      </c>
      <c r="C188" s="193">
        <v>13.5625</v>
      </c>
      <c r="D188" s="179">
        <f t="shared" si="11"/>
        <v>139.10256410256409</v>
      </c>
      <c r="E188" s="193">
        <v>60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65</v>
      </c>
      <c r="B189" s="181">
        <f>'Données projet'!D177</f>
        <v>9.615384615384615</v>
      </c>
      <c r="C189" s="193">
        <v>32.787500000000001</v>
      </c>
      <c r="D189" s="179">
        <f t="shared" si="11"/>
        <v>315.26442307692309</v>
      </c>
      <c r="E189" s="193">
        <v>60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70</v>
      </c>
      <c r="B190" s="181">
        <f>'Données projet'!D178</f>
        <v>8.9743589743589745</v>
      </c>
      <c r="C190" s="193">
        <v>32.787500000000001</v>
      </c>
      <c r="D190" s="179">
        <f t="shared" si="11"/>
        <v>294.24679487179486</v>
      </c>
      <c r="E190" s="193">
        <v>60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75</v>
      </c>
      <c r="B191" s="181">
        <f>'Données projet'!D179</f>
        <v>7.6923076923076916</v>
      </c>
      <c r="C191" s="193">
        <v>32.787500000000001</v>
      </c>
      <c r="D191" s="179">
        <f t="shared" si="11"/>
        <v>252.21153846153845</v>
      </c>
      <c r="E191" s="193">
        <v>60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80</v>
      </c>
      <c r="B192" s="181">
        <f>'Données projet'!D180</f>
        <v>7.0512820512820511</v>
      </c>
      <c r="C192" s="193">
        <v>32.787500000000001</v>
      </c>
      <c r="D192" s="179">
        <f t="shared" si="11"/>
        <v>231.19391025641025</v>
      </c>
      <c r="E192" s="193">
        <v>60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85</v>
      </c>
      <c r="B193" s="181">
        <f>'Données projet'!D181</f>
        <v>6.4102564102564097</v>
      </c>
      <c r="C193" s="193">
        <v>32.787500000000001</v>
      </c>
      <c r="D193" s="179">
        <f t="shared" si="11"/>
        <v>210.17628205128204</v>
      </c>
      <c r="E193" s="193">
        <v>60</v>
      </c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90</v>
      </c>
      <c r="B194" s="181">
        <f>'Données projet'!D182</f>
        <v>6.4102564102564097</v>
      </c>
      <c r="C194" s="193">
        <v>32.787500000000001</v>
      </c>
      <c r="D194" s="179">
        <f t="shared" si="11"/>
        <v>210.17628205128204</v>
      </c>
      <c r="E194" s="193">
        <v>60</v>
      </c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95</v>
      </c>
      <c r="B195" s="181">
        <f>'Données projet'!D183</f>
        <v>7.0512820512820511</v>
      </c>
      <c r="C195" s="193">
        <v>32.787500000000001</v>
      </c>
      <c r="D195" s="179">
        <f t="shared" si="11"/>
        <v>231.19391025641025</v>
      </c>
      <c r="E195" s="193">
        <v>60</v>
      </c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100</v>
      </c>
      <c r="B196" s="181">
        <f>'Données projet'!D184</f>
        <v>142.94871794871796</v>
      </c>
      <c r="C196" s="193">
        <v>32.787500000000001</v>
      </c>
      <c r="D196" s="179">
        <f t="shared" si="11"/>
        <v>4686.9310897435898</v>
      </c>
      <c r="E196" s="193">
        <v>60</v>
      </c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27</v>
      </c>
      <c r="B200" s="174" t="str">
        <f>IF('Données projet'!$B$15="","",'Données projet'!$B$15)</f>
        <v>Chêne tauzin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49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60</v>
      </c>
      <c r="B209" s="181">
        <f>'Données projet'!D192</f>
        <v>72.87</v>
      </c>
      <c r="C209" s="193">
        <v>15</v>
      </c>
      <c r="D209" s="179">
        <f>B209*C209</f>
        <v>1093.0500000000002</v>
      </c>
      <c r="E209" s="193">
        <v>60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69</v>
      </c>
      <c r="B210" s="181">
        <f>'Données projet'!D193</f>
        <v>42.22</v>
      </c>
      <c r="C210" s="193">
        <v>15</v>
      </c>
      <c r="D210" s="179">
        <f t="shared" ref="D210:D228" si="12">B210*C210</f>
        <v>633.29999999999995</v>
      </c>
      <c r="E210" s="193">
        <v>60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77</v>
      </c>
      <c r="B211" s="181">
        <f>'Données projet'!D194</f>
        <v>33.950000000000017</v>
      </c>
      <c r="C211" s="193">
        <v>15</v>
      </c>
      <c r="D211" s="179">
        <f t="shared" si="12"/>
        <v>509.25000000000023</v>
      </c>
      <c r="E211" s="193">
        <v>60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86</v>
      </c>
      <c r="B212" s="181">
        <f>'Données projet'!D195</f>
        <v>37.54000000000002</v>
      </c>
      <c r="C212" s="193">
        <v>59.875</v>
      </c>
      <c r="D212" s="179">
        <f t="shared" si="12"/>
        <v>2247.7075000000013</v>
      </c>
      <c r="E212" s="193">
        <v>60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95</v>
      </c>
      <c r="B213" s="181">
        <f>'Données projet'!D196</f>
        <v>42.199999999999989</v>
      </c>
      <c r="C213" s="193">
        <v>59.875</v>
      </c>
      <c r="D213" s="179">
        <f t="shared" si="12"/>
        <v>2526.7249999999995</v>
      </c>
      <c r="E213" s="193">
        <v>60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104</v>
      </c>
      <c r="B214" s="181">
        <f>'Données projet'!D197</f>
        <v>39.400000000000006</v>
      </c>
      <c r="C214" s="193">
        <v>59.875</v>
      </c>
      <c r="D214" s="179">
        <f t="shared" si="12"/>
        <v>2359.0750000000003</v>
      </c>
      <c r="E214" s="193">
        <v>60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113</v>
      </c>
      <c r="B215" s="181">
        <f>'Données projet'!D198</f>
        <v>41.639999999999986</v>
      </c>
      <c r="C215" s="193">
        <v>59.875</v>
      </c>
      <c r="D215" s="179">
        <f t="shared" si="12"/>
        <v>2493.1949999999993</v>
      </c>
      <c r="E215" s="193">
        <v>60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122</v>
      </c>
      <c r="B216" s="181">
        <f>'Données projet'!D199</f>
        <v>45.829999999999984</v>
      </c>
      <c r="C216" s="193">
        <v>59.875</v>
      </c>
      <c r="D216" s="179">
        <f t="shared" si="12"/>
        <v>2744.0712499999991</v>
      </c>
      <c r="E216" s="193">
        <v>60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132</v>
      </c>
      <c r="B217" s="181">
        <f>'Données projet'!D200</f>
        <v>48.699999999999989</v>
      </c>
      <c r="C217" s="193">
        <v>59.875</v>
      </c>
      <c r="D217" s="179">
        <f t="shared" si="12"/>
        <v>2915.9124999999995</v>
      </c>
      <c r="E217" s="193">
        <v>60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144</v>
      </c>
      <c r="B218" s="181">
        <f>'Données projet'!D201</f>
        <v>60.949999999999989</v>
      </c>
      <c r="C218" s="193">
        <v>59.875</v>
      </c>
      <c r="D218" s="179">
        <f t="shared" si="12"/>
        <v>3649.3812499999995</v>
      </c>
      <c r="E218" s="193">
        <v>60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156</v>
      </c>
      <c r="B219" s="181">
        <f>'Données projet'!D202</f>
        <v>65.69</v>
      </c>
      <c r="C219" s="193">
        <v>179.75</v>
      </c>
      <c r="D219" s="179">
        <f t="shared" si="12"/>
        <v>11807.7775</v>
      </c>
      <c r="E219" s="193">
        <v>60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168</v>
      </c>
      <c r="B220" s="181">
        <f>'Données projet'!D203</f>
        <v>71.37</v>
      </c>
      <c r="C220" s="193">
        <v>179.75</v>
      </c>
      <c r="D220" s="179">
        <f t="shared" si="12"/>
        <v>12828.757500000002</v>
      </c>
      <c r="E220" s="193">
        <v>60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180</v>
      </c>
      <c r="B221" s="181">
        <f>'Données projet'!D204</f>
        <v>175.59000000000003</v>
      </c>
      <c r="C221" s="193">
        <v>179.75</v>
      </c>
      <c r="D221" s="179">
        <f t="shared" si="12"/>
        <v>31562.302500000005</v>
      </c>
      <c r="E221" s="193">
        <v>60</v>
      </c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184</v>
      </c>
      <c r="B222" s="181">
        <f>'Données projet'!D205</f>
        <v>101.19999999999999</v>
      </c>
      <c r="C222" s="193">
        <v>179.75</v>
      </c>
      <c r="D222" s="179">
        <f t="shared" si="12"/>
        <v>18190.699999999997</v>
      </c>
      <c r="E222" s="193">
        <v>60</v>
      </c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188</v>
      </c>
      <c r="B223" s="181">
        <f>'Données projet'!D206</f>
        <v>72.180000000000007</v>
      </c>
      <c r="C223" s="193">
        <v>179.75</v>
      </c>
      <c r="D223" s="179">
        <f t="shared" si="12"/>
        <v>12974.355000000001</v>
      </c>
      <c r="E223" s="193">
        <v>60</v>
      </c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191</v>
      </c>
      <c r="B224" s="181">
        <f>'Données projet'!D207</f>
        <v>145.01</v>
      </c>
      <c r="C224" s="193">
        <v>234.375</v>
      </c>
      <c r="D224" s="179">
        <f t="shared" si="12"/>
        <v>33986.71875</v>
      </c>
      <c r="E224" s="193">
        <v>60</v>
      </c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28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49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29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49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30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49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5bb434-efa9-48e7-aaef-941a592e1885">
      <Terms xmlns="http://schemas.microsoft.com/office/infopath/2007/PartnerControls"/>
    </lcf76f155ced4ddcb4097134ff3c332f>
    <TaxCatchAll xmlns="9378a1d9-e793-4112-a93f-fdc555eec1a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B5687B92954E8A6ACFFCDB08691C" ma:contentTypeVersion="11" ma:contentTypeDescription="Create a new document." ma:contentTypeScope="" ma:versionID="b97f89fed3fae3a16aeb0195b2617fba">
  <xsd:schema xmlns:xsd="http://www.w3.org/2001/XMLSchema" xmlns:xs="http://www.w3.org/2001/XMLSchema" xmlns:p="http://schemas.microsoft.com/office/2006/metadata/properties" xmlns:ns2="305bb434-efa9-48e7-aaef-941a592e1885" xmlns:ns3="9378a1d9-e793-4112-a93f-fdc555eec1ac" targetNamespace="http://schemas.microsoft.com/office/2006/metadata/properties" ma:root="true" ma:fieldsID="3714619342134e7baa1ecbb188f9dddd" ns2:_="" ns3:_="">
    <xsd:import namespace="305bb434-efa9-48e7-aaef-941a592e1885"/>
    <xsd:import namespace="9378a1d9-e793-4112-a93f-fdc555eec1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bb434-efa9-48e7-aaef-941a592e1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8a1d9-e793-4112-a93f-fdc555eec1a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18b9869-43e1-46ca-bbe2-672c4faf2fe5}" ma:internalName="TaxCatchAll" ma:showField="CatchAllData" ma:web="9378a1d9-e793-4112-a93f-fdc555eec1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305bb434-efa9-48e7-aaef-941a592e1885"/>
    <ds:schemaRef ds:uri="9378a1d9-e793-4112-a93f-fdc555eec1ac"/>
  </ds:schemaRefs>
</ds:datastoreItem>
</file>

<file path=customXml/itemProps3.xml><?xml version="1.0" encoding="utf-8"?>
<ds:datastoreItem xmlns:ds="http://schemas.openxmlformats.org/officeDocument/2006/customXml" ds:itemID="{22AAFD1D-FB18-46CD-957F-5B4AF91D0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5bb434-efa9-48e7-aaef-941a592e1885"/>
    <ds:schemaRef ds:uri="9378a1d9-e793-4112-a93f-fdc555eec1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Adrian valette</cp:lastModifiedBy>
  <cp:revision/>
  <dcterms:created xsi:type="dcterms:W3CDTF">2021-02-01T08:22:39Z</dcterms:created>
  <dcterms:modified xsi:type="dcterms:W3CDTF">2025-01-20T21:04:01Z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0x010100B489B5687B92954E8A6ACFFCDB08691C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