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ThisWorkbook"/>
  <mc:AlternateContent xmlns:mc="http://schemas.openxmlformats.org/markup-compatibility/2006">
    <mc:Choice Requires="x15">
      <x15ac:absPath xmlns:x15ac="http://schemas.microsoft.com/office/spreadsheetml/2010/11/ac" url="\\alliance.local\data\Services\7.Qualité Sécurité Environnement\Partage\1.Saisies partagées agences\6.LBC\2. Dossiers agences\SMV (Poitou Touraine Indre)\ROCHES PREMARIES (86) - DENIAU\Dossier à déposer\"/>
    </mc:Choice>
  </mc:AlternateContent>
  <xr:revisionPtr revIDLastSave="0" documentId="13_ncr:1_{5B0AD02E-442C-44FF-981F-B790E2DD37F3}" xr6:coauthVersionLast="36" xr6:coauthVersionMax="36" xr10:uidLastSave="{00000000-0000-0000-0000-000000000000}"/>
  <bookViews>
    <workbookView xWindow="0" yWindow="0" windowWidth="28800" windowHeight="12612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6" i="6" l="1"/>
  <c r="I25" i="6"/>
  <c r="I24" i="6"/>
  <c r="I23" i="6"/>
  <c r="I22" i="6"/>
  <c r="I21" i="6"/>
  <c r="I20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GL4" i="2"/>
  <c r="BR4" i="2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HI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HG28" i="2"/>
  <c r="EB28" i="2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EX29" i="2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B30" i="2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EX38" i="2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FS44" i="2"/>
  <c r="EC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G45" i="2" l="1"/>
  <c r="EX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C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HH48" i="2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HH57" i="2"/>
  <c r="EB57" i="2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W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EX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HH64" i="2"/>
  <c r="EV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EB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H75" i="2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V78" i="2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FS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FQ112" i="2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EX113" i="2"/>
  <c r="EC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EW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EX120" i="2"/>
  <c r="FQ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FS122" i="2"/>
  <c r="EC122" i="2"/>
  <c r="HH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FS124" i="2"/>
  <c r="HH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HG128" i="2"/>
  <c r="EV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FS130" i="2"/>
  <c r="HI130" i="2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W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HI134" i="2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HH139" i="2"/>
  <c r="EW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FR144" i="2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B145" i="2" l="1"/>
  <c r="EA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AB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HH155" i="2" l="1"/>
  <c r="DI154" i="2"/>
  <c r="AC154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HH156" i="2" l="1"/>
  <c r="HG156" i="2"/>
  <c r="EB156" i="2"/>
  <c r="FS156" i="2"/>
  <c r="AB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H158" i="2" l="1"/>
  <c r="EC158" i="2"/>
  <c r="HG158" i="2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I160" i="2" l="1"/>
  <c r="HG160" i="2"/>
  <c r="HH160" i="2"/>
  <c r="EC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HH161" i="2" l="1"/>
  <c r="EB161" i="2"/>
  <c r="EX161" i="2"/>
  <c r="EA161" i="2"/>
  <c r="FS161" i="2"/>
  <c r="A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C162" i="2" l="1"/>
  <c r="DI161" i="2"/>
  <c r="EB162" i="2"/>
  <c r="HH162" i="2"/>
  <c r="HG162" i="2"/>
  <c r="FS162" i="2"/>
  <c r="AU162" i="2"/>
  <c r="EX162" i="2"/>
  <c r="EA162" i="2"/>
  <c r="ED162" i="2" s="1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X164" i="2" l="1"/>
  <c r="FR164" i="2"/>
  <c r="DI163" i="2"/>
  <c r="DH164" i="2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G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CN165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R167" i="2" l="1"/>
  <c r="HH167" i="2"/>
  <c r="EA167" i="2"/>
  <c r="DG167" i="2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C168" i="2" l="1"/>
  <c r="DG168" i="2"/>
  <c r="HI168" i="2"/>
  <c r="DI167" i="2"/>
  <c r="EV168" i="2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EX169" i="2"/>
  <c r="EA169" i="2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B172" i="2" l="1"/>
  <c r="HG172" i="2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HJ172" i="2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EC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HI175" i="2" l="1"/>
  <c r="AA175" i="2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EW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S178" i="2" l="1"/>
  <c r="EB178" i="2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I179" i="2" l="1"/>
  <c r="HH179" i="2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V185" i="2" l="1"/>
  <c r="HI185" i="2"/>
  <c r="EW185" i="2"/>
  <c r="EB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FS186" i="2"/>
  <c r="EW186" i="2"/>
  <c r="HH186" i="2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H190" i="2" l="1"/>
  <c r="EB190" i="2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DI192" i="2" l="1"/>
  <c r="HI193" i="2"/>
  <c r="EA193" i="2"/>
  <c r="EX193" i="2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EA194" i="2" l="1"/>
  <c r="HG194" i="2"/>
  <c r="EB194" i="2"/>
  <c r="CN193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HI195" i="2" l="1"/>
  <c r="EA195" i="2"/>
  <c r="DH195" i="2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HH197" i="2" l="1"/>
  <c r="HG197" i="2"/>
  <c r="AA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EB199" i="2"/>
  <c r="EA199" i="2"/>
  <c r="HH199" i="2"/>
  <c r="EV199" i="2"/>
  <c r="HG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FS201" i="2" l="1"/>
  <c r="EB201" i="2"/>
  <c r="DI200" i="2"/>
  <c r="EA201" i="2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I202" i="2" l="1"/>
  <c r="FS202" i="2"/>
  <c r="FZ6" i="2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DN103" i="2" a="1"/>
  <c r="DN103" i="2" s="1"/>
  <c r="DN114" i="2" a="1"/>
  <c r="DN114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44" i="2" a="1"/>
  <c r="FD44" i="2" s="1"/>
  <c r="FD131" i="2" a="1"/>
  <c r="FD131" i="2" s="1"/>
  <c r="FD19" i="2" a="1"/>
  <c r="FD19" i="2" s="1"/>
  <c r="BC55" i="2" a="1"/>
  <c r="BC55" i="2" s="1"/>
  <c r="BC143" i="2" a="1"/>
  <c r="BC143" i="2" s="1"/>
  <c r="BC185" i="2" a="1"/>
  <c r="BC185" i="2" s="1"/>
  <c r="BC7" i="2" a="1"/>
  <c r="BC7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DN187" i="2" a="1"/>
  <c r="DN187" i="2" s="1"/>
  <c r="HJ202" i="2"/>
  <c r="EY202" i="2"/>
  <c r="AX200" i="2"/>
  <c r="BC38" i="2" l="1" a="1"/>
  <c r="BC38" i="2" s="1"/>
  <c r="BC83" i="2" a="1"/>
  <c r="BC83" i="2" s="1"/>
  <c r="BC130" i="2" a="1"/>
  <c r="BC130" i="2" s="1"/>
  <c r="BC151" i="2" a="1"/>
  <c r="BC151" i="2" s="1"/>
  <c r="BC181" i="2" a="1"/>
  <c r="BC181" i="2" s="1"/>
  <c r="BC31" i="2" a="1"/>
  <c r="BC31" i="2" s="1"/>
  <c r="BC84" i="2" a="1"/>
  <c r="BC84" i="2" s="1"/>
  <c r="BC32" i="2" a="1"/>
  <c r="BC32" i="2" s="1"/>
  <c r="BC65" i="2" a="1"/>
  <c r="BC65" i="2" s="1"/>
  <c r="BC164" i="2" a="1"/>
  <c r="BC164" i="2" s="1"/>
  <c r="BC114" i="2" a="1"/>
  <c r="BC114" i="2" s="1"/>
  <c r="BC117" i="2" a="1"/>
  <c r="BC117" i="2" s="1"/>
  <c r="BC192" i="2" a="1"/>
  <c r="BC192" i="2" s="1"/>
  <c r="BC47" i="2" a="1"/>
  <c r="BC47" i="2" s="1"/>
  <c r="BC126" i="2" a="1"/>
  <c r="BC126" i="2" s="1"/>
  <c r="BC82" i="2" a="1"/>
  <c r="BC82" i="2" s="1"/>
  <c r="BC68" i="2" a="1"/>
  <c r="BC68" i="2" s="1"/>
  <c r="BC58" i="2" a="1"/>
  <c r="BC58" i="2" s="1"/>
  <c r="FD64" i="2" a="1"/>
  <c r="FD64" i="2" s="1"/>
  <c r="FD43" i="2" a="1"/>
  <c r="FD43" i="2" s="1"/>
  <c r="FD189" i="2" a="1"/>
  <c r="FD189" i="2" s="1"/>
  <c r="FD187" i="2" a="1"/>
  <c r="FD187" i="2" s="1"/>
  <c r="FD14" i="2" a="1"/>
  <c r="FD14" i="2" s="1"/>
  <c r="FD194" i="2" a="1"/>
  <c r="FD194" i="2" s="1"/>
  <c r="FD48" i="2" a="1"/>
  <c r="FD48" i="2" s="1"/>
  <c r="FS203" i="2"/>
  <c r="FD160" i="2" a="1"/>
  <c r="FD160" i="2" s="1"/>
  <c r="FD188" i="2" a="1"/>
  <c r="FD188" i="2" s="1"/>
  <c r="FD82" i="2" a="1"/>
  <c r="FD82" i="2" s="1"/>
  <c r="FD137" i="2" a="1"/>
  <c r="FD137" i="2" s="1"/>
  <c r="FD60" i="2" a="1"/>
  <c r="FD60" i="2" s="1"/>
  <c r="FD59" i="2" a="1"/>
  <c r="FD59" i="2" s="1"/>
  <c r="FD159" i="2" a="1"/>
  <c r="FD159" i="2" s="1"/>
  <c r="FD144" i="2" a="1"/>
  <c r="FD144" i="2" s="1"/>
  <c r="FD107" i="2" a="1"/>
  <c r="FD107" i="2" s="1"/>
  <c r="FD21" i="2" a="1"/>
  <c r="FD21" i="2" s="1"/>
  <c r="FD167" i="2" a="1"/>
  <c r="FD167" i="2" s="1"/>
  <c r="CS38" i="2" a="1"/>
  <c r="CS38" i="2" s="1"/>
  <c r="CS161" i="2" a="1"/>
  <c r="CS161" i="2" s="1"/>
  <c r="BX107" i="2" a="1"/>
  <c r="BX107" i="2" s="1"/>
  <c r="CS114" i="2" a="1"/>
  <c r="CS114" i="2" s="1"/>
  <c r="CS105" i="2" a="1"/>
  <c r="CS105" i="2" s="1"/>
  <c r="CS77" i="2" a="1"/>
  <c r="CS77" i="2" s="1"/>
  <c r="CS72" i="2" a="1"/>
  <c r="CS72" i="2" s="1"/>
  <c r="CS56" i="2" a="1"/>
  <c r="CS56" i="2" s="1"/>
  <c r="CS134" i="2" a="1"/>
  <c r="CS134" i="2" s="1"/>
  <c r="CS137" i="2" a="1"/>
  <c r="CS137" i="2" s="1"/>
  <c r="CS129" i="2" a="1"/>
  <c r="CS129" i="2" s="1"/>
  <c r="CS185" i="2" a="1"/>
  <c r="CS185" i="2" s="1"/>
  <c r="CS52" i="2" a="1"/>
  <c r="CS52" i="2" s="1"/>
  <c r="CS120" i="2" a="1"/>
  <c r="CS120" i="2" s="1"/>
  <c r="CS24" i="2" a="1"/>
  <c r="CS24" i="2" s="1"/>
  <c r="CS116" i="2" a="1"/>
  <c r="CS116" i="2" s="1"/>
  <c r="CS66" i="2" a="1"/>
  <c r="CS66" i="2" s="1"/>
  <c r="BC34" i="2" a="1"/>
  <c r="BC34" i="2" s="1"/>
  <c r="AH199" i="2" a="1"/>
  <c r="AH199" i="2" s="1"/>
  <c r="AH19" i="2" a="1"/>
  <c r="AH19" i="2" s="1"/>
  <c r="AH90" i="2" a="1"/>
  <c r="AH90" i="2" s="1"/>
  <c r="AH151" i="2" a="1"/>
  <c r="AH151" i="2" s="1"/>
  <c r="AH163" i="2" a="1"/>
  <c r="AH163" i="2" s="1"/>
  <c r="AH62" i="2" a="1"/>
  <c r="AH62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CD34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D70" i="2" l="1"/>
  <c r="CD192" i="2"/>
  <c r="CD96" i="2"/>
  <c r="CD7" i="2"/>
  <c r="CD161" i="2"/>
  <c r="CD191" i="2"/>
  <c r="CD57" i="2"/>
  <c r="CD128" i="2"/>
  <c r="CD100" i="2"/>
  <c r="CD60" i="2"/>
  <c r="CD19" i="2"/>
  <c r="CD14" i="2"/>
  <c r="CD32" i="2"/>
  <c r="CD81" i="2"/>
  <c r="CD182" i="2"/>
  <c r="CD69" i="2"/>
  <c r="CD28" i="2"/>
  <c r="CD159" i="2"/>
  <c r="CD110" i="2"/>
  <c r="CD175" i="2"/>
  <c r="CD193" i="2"/>
  <c r="CD86" i="2"/>
  <c r="CD18" i="2"/>
  <c r="CD168" i="2"/>
  <c r="CD29" i="2"/>
  <c r="CD38" i="2"/>
  <c r="CD189" i="2"/>
  <c r="CD30" i="2"/>
  <c r="CD135" i="2"/>
  <c r="CD164" i="2"/>
  <c r="CD111" i="2"/>
  <c r="CD117" i="2"/>
  <c r="CD148" i="2"/>
  <c r="CD22" i="2"/>
  <c r="CD196" i="2"/>
  <c r="CD195" i="2"/>
  <c r="CD66" i="2"/>
  <c r="CD31" i="2"/>
  <c r="CD6" i="2"/>
  <c r="CD55" i="2"/>
  <c r="CD185" i="2"/>
  <c r="CD27" i="2"/>
  <c r="CD123" i="2"/>
  <c r="CD188" i="2"/>
  <c r="CD197" i="2"/>
  <c r="CD147" i="2"/>
  <c r="CD187" i="2"/>
  <c r="CD130" i="2"/>
  <c r="CD72" i="2"/>
  <c r="CD78" i="2"/>
  <c r="CD73" i="2"/>
  <c r="CD106" i="2"/>
  <c r="CD63" i="2"/>
  <c r="CD113" i="2"/>
  <c r="CD16" i="2"/>
  <c r="CD190" i="2"/>
  <c r="CD68" i="2"/>
  <c r="CD167" i="2"/>
  <c r="CD4" i="2"/>
  <c r="CD8" i="2"/>
  <c r="CD133" i="2"/>
  <c r="CD149" i="2"/>
  <c r="CD103" i="2"/>
  <c r="CD101" i="2"/>
  <c r="CD48" i="2"/>
  <c r="CD94" i="2"/>
  <c r="CD105" i="2"/>
  <c r="CD104" i="2"/>
  <c r="CD141" i="2"/>
  <c r="CD77" i="2"/>
  <c r="CD145" i="2"/>
  <c r="CD173" i="2"/>
  <c r="CD143" i="2"/>
  <c r="CD136" i="2"/>
  <c r="CD181" i="2"/>
  <c r="CD194" i="2"/>
  <c r="CD53" i="2"/>
  <c r="CD50" i="2"/>
  <c r="CD132" i="2"/>
  <c r="CD88" i="2"/>
  <c r="CD171" i="2"/>
  <c r="CD42" i="2"/>
  <c r="CD65" i="2"/>
  <c r="CD115" i="2"/>
  <c r="CD44" i="2"/>
  <c r="CD83" i="2"/>
  <c r="CD134" i="2"/>
  <c r="CD138" i="2"/>
  <c r="CD186" i="2"/>
  <c r="CD107" i="2"/>
  <c r="CD116" i="2"/>
  <c r="CD20" i="2"/>
  <c r="CD21" i="2"/>
  <c r="CD118" i="2"/>
  <c r="CD76" i="2"/>
  <c r="CD139" i="2"/>
  <c r="CD131" i="2"/>
  <c r="CD137" i="2"/>
  <c r="CD172" i="2"/>
  <c r="CD146" i="2"/>
  <c r="CD183" i="2"/>
  <c r="CD61" i="2"/>
  <c r="CD37" i="2"/>
  <c r="CD160" i="2"/>
  <c r="CD174" i="2"/>
  <c r="CD45" i="2"/>
  <c r="CD40" i="2"/>
  <c r="CD35" i="2"/>
  <c r="CD202" i="2"/>
  <c r="CD109" i="2"/>
  <c r="CD67" i="2"/>
  <c r="CD49" i="2"/>
  <c r="CD151" i="2"/>
  <c r="CD84" i="2"/>
  <c r="CD127" i="2"/>
  <c r="CD176" i="2"/>
  <c r="CD17" i="2"/>
  <c r="CD93" i="2"/>
  <c r="CD177" i="2"/>
  <c r="CD15" i="2"/>
  <c r="CD102" i="2"/>
  <c r="CD24" i="2"/>
  <c r="CD13" i="2"/>
  <c r="CD12" i="2"/>
  <c r="CD119" i="2"/>
  <c r="CD74" i="2"/>
  <c r="CD91" i="2"/>
  <c r="CD178" i="2"/>
  <c r="CD64" i="2"/>
  <c r="CD201" i="2"/>
  <c r="CD54" i="2"/>
  <c r="CD95" i="2"/>
  <c r="CD58" i="2"/>
  <c r="CD200" i="2"/>
  <c r="CD56" i="2"/>
  <c r="CD156" i="2"/>
  <c r="CD71" i="2"/>
  <c r="CD85" i="2"/>
  <c r="CD155" i="2"/>
  <c r="CD108" i="2"/>
  <c r="CD122" i="2"/>
  <c r="CD82" i="2"/>
  <c r="CD120" i="2"/>
  <c r="CD144" i="2"/>
  <c r="CD62" i="2"/>
  <c r="CD9" i="2"/>
  <c r="CD158" i="2"/>
  <c r="CD157" i="2"/>
  <c r="CD180" i="2"/>
  <c r="CD43" i="2"/>
  <c r="CD140" i="2"/>
  <c r="CD47" i="2"/>
  <c r="CD80" i="2"/>
  <c r="CD199" i="2"/>
  <c r="CD170" i="2"/>
  <c r="CD5" i="2"/>
  <c r="CD152" i="2"/>
  <c r="CD142" i="2"/>
  <c r="CD125" i="2"/>
  <c r="CD98" i="2"/>
  <c r="CD26" i="2"/>
  <c r="CD52" i="2"/>
  <c r="CD166" i="2"/>
  <c r="CD90" i="2"/>
  <c r="CD11" i="2"/>
  <c r="CD169" i="2"/>
  <c r="CD25" i="2"/>
  <c r="CD203" i="2"/>
  <c r="CD112" i="2"/>
  <c r="CD3" i="2"/>
  <c r="C9" i="4" s="1"/>
  <c r="E9" i="4" s="1"/>
  <c r="F9" i="4" s="1"/>
  <c r="G9" i="4" s="1"/>
  <c r="L9" i="4" s="1"/>
  <c r="CD97" i="2"/>
  <c r="CD121" i="2"/>
  <c r="CD10" i="2"/>
  <c r="CD150" i="2"/>
  <c r="CD99" i="2"/>
  <c r="CD75" i="2"/>
  <c r="CD129" i="2"/>
  <c r="CD198" i="2"/>
  <c r="CD51" i="2"/>
  <c r="CD87" i="2"/>
  <c r="CD59" i="2"/>
  <c r="CD36" i="2"/>
  <c r="CD33" i="2"/>
  <c r="CD46" i="2"/>
  <c r="CD114" i="2"/>
  <c r="CD89" i="2"/>
  <c r="CD92" i="2"/>
  <c r="CD165" i="2"/>
  <c r="CD184" i="2"/>
  <c r="CD126" i="2"/>
  <c r="CD79" i="2"/>
  <c r="CD23" i="2"/>
  <c r="CD179" i="2"/>
  <c r="CD41" i="2"/>
  <c r="CD163" i="2"/>
  <c r="CD154" i="2"/>
  <c r="CD124" i="2"/>
  <c r="CD153" i="2"/>
  <c r="CD39" i="2"/>
  <c r="CD162" i="2"/>
  <c r="CY24" i="2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I152" i="2" l="1"/>
  <c r="BI54" i="2"/>
  <c r="BI108" i="2"/>
  <c r="BI47" i="2"/>
  <c r="BI166" i="2"/>
  <c r="BI8" i="2"/>
  <c r="BI76" i="2"/>
  <c r="BI42" i="2"/>
  <c r="BI135" i="2"/>
  <c r="BI148" i="2"/>
  <c r="BI84" i="2"/>
  <c r="BI121" i="2"/>
  <c r="BI93" i="2"/>
  <c r="BI146" i="2"/>
  <c r="BI170" i="2"/>
  <c r="BI199" i="2"/>
  <c r="BI105" i="2"/>
  <c r="BI125" i="2"/>
  <c r="BI91" i="2"/>
  <c r="BI34" i="2"/>
  <c r="BI186" i="2"/>
  <c r="BI111" i="2"/>
  <c r="BI116" i="2"/>
  <c r="BI66" i="2"/>
  <c r="BI5" i="2"/>
  <c r="BI193" i="2"/>
  <c r="BI69" i="2"/>
  <c r="BI85" i="2"/>
  <c r="BI144" i="2"/>
  <c r="BI169" i="2"/>
  <c r="BI185" i="2"/>
  <c r="BI71" i="2"/>
  <c r="BI163" i="2"/>
  <c r="BI29" i="2"/>
  <c r="BI192" i="2"/>
  <c r="BI154" i="2"/>
  <c r="BI160" i="2"/>
  <c r="BI6" i="2"/>
  <c r="BI158" i="2"/>
  <c r="BI74" i="2"/>
  <c r="BI43" i="2"/>
  <c r="BI173" i="2"/>
  <c r="BI80" i="2"/>
  <c r="BI156" i="2"/>
  <c r="BI81" i="2"/>
  <c r="BI4" i="2"/>
  <c r="BI63" i="2"/>
  <c r="BI23" i="2"/>
  <c r="BI150" i="2"/>
  <c r="BI62" i="2"/>
  <c r="BI165" i="2"/>
  <c r="BI3" i="2"/>
  <c r="C8" i="4" s="1"/>
  <c r="E8" i="4" s="1"/>
  <c r="F8" i="4" s="1"/>
  <c r="G8" i="4" s="1"/>
  <c r="L8" i="4" s="1"/>
  <c r="BI26" i="2"/>
  <c r="BI159" i="2"/>
  <c r="BI45" i="2"/>
  <c r="BI95" i="2"/>
  <c r="BI21" i="2"/>
  <c r="BI174" i="2"/>
  <c r="BI73" i="2"/>
  <c r="BI15" i="2"/>
  <c r="BI132" i="2"/>
  <c r="BI96" i="2"/>
  <c r="BI197" i="2"/>
  <c r="BI19" i="2"/>
  <c r="BI35" i="2"/>
  <c r="BI52" i="2"/>
  <c r="BI39" i="2"/>
  <c r="BI142" i="2"/>
  <c r="BI182" i="2"/>
  <c r="BI113" i="2"/>
  <c r="BI87" i="2"/>
  <c r="BI117" i="2"/>
  <c r="BI137" i="2"/>
  <c r="BI72" i="2"/>
  <c r="BI36" i="2"/>
  <c r="BI16" i="2"/>
  <c r="BI151" i="2"/>
  <c r="BI131" i="2"/>
  <c r="BI168" i="2"/>
  <c r="BI164" i="2"/>
  <c r="BI101" i="2"/>
  <c r="BI147" i="2"/>
  <c r="BI100" i="2"/>
  <c r="BI65" i="2"/>
  <c r="BI187" i="2"/>
  <c r="BI75" i="2"/>
  <c r="BI70" i="2"/>
  <c r="BI177" i="2"/>
  <c r="BI82" i="2"/>
  <c r="BI68" i="2"/>
  <c r="BI50" i="2"/>
  <c r="BI118" i="2"/>
  <c r="BI53" i="2"/>
  <c r="BI17" i="2"/>
  <c r="BI10" i="2"/>
  <c r="BI33" i="2"/>
  <c r="BI40" i="2"/>
  <c r="BI119" i="2"/>
  <c r="BI24" i="2"/>
  <c r="BI44" i="2"/>
  <c r="BI128" i="2"/>
  <c r="BI188" i="2"/>
  <c r="BI88" i="2"/>
  <c r="BI102" i="2"/>
  <c r="BI99" i="2"/>
  <c r="BI89" i="2"/>
  <c r="BI103" i="2"/>
  <c r="BI138" i="2"/>
  <c r="BI114" i="2"/>
  <c r="BI12" i="2"/>
  <c r="BI171" i="2"/>
  <c r="BI104" i="2"/>
  <c r="BI145" i="2"/>
  <c r="BI139" i="2"/>
  <c r="BI196" i="2"/>
  <c r="BI201" i="2"/>
  <c r="BI94" i="2"/>
  <c r="BI61" i="2"/>
  <c r="BI30" i="2"/>
  <c r="BI7" i="2"/>
  <c r="BI134" i="2"/>
  <c r="BI110" i="2"/>
  <c r="BI123" i="2"/>
  <c r="BI18" i="2"/>
  <c r="BI9" i="2"/>
  <c r="BI58" i="2"/>
  <c r="BI124" i="2"/>
  <c r="BI161" i="2"/>
  <c r="BI198" i="2"/>
  <c r="BI67" i="2"/>
  <c r="BI130" i="2"/>
  <c r="BI22" i="2"/>
  <c r="BI129" i="2"/>
  <c r="BI90" i="2"/>
  <c r="BI46" i="2"/>
  <c r="BI20" i="2"/>
  <c r="BI79" i="2"/>
  <c r="BI11" i="2"/>
  <c r="BI178" i="2"/>
  <c r="BI86" i="2"/>
  <c r="BI32" i="2"/>
  <c r="BI162" i="2"/>
  <c r="BI157" i="2"/>
  <c r="BI51" i="2"/>
  <c r="BI57" i="2"/>
  <c r="BI120" i="2"/>
  <c r="BI181" i="2"/>
  <c r="BI48" i="2"/>
  <c r="BI122" i="2"/>
  <c r="BI112" i="2"/>
  <c r="BI14" i="2"/>
  <c r="BI189" i="2"/>
  <c r="BI13" i="2"/>
  <c r="BI77" i="2"/>
  <c r="BI180" i="2"/>
  <c r="BI49" i="2"/>
  <c r="BI176" i="2"/>
  <c r="BI78" i="2"/>
  <c r="BI153" i="2"/>
  <c r="BI31" i="2"/>
  <c r="BI109" i="2"/>
  <c r="BI97" i="2"/>
  <c r="BI37" i="2"/>
  <c r="BI38" i="2"/>
  <c r="BI200" i="2"/>
  <c r="BI92" i="2"/>
  <c r="BI136" i="2"/>
  <c r="BI190" i="2"/>
  <c r="BI56" i="2"/>
  <c r="BI98" i="2"/>
  <c r="BI25" i="2"/>
  <c r="BI183" i="2"/>
  <c r="BI191" i="2"/>
  <c r="BI107" i="2"/>
  <c r="BI195" i="2"/>
  <c r="BI41" i="2"/>
  <c r="BI64" i="2"/>
  <c r="BI172" i="2"/>
  <c r="BI126" i="2"/>
  <c r="BI115" i="2"/>
  <c r="BI83" i="2"/>
  <c r="BI59" i="2"/>
  <c r="BI106" i="2"/>
  <c r="BI27" i="2"/>
  <c r="BI194" i="2"/>
  <c r="BI155" i="2"/>
  <c r="BI60" i="2"/>
  <c r="BI202" i="2"/>
  <c r="BI175" i="2"/>
  <c r="BI28" i="2"/>
  <c r="BI141" i="2"/>
  <c r="BI179" i="2"/>
  <c r="BI167" i="2"/>
  <c r="BI127" i="2"/>
  <c r="BI149" i="2"/>
  <c r="BI133" i="2"/>
  <c r="BI184" i="2"/>
  <c r="BI140" i="2"/>
  <c r="BI203" i="2"/>
  <c r="BI55" i="2"/>
  <c r="BI143" i="2"/>
  <c r="BF124" i="2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<sst xmlns="http://schemas.openxmlformats.org/spreadsheetml/2006/main" count="1172" uniqueCount="324">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</sst>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" fillId="20" borderId="1" xfId="1" applyNumberFormat="1" applyFont="1" applyFill="1" applyBorder="1" applyAlignment="1" applyProtection="1">
      <alignment horizontal="center"/>
      <protection locked="0"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10.221654860295478</c:v>
                </c:pt>
                <c:pt idx="2">
                  <c:v>19.998949519771983</c:v>
                </c:pt>
                <c:pt idx="3">
                  <c:v>29.6327381398707</c:v>
                </c:pt>
                <c:pt idx="4">
                  <c:v>39.178066298279745</c:v>
                </c:pt>
                <c:pt idx="5">
                  <c:v>48.659882455320734</c:v>
                </c:pt>
                <c:pt idx="6">
                  <c:v>58.092418254388406</c:v>
                </c:pt>
                <c:pt idx="7">
                  <c:v>67.484848285704871</c:v>
                </c:pt>
                <c:pt idx="8">
                  <c:v>76.843563013572378</c:v>
                </c:pt>
                <c:pt idx="9">
                  <c:v>86.173259510546401</c:v>
                </c:pt>
                <c:pt idx="10">
                  <c:v>95.477529820975846</c:v>
                </c:pt>
                <c:pt idx="11">
                  <c:v>104.7592060079386</c:v>
                </c:pt>
                <c:pt idx="12">
                  <c:v>114.02057567980363</c:v>
                </c:pt>
                <c:pt idx="13">
                  <c:v>123.26352343536469</c:v>
                </c:pt>
                <c:pt idx="14">
                  <c:v>132.48962746478011</c:v>
                </c:pt>
                <c:pt idx="15">
                  <c:v>141.70022772708563</c:v>
                </c:pt>
                <c:pt idx="16">
                  <c:v>150.89647541242331</c:v>
                </c:pt>
                <c:pt idx="17">
                  <c:v>160.07936967898286</c:v>
                </c:pt>
                <c:pt idx="18">
                  <c:v>169.24978549655808</c:v>
                </c:pt>
                <c:pt idx="19">
                  <c:v>178.40849512525776</c:v>
                </c:pt>
                <c:pt idx="20">
                  <c:v>187.55618494338475</c:v>
                </c:pt>
                <c:pt idx="21">
                  <c:v>196.69346881409535</c:v>
                </c:pt>
                <c:pt idx="22">
                  <c:v>205.82089883389031</c:v>
                </c:pt>
                <c:pt idx="23">
                  <c:v>214.9389740715925</c:v>
                </c:pt>
                <c:pt idx="24">
                  <c:v>224.04814774461713</c:v>
                </c:pt>
                <c:pt idx="25">
                  <c:v>233.14883316549523</c:v>
                </c:pt>
                <c:pt idx="26">
                  <c:v>242.24140871017039</c:v>
                </c:pt>
                <c:pt idx="27">
                  <c:v>251.32622200044386</c:v>
                </c:pt>
                <c:pt idx="28">
                  <c:v>260.40359344937906</c:v>
                </c:pt>
                <c:pt idx="29">
                  <c:v>269.47381928598719</c:v>
                </c:pt>
                <c:pt idx="30">
                  <c:v>278.53717415099356</c:v>
                </c:pt>
                <c:pt idx="31">
                  <c:v>287.59391333677951</c:v>
                </c:pt>
                <c:pt idx="32">
                  <c:v>296.64427473018031</c:v>
                </c:pt>
                <c:pt idx="33">
                  <c:v>305.68848050561127</c:v>
                </c:pt>
                <c:pt idx="34">
                  <c:v>314.72673860720062</c:v>
                </c:pt>
                <c:pt idx="35">
                  <c:v>323.75924405165341</c:v>
                </c:pt>
                <c:pt idx="36">
                  <c:v>332.78618007803192</c:v>
                </c:pt>
                <c:pt idx="37">
                  <c:v>341.80771916619102</c:v>
                </c:pt>
                <c:pt idx="38">
                  <c:v>350.82402394201648</c:v>
                </c:pt>
                <c:pt idx="39">
                  <c:v>359.83524798469381</c:v>
                </c:pt>
                <c:pt idx="40">
                  <c:v>368.84153654885125</c:v>
                </c:pt>
                <c:pt idx="41">
                  <c:v>377.8430272124553</c:v>
                </c:pt>
                <c:pt idx="42">
                  <c:v>386.83985045971781</c:v>
                </c:pt>
                <c:pt idx="43">
                  <c:v>297.21717518827523</c:v>
                </c:pt>
                <c:pt idx="44">
                  <c:v>317.58724822366509</c:v>
                </c:pt>
                <c:pt idx="45">
                  <c:v>337.92839403108047</c:v>
                </c:pt>
                <c:pt idx="46">
                  <c:v>358.24259793484299</c:v>
                </c:pt>
                <c:pt idx="47">
                  <c:v>378.53160178526781</c:v>
                </c:pt>
                <c:pt idx="48">
                  <c:v>398.79694553728058</c:v>
                </c:pt>
                <c:pt idx="49">
                  <c:v>341.42696956725382</c:v>
                </c:pt>
                <c:pt idx="50">
                  <c:v>361.90308592785345</c:v>
                </c:pt>
                <c:pt idx="51">
                  <c:v>382.35388351937019</c:v>
                </c:pt>
                <c:pt idx="52">
                  <c:v>402.78090627015791</c:v>
                </c:pt>
                <c:pt idx="53">
                  <c:v>423.18552880120905</c:v>
                </c:pt>
                <c:pt idx="54">
                  <c:v>443.56898242812048</c:v>
                </c:pt>
                <c:pt idx="55">
                  <c:v>377.70056009818182</c:v>
                </c:pt>
                <c:pt idx="56">
                  <c:v>397.46876752677173</c:v>
                </c:pt>
                <c:pt idx="57">
                  <c:v>417.21568777134922</c:v>
                </c:pt>
                <c:pt idx="58">
                  <c:v>436.94246952460384</c:v>
                </c:pt>
                <c:pt idx="59">
                  <c:v>456.65014935173781</c:v>
                </c:pt>
                <c:pt idx="60">
                  <c:v>476.3396671012872</c:v>
                </c:pt>
                <c:pt idx="61">
                  <c:v>411.90761674960089</c:v>
                </c:pt>
                <c:pt idx="62">
                  <c:v>430.97676436350366</c:v>
                </c:pt>
                <c:pt idx="63">
                  <c:v>450.0277904288144</c:v>
                </c:pt>
                <c:pt idx="64">
                  <c:v>469.06156958966</c:v>
                </c:pt>
                <c:pt idx="65">
                  <c:v>488.07889975735389</c:v>
                </c:pt>
                <c:pt idx="66">
                  <c:v>507.08051163078659</c:v>
                </c:pt>
                <c:pt idx="67">
                  <c:v>438.10226396786555</c:v>
                </c:pt>
                <c:pt idx="68">
                  <c:v>456.48461552128629</c:v>
                </c:pt>
                <c:pt idx="69">
                  <c:v>474.85115911139542</c:v>
                </c:pt>
                <c:pt idx="70">
                  <c:v>493.2025918734027</c:v>
                </c:pt>
                <c:pt idx="71">
                  <c:v>511.53955486237896</c:v>
                </c:pt>
                <c:pt idx="72">
                  <c:v>529.86263945423718</c:v>
                </c:pt>
                <c:pt idx="73">
                  <c:v>460.62257788351417</c:v>
                </c:pt>
                <c:pt idx="74">
                  <c:v>477.66270222958747</c:v>
                </c:pt>
                <c:pt idx="75">
                  <c:v>494.68990346234278</c:v>
                </c:pt>
                <c:pt idx="76">
                  <c:v>511.70468879561594</c:v>
                </c:pt>
                <c:pt idx="77">
                  <c:v>528.70752897913144</c:v>
                </c:pt>
                <c:pt idx="78">
                  <c:v>545.69886203239582</c:v>
                </c:pt>
                <c:pt idx="79">
                  <c:v>480.47389339882125</c:v>
                </c:pt>
                <c:pt idx="80">
                  <c:v>496.50760006666104</c:v>
                </c:pt>
                <c:pt idx="81">
                  <c:v>512.53034158476851</c:v>
                </c:pt>
                <c:pt idx="82">
                  <c:v>528.5425088623582</c:v>
                </c:pt>
                <c:pt idx="83">
                  <c:v>544.54446720340138</c:v>
                </c:pt>
                <c:pt idx="84">
                  <c:v>560.53655870248656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2.5674081613595483</c:v>
                </c:pt>
                <c:pt idx="2">
                  <c:v>2.9509973995419365</c:v>
                </c:pt>
                <c:pt idx="3">
                  <c:v>3.3921035249964064</c:v>
                </c:pt>
                <c:pt idx="4">
                  <c:v>3.8993800326575379</c:v>
                </c:pt>
                <c:pt idx="5">
                  <c:v>4.4827864698435551</c:v>
                </c:pt>
                <c:pt idx="6">
                  <c:v>5.1537861360321822</c:v>
                </c:pt>
                <c:pt idx="7">
                  <c:v>5.9255737902693291</c:v>
                </c:pt>
                <c:pt idx="8">
                  <c:v>6.8133379322758998</c:v>
                </c:pt>
                <c:pt idx="9">
                  <c:v>7.834562919695732</c:v>
                </c:pt>
                <c:pt idx="10">
                  <c:v>9.0093769867322209</c:v>
                </c:pt>
                <c:pt idx="11">
                  <c:v>10.360953154948495</c:v>
                </c:pt>
                <c:pt idx="12">
                  <c:v>11.915971094051232</c:v>
                </c:pt>
                <c:pt idx="13">
                  <c:v>13.705149220720239</c:v>
                </c:pt>
                <c:pt idx="14">
                  <c:v>15.763857741989639</c:v>
                </c:pt>
                <c:pt idx="15">
                  <c:v>18.132824985174668</c:v>
                </c:pt>
                <c:pt idx="16">
                  <c:v>20.858951242140964</c:v>
                </c:pt>
                <c:pt idx="17">
                  <c:v>23.996246530208428</c:v>
                </c:pt>
                <c:pt idx="18">
                  <c:v>27.606911179441123</c:v>
                </c:pt>
                <c:pt idx="19">
                  <c:v>31.762581047569586</c:v>
                </c:pt>
                <c:pt idx="20">
                  <c:v>36.545762498237771</c:v>
                </c:pt>
                <c:pt idx="21">
                  <c:v>45.976451369424893</c:v>
                </c:pt>
                <c:pt idx="22">
                  <c:v>61.195253174133917</c:v>
                </c:pt>
                <c:pt idx="23">
                  <c:v>76.314953891111699</c:v>
                </c:pt>
                <c:pt idx="24">
                  <c:v>91.358114590501202</c:v>
                </c:pt>
                <c:pt idx="25">
                  <c:v>106.33917221071198</c:v>
                </c:pt>
                <c:pt idx="26">
                  <c:v>93.28198944103697</c:v>
                </c:pt>
                <c:pt idx="27">
                  <c:v>107.10595572323882</c:v>
                </c:pt>
                <c:pt idx="28">
                  <c:v>120.88592545349094</c:v>
                </c:pt>
                <c:pt idx="29">
                  <c:v>134.62762855321992</c:v>
                </c:pt>
                <c:pt idx="30">
                  <c:v>148.33552588657844</c:v>
                </c:pt>
                <c:pt idx="31">
                  <c:v>134.24638938649042</c:v>
                </c:pt>
                <c:pt idx="32">
                  <c:v>146.81397834828729</c:v>
                </c:pt>
                <c:pt idx="33">
                  <c:v>159.35586286360191</c:v>
                </c:pt>
                <c:pt idx="34">
                  <c:v>171.87435267338165</c:v>
                </c:pt>
                <c:pt idx="35">
                  <c:v>184.37139305479846</c:v>
                </c:pt>
                <c:pt idx="36">
                  <c:v>168.8416056097681</c:v>
                </c:pt>
                <c:pt idx="37">
                  <c:v>179.829386330098</c:v>
                </c:pt>
                <c:pt idx="38">
                  <c:v>190.80144399249431</c:v>
                </c:pt>
                <c:pt idx="39">
                  <c:v>201.75881092692779</c:v>
                </c:pt>
                <c:pt idx="40">
                  <c:v>212.70239804910184</c:v>
                </c:pt>
                <c:pt idx="41">
                  <c:v>195.33725403815257</c:v>
                </c:pt>
                <c:pt idx="42">
                  <c:v>204.40159586063604</c:v>
                </c:pt>
                <c:pt idx="43">
                  <c:v>213.45664137520589</c:v>
                </c:pt>
                <c:pt idx="44">
                  <c:v>222.50284096633968</c:v>
                </c:pt>
                <c:pt idx="45">
                  <c:v>231.54060536306474</c:v>
                </c:pt>
                <c:pt idx="46">
                  <c:v>213.07952740360659</c:v>
                </c:pt>
                <c:pt idx="47">
                  <c:v>220.99573745004457</c:v>
                </c:pt>
                <c:pt idx="48">
                  <c:v>228.90543935922884</c:v>
                </c:pt>
                <c:pt idx="49">
                  <c:v>236.80889001154424</c:v>
                </c:pt>
                <c:pt idx="50">
                  <c:v>244.70632771903044</c:v>
                </c:pt>
                <c:pt idx="51">
                  <c:v>230.78777111964928</c:v>
                </c:pt>
                <c:pt idx="52">
                  <c:v>237.56128239156058</c:v>
                </c:pt>
                <c:pt idx="53">
                  <c:v>244.3303922732961</c:v>
                </c:pt>
                <c:pt idx="54">
                  <c:v>251.0952400785371</c:v>
                </c:pt>
                <c:pt idx="55">
                  <c:v>257.85595699105755</c:v>
                </c:pt>
                <c:pt idx="56">
                  <c:v>246.58580846713619</c:v>
                </c:pt>
                <c:pt idx="57">
                  <c:v>252.22230966781112</c:v>
                </c:pt>
                <c:pt idx="58">
                  <c:v>257.85595699105755</c:v>
                </c:pt>
                <c:pt idx="59">
                  <c:v>263.4868216859382</c:v>
                </c:pt>
                <c:pt idx="60">
                  <c:v>269.11497170292421</c:v>
                </c:pt>
                <c:pt idx="61">
                  <c:v>260.85942671475163</c:v>
                </c:pt>
                <c:pt idx="62">
                  <c:v>265.73840375453756</c:v>
                </c:pt>
                <c:pt idx="63">
                  <c:v>270.61536157536983</c:v>
                </c:pt>
                <c:pt idx="64">
                  <c:v>275.49034176419684</c:v>
                </c:pt>
                <c:pt idx="65">
                  <c:v>280.36338431358678</c:v>
                </c:pt>
                <c:pt idx="66">
                  <c:v>272.86559571589561</c:v>
                </c:pt>
                <c:pt idx="67">
                  <c:v>276.61506059958811</c:v>
                </c:pt>
                <c:pt idx="68">
                  <c:v>280.36338431358678</c:v>
                </c:pt>
                <c:pt idx="69">
                  <c:v>284.11058429716269</c:v>
                </c:pt>
                <c:pt idx="70">
                  <c:v>287.85667749117096</c:v>
                </c:pt>
                <c:pt idx="71">
                  <c:v>282.23712370144068</c:v>
                </c:pt>
                <c:pt idx="72">
                  <c:v>285.98376820295493</c:v>
                </c:pt>
                <c:pt idx="73">
                  <c:v>289.72931420493518</c:v>
                </c:pt>
                <c:pt idx="74">
                  <c:v>293.47377793906486</c:v>
                </c:pt>
                <c:pt idx="75">
                  <c:v>297.21717518827535</c:v>
                </c:pt>
                <c:pt idx="76">
                  <c:v>292.72497100977256</c:v>
                </c:pt>
                <c:pt idx="77">
                  <c:v>295.71994327479496</c:v>
                </c:pt>
                <c:pt idx="78">
                  <c:v>298.71423892515395</c:v>
                </c:pt>
                <c:pt idx="79">
                  <c:v>301.70786571384548</c:v>
                </c:pt>
                <c:pt idx="80">
                  <c:v>304.70083122716051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2.9397746868298928</c:v>
                </c:pt>
                <c:pt idx="2">
                  <c:v>3.3517128427294267</c:v>
                </c:pt>
                <c:pt idx="3">
                  <c:v>3.8215785182927724</c:v>
                </c:pt>
                <c:pt idx="4">
                  <c:v>4.3575447416298188</c:v>
                </c:pt>
                <c:pt idx="5">
                  <c:v>4.9689412725572728</c:v>
                </c:pt>
                <c:pt idx="6">
                  <c:v>5.6664187895100824</c:v>
                </c:pt>
                <c:pt idx="7">
                  <c:v>6.4621364435798609</c:v>
                </c:pt>
                <c:pt idx="8">
                  <c:v>7.3699761134774882</c:v>
                </c:pt>
                <c:pt idx="9">
                  <c:v>8.4057871719211263</c:v>
                </c:pt>
                <c:pt idx="10">
                  <c:v>9.5876661189594543</c:v>
                </c:pt>
                <c:pt idx="11">
                  <c:v>10.936276060857622</c:v>
                </c:pt>
                <c:pt idx="12">
                  <c:v>12.4752117256155</c:v>
                </c:pt>
                <c:pt idx="13">
                  <c:v>14.231416520782107</c:v>
                </c:pt>
                <c:pt idx="14">
                  <c:v>16.235659070649749</c:v>
                </c:pt>
                <c:pt idx="15">
                  <c:v>18.523077734940472</c:v>
                </c:pt>
                <c:pt idx="16">
                  <c:v>21.133802828935874</c:v>
                </c:pt>
                <c:pt idx="17">
                  <c:v>24.113667657611057</c:v>
                </c:pt>
                <c:pt idx="18">
                  <c:v>27.515021068839172</c:v>
                </c:pt>
                <c:pt idx="19">
                  <c:v>31.397656051876599</c:v>
                </c:pt>
                <c:pt idx="20">
                  <c:v>35.829870989999293</c:v>
                </c:pt>
                <c:pt idx="21">
                  <c:v>40.889682557955688</c:v>
                </c:pt>
                <c:pt idx="22">
                  <c:v>46.666211978863579</c:v>
                </c:pt>
                <c:pt idx="23">
                  <c:v>53.261269470543994</c:v>
                </c:pt>
                <c:pt idx="24">
                  <c:v>60.7911652743812</c:v>
                </c:pt>
                <c:pt idx="25">
                  <c:v>69.388779735073783</c:v>
                </c:pt>
                <c:pt idx="26">
                  <c:v>80.165002252238452</c:v>
                </c:pt>
                <c:pt idx="27">
                  <c:v>90.90448288189036</c:v>
                </c:pt>
                <c:pt idx="28">
                  <c:v>101.6121846030364</c:v>
                </c:pt>
                <c:pt idx="29">
                  <c:v>112.29193461821403</c:v>
                </c:pt>
                <c:pt idx="30">
                  <c:v>122.94677025652987</c:v>
                </c:pt>
                <c:pt idx="31">
                  <c:v>134.02171836924822</c:v>
                </c:pt>
                <c:pt idx="32">
                  <c:v>145.07460486529592</c:v>
                </c:pt>
                <c:pt idx="33">
                  <c:v>156.10734926897979</c:v>
                </c:pt>
                <c:pt idx="34">
                  <c:v>167.12157714245114</c:v>
                </c:pt>
                <c:pt idx="35">
                  <c:v>178.11868194628323</c:v>
                </c:pt>
                <c:pt idx="36">
                  <c:v>161.3963988836461</c:v>
                </c:pt>
                <c:pt idx="37">
                  <c:v>173.28198421740612</c:v>
                </c:pt>
                <c:pt idx="38">
                  <c:v>185.14840694275611</c:v>
                </c:pt>
                <c:pt idx="39">
                  <c:v>196.99706917130376</c:v>
                </c:pt>
                <c:pt idx="40">
                  <c:v>208.82919038278203</c:v>
                </c:pt>
                <c:pt idx="41">
                  <c:v>190.41659540288185</c:v>
                </c:pt>
                <c:pt idx="42">
                  <c:v>202.69601208813609</c:v>
                </c:pt>
                <c:pt idx="43">
                  <c:v>214.95821110174333</c:v>
                </c:pt>
                <c:pt idx="44">
                  <c:v>227.20431355624603</c:v>
                </c:pt>
                <c:pt idx="45">
                  <c:v>239.43530973942802</c:v>
                </c:pt>
                <c:pt idx="46">
                  <c:v>221.08320971383421</c:v>
                </c:pt>
                <c:pt idx="47">
                  <c:v>233.32164253354537</c:v>
                </c:pt>
                <c:pt idx="48">
                  <c:v>245.54542201156005</c:v>
                </c:pt>
                <c:pt idx="49">
                  <c:v>257.7553807542198</c:v>
                </c:pt>
                <c:pt idx="50">
                  <c:v>269.95226599479992</c:v>
                </c:pt>
                <c:pt idx="51">
                  <c:v>251.65208042823193</c:v>
                </c:pt>
                <c:pt idx="52">
                  <c:v>263.85541384215657</c:v>
                </c:pt>
                <c:pt idx="53">
                  <c:v>276.046019292822</c:v>
                </c:pt>
                <c:pt idx="54">
                  <c:v>288.22453829402536</c:v>
                </c:pt>
                <c:pt idx="55">
                  <c:v>300.3915536943141</c:v>
                </c:pt>
                <c:pt idx="56">
                  <c:v>282.13675189211068</c:v>
                </c:pt>
                <c:pt idx="57">
                  <c:v>294.30944959160257</c:v>
                </c:pt>
                <c:pt idx="58">
                  <c:v>306.47091553365232</c:v>
                </c:pt>
                <c:pt idx="59">
                  <c:v>318.62165837327228</c:v>
                </c:pt>
                <c:pt idx="60">
                  <c:v>330.76214478850392</c:v>
                </c:pt>
                <c:pt idx="61">
                  <c:v>311.67966166895121</c:v>
                </c:pt>
                <c:pt idx="62">
                  <c:v>322.95870071836038</c:v>
                </c:pt>
                <c:pt idx="63">
                  <c:v>334.22903233500955</c:v>
                </c:pt>
                <c:pt idx="64">
                  <c:v>345.49099163191596</c:v>
                </c:pt>
                <c:pt idx="65">
                  <c:v>356.74489008321876</c:v>
                </c:pt>
                <c:pt idx="66">
                  <c:v>337.69512740436579</c:v>
                </c:pt>
                <c:pt idx="67">
                  <c:v>348.95457429716549</c:v>
                </c:pt>
                <c:pt idx="68">
                  <c:v>360.20605180325543</c:v>
                </c:pt>
                <c:pt idx="69">
                  <c:v>371.44984402165892</c:v>
                </c:pt>
                <c:pt idx="70">
                  <c:v>382.68621644309695</c:v>
                </c:pt>
                <c:pt idx="71">
                  <c:v>362.80144525672193</c:v>
                </c:pt>
                <c:pt idx="72">
                  <c:v>373.17899323636624</c:v>
                </c:pt>
                <c:pt idx="73">
                  <c:v>383.55025268886453</c:v>
                </c:pt>
                <c:pt idx="74">
                  <c:v>393.91541769108909</c:v>
                </c:pt>
                <c:pt idx="75">
                  <c:v>404.27467126938285</c:v>
                </c:pt>
                <c:pt idx="76">
                  <c:v>383.98225493635533</c:v>
                </c:pt>
                <c:pt idx="77">
                  <c:v>393.91541769108909</c:v>
                </c:pt>
                <c:pt idx="78">
                  <c:v>403.84315144097815</c:v>
                </c:pt>
                <c:pt idx="79">
                  <c:v>413.7656085136046</c:v>
                </c:pt>
                <c:pt idx="80">
                  <c:v>423.68293333202655</c:v>
                </c:pt>
                <c:pt idx="81">
                  <c:v>402.98008185125144</c:v>
                </c:pt>
                <c:pt idx="82">
                  <c:v>412.47166904727516</c:v>
                </c:pt>
                <c:pt idx="83">
                  <c:v>421.95854377334359</c:v>
                </c:pt>
                <c:pt idx="84">
                  <c:v>431.44082695809334</c:v>
                </c:pt>
                <c:pt idx="85">
                  <c:v>440.91863377904127</c:v>
                </c:pt>
                <c:pt idx="86">
                  <c:v>419.80284331345206</c:v>
                </c:pt>
                <c:pt idx="87">
                  <c:v>428.85519840828539</c:v>
                </c:pt>
                <c:pt idx="88">
                  <c:v>437.90344674688322</c:v>
                </c:pt>
                <c:pt idx="89">
                  <c:v>446.94768518373326</c:v>
                </c:pt>
                <c:pt idx="90">
                  <c:v>455.98800633231912</c:v>
                </c:pt>
                <c:pt idx="91">
                  <c:v>434.02612258593155</c:v>
                </c:pt>
                <c:pt idx="92">
                  <c:v>442.21072127655128</c:v>
                </c:pt>
                <c:pt idx="93">
                  <c:v>450.39207405650836</c:v>
                </c:pt>
                <c:pt idx="94">
                  <c:v>458.57024822962609</c:v>
                </c:pt>
                <c:pt idx="95">
                  <c:v>466.74530850225341</c:v>
                </c:pt>
                <c:pt idx="96">
                  <c:v>444.36402075569305</c:v>
                </c:pt>
                <c:pt idx="97">
                  <c:v>452.114056877471</c:v>
                </c:pt>
                <c:pt idx="98">
                  <c:v>459.86125261266903</c:v>
                </c:pt>
                <c:pt idx="99">
                  <c:v>467.60566258446198</c:v>
                </c:pt>
                <c:pt idx="100">
                  <c:v>475.34733945827821</c:v>
                </c:pt>
                <c:pt idx="101">
                  <c:v>454.69676831549197</c:v>
                </c:pt>
                <c:pt idx="102">
                  <c:v>462.01275475576307</c:v>
                </c:pt>
                <c:pt idx="103">
                  <c:v>469.32626959947976</c:v>
                </c:pt>
                <c:pt idx="104">
                  <c:v>476.63735681327233</c:v>
                </c:pt>
                <c:pt idx="105">
                  <c:v>483.94605890429216</c:v>
                </c:pt>
                <c:pt idx="106">
                  <c:v>462.44302949249544</c:v>
                </c:pt>
                <c:pt idx="107">
                  <c:v>468.89613046728755</c:v>
                </c:pt>
                <c:pt idx="108">
                  <c:v>475.34733945827838</c:v>
                </c:pt>
                <c:pt idx="109">
                  <c:v>481.79668577992356</c:v>
                </c:pt>
                <c:pt idx="110">
                  <c:v>488.24419789739909</c:v>
                </c:pt>
                <c:pt idx="111">
                  <c:v>466.31511878642374</c:v>
                </c:pt>
                <c:pt idx="112">
                  <c:v>472.3370088245801</c:v>
                </c:pt>
                <c:pt idx="113">
                  <c:v>478.35726445603859</c:v>
                </c:pt>
                <c:pt idx="114">
                  <c:v>484.37590916507139</c:v>
                </c:pt>
                <c:pt idx="115">
                  <c:v>490.39296580436979</c:v>
                </c:pt>
                <c:pt idx="116">
                  <c:v>467.60566258446215</c:v>
                </c:pt>
                <c:pt idx="117">
                  <c:v>472.76708100439259</c:v>
                </c:pt>
                <c:pt idx="118">
                  <c:v>477.9272998945782</c:v>
                </c:pt>
                <c:pt idx="119">
                  <c:v>483.08633404340475</c:v>
                </c:pt>
                <c:pt idx="120">
                  <c:v>488.24419789739915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1.8384859337570063</c:v>
                </c:pt>
                <c:pt idx="2">
                  <c:v>2.179328435244706</c:v>
                </c:pt>
                <c:pt idx="3">
                  <c:v>2.5835983685839596</c:v>
                </c:pt>
                <c:pt idx="4">
                  <c:v>3.0631408068451407</c:v>
                </c:pt>
                <c:pt idx="5">
                  <c:v>3.6320202351102231</c:v>
                </c:pt>
                <c:pt idx="6">
                  <c:v>4.3069376861440878</c:v>
                </c:pt>
                <c:pt idx="7">
                  <c:v>5.1077265000259793</c:v>
                </c:pt>
                <c:pt idx="8">
                  <c:v>6.0579415660975471</c:v>
                </c:pt>
                <c:pt idx="9">
                  <c:v>7.1855597202545356</c:v>
                </c:pt>
                <c:pt idx="10">
                  <c:v>8.5238123196371749</c:v>
                </c:pt>
                <c:pt idx="11">
                  <c:v>10.112175001806468</c:v>
                </c:pt>
                <c:pt idx="12">
                  <c:v>11.997544377547372</c:v>
                </c:pt>
                <c:pt idx="13">
                  <c:v>14.235637049599092</c:v>
                </c:pt>
                <c:pt idx="14">
                  <c:v>16.892653065433223</c:v>
                </c:pt>
                <c:pt idx="15">
                  <c:v>20.047253904954317</c:v>
                </c:pt>
                <c:pt idx="16">
                  <c:v>23.79291461692257</c:v>
                </c:pt>
                <c:pt idx="17">
                  <c:v>28.240721040642256</c:v>
                </c:pt>
                <c:pt idx="18">
                  <c:v>33.522696526948565</c:v>
                </c:pt>
                <c:pt idx="19">
                  <c:v>39.79575861552572</c:v>
                </c:pt>
                <c:pt idx="20">
                  <c:v>47.246425223300974</c:v>
                </c:pt>
                <c:pt idx="21">
                  <c:v>56.096412633700432</c:v>
                </c:pt>
                <c:pt idx="22">
                  <c:v>66.60929464284159</c:v>
                </c:pt>
                <c:pt idx="23">
                  <c:v>79.098424442762266</c:v>
                </c:pt>
                <c:pt idx="24">
                  <c:v>93.936359187985758</c:v>
                </c:pt>
                <c:pt idx="25">
                  <c:v>111.56607287269634</c:v>
                </c:pt>
                <c:pt idx="26">
                  <c:v>132.51429753832994</c:v>
                </c:pt>
                <c:pt idx="27">
                  <c:v>157.40739759934175</c:v>
                </c:pt>
                <c:pt idx="28">
                  <c:v>150.47080067026766</c:v>
                </c:pt>
                <c:pt idx="29">
                  <c:v>163.03802518757752</c:v>
                </c:pt>
                <c:pt idx="30">
                  <c:v>175.5823424815143</c:v>
                </c:pt>
                <c:pt idx="31">
                  <c:v>171.69161142115624</c:v>
                </c:pt>
                <c:pt idx="32">
                  <c:v>184.65292865116098</c:v>
                </c:pt>
                <c:pt idx="33">
                  <c:v>197.5929938437981</c:v>
                </c:pt>
                <c:pt idx="34">
                  <c:v>210.51339559418258</c:v>
                </c:pt>
                <c:pt idx="35">
                  <c:v>223.41551137926174</c:v>
                </c:pt>
                <c:pt idx="36">
                  <c:v>209.7386999787991</c:v>
                </c:pt>
                <c:pt idx="37">
                  <c:v>225.7360456637642</c:v>
                </c:pt>
                <c:pt idx="38">
                  <c:v>241.70742778160744</c:v>
                </c:pt>
                <c:pt idx="39">
                  <c:v>257.6548036297558</c:v>
                </c:pt>
                <c:pt idx="40">
                  <c:v>273.57986831240419</c:v>
                </c:pt>
                <c:pt idx="41">
                  <c:v>248.01198278213079</c:v>
                </c:pt>
                <c:pt idx="42">
                  <c:v>266.13372633265288</c:v>
                </c:pt>
                <c:pt idx="43">
                  <c:v>284.22766637577377</c:v>
                </c:pt>
                <c:pt idx="44">
                  <c:v>302.29582160730934</c:v>
                </c:pt>
                <c:pt idx="45">
                  <c:v>320.33994968118049</c:v>
                </c:pt>
                <c:pt idx="46">
                  <c:v>338.36159407720407</c:v>
                </c:pt>
                <c:pt idx="47">
                  <c:v>356.36212045462412</c:v>
                </c:pt>
                <c:pt idx="48">
                  <c:v>374.34274527279507</c:v>
                </c:pt>
                <c:pt idx="49">
                  <c:v>392.30455862375675</c:v>
                </c:pt>
                <c:pt idx="50">
                  <c:v>410.24854266397256</c:v>
                </c:pt>
                <c:pt idx="51">
                  <c:v>329.54521097109392</c:v>
                </c:pt>
                <c:pt idx="52">
                  <c:v>349.59836202746766</c:v>
                </c:pt>
                <c:pt idx="53">
                  <c:v>369.6262881295645</c:v>
                </c:pt>
                <c:pt idx="54">
                  <c:v>389.63054763275704</c:v>
                </c:pt>
                <c:pt idx="55">
                  <c:v>409.61252588018669</c:v>
                </c:pt>
                <c:pt idx="56">
                  <c:v>429.57346208757514</c:v>
                </c:pt>
                <c:pt idx="57">
                  <c:v>449.51447097001227</c:v>
                </c:pt>
                <c:pt idx="58">
                  <c:v>469.43656033129997</c:v>
                </c:pt>
                <c:pt idx="59">
                  <c:v>489.34064551231751</c:v>
                </c:pt>
                <c:pt idx="60">
                  <c:v>509.22756136675412</c:v>
                </c:pt>
                <c:pt idx="61">
                  <c:v>415.71741193017186</c:v>
                </c:pt>
                <c:pt idx="62">
                  <c:v>433.89355138573887</c:v>
                </c:pt>
                <c:pt idx="63">
                  <c:v>452.05334833358802</c:v>
                </c:pt>
                <c:pt idx="64">
                  <c:v>470.19755134133334</c:v>
                </c:pt>
                <c:pt idx="65">
                  <c:v>488.32684652200686</c:v>
                </c:pt>
                <c:pt idx="66">
                  <c:v>506.44186491750776</c:v>
                </c:pt>
                <c:pt idx="67">
                  <c:v>524.54318877098581</c:v>
                </c:pt>
                <c:pt idx="68">
                  <c:v>542.63135688868078</c:v>
                </c:pt>
                <c:pt idx="69">
                  <c:v>560.70686924994277</c:v>
                </c:pt>
                <c:pt idx="70">
                  <c:v>578.77019099216204</c:v>
                </c:pt>
                <c:pt idx="71">
                  <c:v>491.49482053067413</c:v>
                </c:pt>
                <c:pt idx="72">
                  <c:v>502.89596414017234</c:v>
                </c:pt>
                <c:pt idx="73">
                  <c:v>514.29164038230522</c:v>
                </c:pt>
                <c:pt idx="74">
                  <c:v>525.68198747118436</c:v>
                </c:pt>
                <c:pt idx="75">
                  <c:v>537.06713714333159</c:v>
                </c:pt>
                <c:pt idx="76">
                  <c:v>548.447215095052</c:v>
                </c:pt>
                <c:pt idx="77">
                  <c:v>559.82234138161891</c:v>
                </c:pt>
                <c:pt idx="78">
                  <c:v>571.19263078233746</c:v>
                </c:pt>
                <c:pt idx="79">
                  <c:v>582.55819313503196</c:v>
                </c:pt>
                <c:pt idx="80">
                  <c:v>593.91913364308118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3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3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3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3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3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3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3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3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3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3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3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3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3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3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3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3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3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3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34" zoomScale="90" zoomScaleNormal="90" workbookViewId="0">
      <selection activeCell="G88" sqref="G88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4" t="s">
        <v>231</v>
      </c>
      <c r="B5" s="304"/>
      <c r="C5" s="26">
        <v>8.75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164</v>
      </c>
      <c r="C9" s="35">
        <v>0.90600000000000003</v>
      </c>
      <c r="D9" s="36">
        <f t="shared" ref="D9:D18" si="0">C9*$C$5</f>
        <v>7.9275000000000002</v>
      </c>
      <c r="E9" s="37">
        <v>84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21</v>
      </c>
      <c r="C10" s="35">
        <v>3.6999999999999998E-2</v>
      </c>
      <c r="D10" s="36">
        <f t="shared" si="0"/>
        <v>0.32374999999999998</v>
      </c>
      <c r="E10" s="37">
        <v>80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12</v>
      </c>
      <c r="C11" s="35">
        <v>2.8000000000000001E-2</v>
      </c>
      <c r="D11" s="36">
        <f t="shared" si="0"/>
        <v>0.245</v>
      </c>
      <c r="E11" s="37">
        <v>120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 t="s">
        <v>40</v>
      </c>
      <c r="C12" s="35">
        <v>2.9000000000000001E-2</v>
      </c>
      <c r="D12" s="36">
        <f>C12*$C$5</f>
        <v>0.25375000000000003</v>
      </c>
      <c r="E12" s="37">
        <v>80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>C13*$C$5</f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1</v>
      </c>
      <c r="D19" s="41">
        <f>SUM(D9:D18)</f>
        <v>8.75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Cèdre de l'Atlas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42</v>
      </c>
      <c r="B36" s="63">
        <v>379</v>
      </c>
      <c r="C36" s="63">
        <v>1</v>
      </c>
      <c r="D36" s="63">
        <v>110</v>
      </c>
      <c r="E36" s="54"/>
      <c r="F36" s="54"/>
      <c r="G36" s="54"/>
      <c r="H36" s="54"/>
      <c r="I36" s="52">
        <f>IFERROR(B36/A36,"")</f>
        <v>9.0238095238095237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48</v>
      </c>
      <c r="B37" s="63">
        <v>391</v>
      </c>
      <c r="C37" s="63">
        <v>2</v>
      </c>
      <c r="D37" s="63">
        <v>78</v>
      </c>
      <c r="E37" s="54"/>
      <c r="F37" s="54"/>
      <c r="G37" s="54"/>
      <c r="H37" s="54"/>
      <c r="I37" s="56">
        <f t="shared" ref="I37:I55" si="1">IF(A37&lt;&gt;0,(B37-(B36-D36))/(A37-A36),"")</f>
        <v>20.333333333333332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54</v>
      </c>
      <c r="B38" s="63">
        <v>436</v>
      </c>
      <c r="C38" s="63">
        <v>3</v>
      </c>
      <c r="D38" s="63">
        <v>86</v>
      </c>
      <c r="E38" s="54"/>
      <c r="F38" s="54"/>
      <c r="G38" s="54"/>
      <c r="H38" s="54"/>
      <c r="I38" s="56">
        <f t="shared" si="1"/>
        <v>20.5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60</v>
      </c>
      <c r="B39" s="63">
        <v>469</v>
      </c>
      <c r="C39" s="63">
        <v>4</v>
      </c>
      <c r="D39" s="63">
        <v>84</v>
      </c>
      <c r="E39" s="54"/>
      <c r="F39" s="54"/>
      <c r="G39" s="54"/>
      <c r="H39" s="54"/>
      <c r="I39" s="52">
        <f t="shared" si="1"/>
        <v>19.833333333333332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66</v>
      </c>
      <c r="B40" s="63">
        <v>500</v>
      </c>
      <c r="C40" s="63">
        <v>5</v>
      </c>
      <c r="D40" s="63">
        <v>88</v>
      </c>
      <c r="E40" s="54"/>
      <c r="F40" s="54"/>
      <c r="G40" s="54"/>
      <c r="H40" s="54"/>
      <c r="I40" s="52">
        <f t="shared" si="1"/>
        <v>19.166666666666668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72</v>
      </c>
      <c r="B41" s="63">
        <v>523</v>
      </c>
      <c r="C41" s="63">
        <v>6</v>
      </c>
      <c r="D41" s="63">
        <v>87</v>
      </c>
      <c r="E41" s="54"/>
      <c r="F41" s="54"/>
      <c r="G41" s="54"/>
      <c r="H41" s="54"/>
      <c r="I41" s="56">
        <f t="shared" si="1"/>
        <v>18.5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78</v>
      </c>
      <c r="B42" s="63">
        <v>539</v>
      </c>
      <c r="C42" s="63">
        <v>7</v>
      </c>
      <c r="D42" s="63">
        <v>82</v>
      </c>
      <c r="E42" s="54"/>
      <c r="F42" s="54"/>
      <c r="G42" s="54"/>
      <c r="H42" s="54"/>
      <c r="I42" s="56">
        <f t="shared" si="1"/>
        <v>17.166666666666668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3">
        <v>84</v>
      </c>
      <c r="B43" s="63">
        <v>554</v>
      </c>
      <c r="C43" s="63">
        <v>8</v>
      </c>
      <c r="D43" s="63">
        <v>554</v>
      </c>
      <c r="E43" s="54"/>
      <c r="F43" s="54"/>
      <c r="G43" s="54"/>
      <c r="H43" s="54"/>
      <c r="I43" s="52">
        <f t="shared" si="1"/>
        <v>16.166666666666668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Erable champêtre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63">
        <v>20</v>
      </c>
      <c r="B62" s="63">
        <v>18</v>
      </c>
      <c r="C62" s="63">
        <v>1</v>
      </c>
      <c r="D62" s="63">
        <v>3</v>
      </c>
      <c r="E62" s="54"/>
      <c r="F62" s="54"/>
      <c r="G62" s="54">
        <v>0.6</v>
      </c>
      <c r="H62" s="54">
        <v>0.4</v>
      </c>
      <c r="I62" s="56">
        <f>IFERROR(B62/A62,"")</f>
        <v>0.9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25</v>
      </c>
      <c r="B63" s="63">
        <v>54</v>
      </c>
      <c r="C63" s="63">
        <v>2</v>
      </c>
      <c r="D63" s="63">
        <v>14</v>
      </c>
      <c r="E63" s="54"/>
      <c r="F63" s="54"/>
      <c r="G63" s="54">
        <v>0.6</v>
      </c>
      <c r="H63" s="54">
        <v>0.4</v>
      </c>
      <c r="I63" s="52">
        <f>IF(A63&lt;&gt;0,(B63-(B62-D62))/(A63-A62),"")</f>
        <v>7.8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30</v>
      </c>
      <c r="B64" s="63">
        <v>76</v>
      </c>
      <c r="C64" s="63">
        <v>3</v>
      </c>
      <c r="D64" s="63">
        <v>14</v>
      </c>
      <c r="E64" s="54"/>
      <c r="F64" s="54">
        <v>0.4</v>
      </c>
      <c r="G64" s="54">
        <v>0.2</v>
      </c>
      <c r="H64" s="54"/>
      <c r="I64" s="52">
        <f>IF(A64&lt;&gt;0,(B64-(B63-D63))/(A64-A63),"")</f>
        <v>7.2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35</v>
      </c>
      <c r="B65" s="63">
        <v>95</v>
      </c>
      <c r="C65" s="63">
        <v>4</v>
      </c>
      <c r="D65" s="63">
        <v>14</v>
      </c>
      <c r="E65" s="54"/>
      <c r="F65" s="54"/>
      <c r="G65" s="54"/>
      <c r="H65" s="54"/>
      <c r="I65" s="52">
        <f>IF(A65&lt;&gt;0,(B65-(B64-D64))/(A65-A64),"")</f>
        <v>6.6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40</v>
      </c>
      <c r="B66" s="63">
        <v>110</v>
      </c>
      <c r="C66" s="63">
        <v>5</v>
      </c>
      <c r="D66" s="63">
        <v>14</v>
      </c>
      <c r="E66" s="54"/>
      <c r="F66" s="54"/>
      <c r="G66" s="54"/>
      <c r="H66" s="54"/>
      <c r="I66" s="52">
        <f t="shared" ref="I66:I81" si="2">IF(A66&lt;&gt;0,(B66-(B65-D65))/(A66-A65),"")</f>
        <v>5.8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45</v>
      </c>
      <c r="B67" s="63">
        <v>120</v>
      </c>
      <c r="C67" s="63">
        <v>6</v>
      </c>
      <c r="D67" s="63">
        <v>14</v>
      </c>
      <c r="E67" s="54"/>
      <c r="F67" s="54"/>
      <c r="G67" s="54"/>
      <c r="H67" s="54"/>
      <c r="I67" s="52">
        <f t="shared" si="2"/>
        <v>4.8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50</v>
      </c>
      <c r="B68" s="63">
        <v>127</v>
      </c>
      <c r="C68" s="63">
        <v>7</v>
      </c>
      <c r="D68" s="63">
        <v>11</v>
      </c>
      <c r="E68" s="54"/>
      <c r="F68" s="54"/>
      <c r="G68" s="54"/>
      <c r="H68" s="54"/>
      <c r="I68" s="52">
        <f t="shared" si="2"/>
        <v>4.2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>
        <v>55</v>
      </c>
      <c r="B69" s="53">
        <v>134</v>
      </c>
      <c r="C69" s="53">
        <v>8</v>
      </c>
      <c r="D69" s="53">
        <v>9</v>
      </c>
      <c r="E69" s="54"/>
      <c r="F69" s="54"/>
      <c r="G69" s="54"/>
      <c r="H69" s="54"/>
      <c r="I69" s="52">
        <f t="shared" si="2"/>
        <v>3.6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>
        <v>60</v>
      </c>
      <c r="B70" s="53">
        <v>140</v>
      </c>
      <c r="C70" s="53">
        <v>9</v>
      </c>
      <c r="D70" s="53">
        <v>7</v>
      </c>
      <c r="E70" s="54"/>
      <c r="F70" s="54"/>
      <c r="G70" s="54"/>
      <c r="H70" s="54"/>
      <c r="I70" s="52">
        <f t="shared" si="2"/>
        <v>3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>
        <v>65</v>
      </c>
      <c r="B71" s="53">
        <v>146</v>
      </c>
      <c r="C71" s="53">
        <v>10</v>
      </c>
      <c r="D71" s="53">
        <v>6</v>
      </c>
      <c r="E71" s="54"/>
      <c r="F71" s="54"/>
      <c r="G71" s="54"/>
      <c r="H71" s="54"/>
      <c r="I71" s="52">
        <f t="shared" si="2"/>
        <v>2.6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>
        <v>70</v>
      </c>
      <c r="B72" s="53">
        <v>150</v>
      </c>
      <c r="C72" s="53">
        <v>11</v>
      </c>
      <c r="D72" s="53">
        <v>5</v>
      </c>
      <c r="E72" s="54"/>
      <c r="F72" s="54"/>
      <c r="G72" s="54"/>
      <c r="H72" s="54"/>
      <c r="I72" s="52">
        <f t="shared" si="2"/>
        <v>2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>
        <v>75</v>
      </c>
      <c r="B73" s="53">
        <v>155</v>
      </c>
      <c r="C73" s="53">
        <v>12</v>
      </c>
      <c r="D73" s="53">
        <v>4</v>
      </c>
      <c r="E73" s="54"/>
      <c r="F73" s="54"/>
      <c r="G73" s="54"/>
      <c r="H73" s="54"/>
      <c r="I73" s="52">
        <f t="shared" si="2"/>
        <v>2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>
        <v>80</v>
      </c>
      <c r="B74" s="53">
        <v>159</v>
      </c>
      <c r="C74" s="53">
        <v>13</v>
      </c>
      <c r="D74" s="53">
        <v>159</v>
      </c>
      <c r="E74" s="54"/>
      <c r="F74" s="54"/>
      <c r="G74" s="54"/>
      <c r="H74" s="54"/>
      <c r="I74" s="52">
        <f t="shared" si="2"/>
        <v>1.6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Chêne pubescent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25</v>
      </c>
      <c r="B88" s="63">
        <v>30</v>
      </c>
      <c r="C88" s="63">
        <v>1</v>
      </c>
      <c r="D88" s="63">
        <v>0</v>
      </c>
      <c r="E88" s="54"/>
      <c r="F88" s="54"/>
      <c r="G88" s="54"/>
      <c r="H88" s="93"/>
      <c r="I88" s="56">
        <f>IFERROR(B88/A88,"")</f>
        <v>1.2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30</v>
      </c>
      <c r="B89" s="63">
        <v>54</v>
      </c>
      <c r="C89" s="63">
        <v>2</v>
      </c>
      <c r="D89" s="63">
        <v>0</v>
      </c>
      <c r="E89" s="54"/>
      <c r="F89" s="54"/>
      <c r="G89" s="54"/>
      <c r="H89" s="93"/>
      <c r="I89" s="56">
        <f t="shared" ref="I89:I107" si="3">IF(A89&lt;&gt;0,(B89-(B88-D88))/(A89-A88),"")</f>
        <v>4.8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35</v>
      </c>
      <c r="B90" s="63">
        <v>79</v>
      </c>
      <c r="C90" s="63">
        <v>3</v>
      </c>
      <c r="D90" s="63">
        <v>13</v>
      </c>
      <c r="E90" s="93"/>
      <c r="F90" s="93"/>
      <c r="G90" s="93"/>
      <c r="H90" s="93"/>
      <c r="I90" s="56">
        <f t="shared" si="3"/>
        <v>5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40</v>
      </c>
      <c r="B91" s="63">
        <v>93</v>
      </c>
      <c r="C91" s="63">
        <v>4</v>
      </c>
      <c r="D91" s="63">
        <v>14</v>
      </c>
      <c r="E91" s="93"/>
      <c r="F91" s="93"/>
      <c r="G91" s="93"/>
      <c r="H91" s="93"/>
      <c r="I91" s="56">
        <f t="shared" si="3"/>
        <v>5.4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45</v>
      </c>
      <c r="B92" s="63">
        <v>107</v>
      </c>
      <c r="C92" s="63">
        <v>5</v>
      </c>
      <c r="D92" s="63">
        <v>14</v>
      </c>
      <c r="E92" s="93"/>
      <c r="F92" s="93"/>
      <c r="G92" s="93"/>
      <c r="H92" s="93"/>
      <c r="I92" s="56">
        <f t="shared" si="3"/>
        <v>5.6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>
        <v>50</v>
      </c>
      <c r="B93" s="63">
        <v>121</v>
      </c>
      <c r="C93" s="63">
        <v>6</v>
      </c>
      <c r="D93" s="63">
        <v>14</v>
      </c>
      <c r="E93" s="93"/>
      <c r="F93" s="93"/>
      <c r="G93" s="93"/>
      <c r="H93" s="93"/>
      <c r="I93" s="56">
        <f t="shared" si="3"/>
        <v>5.6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>
        <v>55</v>
      </c>
      <c r="B94" s="63">
        <v>135</v>
      </c>
      <c r="C94" s="63">
        <v>7</v>
      </c>
      <c r="D94" s="63">
        <v>14</v>
      </c>
      <c r="E94" s="93"/>
      <c r="F94" s="93"/>
      <c r="G94" s="93"/>
      <c r="H94" s="93"/>
      <c r="I94" s="56">
        <f t="shared" si="3"/>
        <v>5.6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>
        <v>60</v>
      </c>
      <c r="B95" s="63">
        <v>149</v>
      </c>
      <c r="C95" s="63">
        <v>8</v>
      </c>
      <c r="D95" s="63">
        <v>14</v>
      </c>
      <c r="E95" s="93"/>
      <c r="F95" s="93"/>
      <c r="G95" s="93"/>
      <c r="H95" s="93"/>
      <c r="I95" s="56">
        <f t="shared" si="3"/>
        <v>5.6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>
        <v>65</v>
      </c>
      <c r="B96" s="63">
        <v>161</v>
      </c>
      <c r="C96" s="63">
        <v>9</v>
      </c>
      <c r="D96" s="63">
        <v>14</v>
      </c>
      <c r="E96" s="93"/>
      <c r="F96" s="93"/>
      <c r="G96" s="93"/>
      <c r="H96" s="93"/>
      <c r="I96" s="56">
        <f t="shared" si="3"/>
        <v>5.2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>
        <v>70</v>
      </c>
      <c r="B97" s="63">
        <v>173</v>
      </c>
      <c r="C97" s="63">
        <v>10</v>
      </c>
      <c r="D97" s="63">
        <v>14</v>
      </c>
      <c r="E97" s="93"/>
      <c r="F97" s="93"/>
      <c r="G97" s="93"/>
      <c r="H97" s="93"/>
      <c r="I97" s="56">
        <f t="shared" si="3"/>
        <v>5.2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>
        <v>75</v>
      </c>
      <c r="B98" s="63">
        <v>183</v>
      </c>
      <c r="C98" s="63">
        <v>11</v>
      </c>
      <c r="D98" s="63">
        <v>14</v>
      </c>
      <c r="E98" s="93"/>
      <c r="F98" s="93"/>
      <c r="G98" s="93"/>
      <c r="H98" s="93"/>
      <c r="I98" s="56">
        <f t="shared" si="3"/>
        <v>4.8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>
        <v>80</v>
      </c>
      <c r="B99" s="63">
        <v>192</v>
      </c>
      <c r="C99" s="63">
        <v>12</v>
      </c>
      <c r="D99" s="63">
        <v>14</v>
      </c>
      <c r="E99" s="93"/>
      <c r="F99" s="93"/>
      <c r="G99" s="93"/>
      <c r="H99" s="93"/>
      <c r="I99" s="56">
        <f t="shared" si="3"/>
        <v>4.5999999999999996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>
        <v>85</v>
      </c>
      <c r="B100" s="63">
        <v>200</v>
      </c>
      <c r="C100" s="63">
        <v>13</v>
      </c>
      <c r="D100" s="63">
        <v>14</v>
      </c>
      <c r="E100" s="68"/>
      <c r="F100" s="68"/>
      <c r="G100" s="68"/>
      <c r="H100" s="68"/>
      <c r="I100" s="56">
        <f t="shared" si="3"/>
        <v>4.4000000000000004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>
        <v>90</v>
      </c>
      <c r="B101" s="63">
        <v>207</v>
      </c>
      <c r="C101" s="63">
        <v>14</v>
      </c>
      <c r="D101" s="63">
        <v>14</v>
      </c>
      <c r="E101" s="68"/>
      <c r="F101" s="68"/>
      <c r="G101" s="68"/>
      <c r="H101" s="68"/>
      <c r="I101" s="56">
        <f t="shared" si="3"/>
        <v>4.2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>
        <v>95</v>
      </c>
      <c r="B102" s="53">
        <v>212</v>
      </c>
      <c r="C102" s="63">
        <v>15</v>
      </c>
      <c r="D102" s="53">
        <v>14</v>
      </c>
      <c r="E102" s="57"/>
      <c r="F102" s="57"/>
      <c r="G102" s="57"/>
      <c r="H102" s="57"/>
      <c r="I102" s="56">
        <f t="shared" si="3"/>
        <v>3.8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>
        <v>100</v>
      </c>
      <c r="B103" s="53">
        <v>216</v>
      </c>
      <c r="C103" s="63">
        <v>16</v>
      </c>
      <c r="D103" s="53">
        <v>13</v>
      </c>
      <c r="E103" s="57"/>
      <c r="F103" s="57"/>
      <c r="G103" s="57"/>
      <c r="H103" s="57"/>
      <c r="I103" s="56">
        <f t="shared" si="3"/>
        <v>3.6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>
        <v>105</v>
      </c>
      <c r="B104" s="53">
        <v>220</v>
      </c>
      <c r="C104" s="63">
        <v>17</v>
      </c>
      <c r="D104" s="53">
        <v>13</v>
      </c>
      <c r="E104" s="57"/>
      <c r="F104" s="57"/>
      <c r="G104" s="57"/>
      <c r="H104" s="57"/>
      <c r="I104" s="56">
        <f t="shared" si="3"/>
        <v>3.4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>
        <v>110</v>
      </c>
      <c r="B105" s="53">
        <v>222</v>
      </c>
      <c r="C105" s="53">
        <v>18</v>
      </c>
      <c r="D105" s="53">
        <v>13</v>
      </c>
      <c r="E105" s="57"/>
      <c r="F105" s="57"/>
      <c r="G105" s="57"/>
      <c r="H105" s="57"/>
      <c r="I105" s="56">
        <f t="shared" si="3"/>
        <v>3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>
        <v>115</v>
      </c>
      <c r="B106" s="53">
        <v>223</v>
      </c>
      <c r="C106" s="53">
        <v>19</v>
      </c>
      <c r="D106" s="53">
        <v>13</v>
      </c>
      <c r="E106" s="57"/>
      <c r="F106" s="57"/>
      <c r="G106" s="57"/>
      <c r="H106" s="57"/>
      <c r="I106" s="56">
        <f t="shared" si="3"/>
        <v>2.8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>
        <v>120</v>
      </c>
      <c r="B107" s="53">
        <v>222</v>
      </c>
      <c r="C107" s="53">
        <v>20</v>
      </c>
      <c r="D107" s="53">
        <v>222</v>
      </c>
      <c r="E107" s="57"/>
      <c r="F107" s="57"/>
      <c r="G107" s="57"/>
      <c r="H107" s="57"/>
      <c r="I107" s="56">
        <f t="shared" si="3"/>
        <v>2.4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>Pin de Salzmann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>
        <v>27</v>
      </c>
      <c r="B114" s="63">
        <v>118</v>
      </c>
      <c r="C114" s="53">
        <v>1</v>
      </c>
      <c r="D114" s="63">
        <v>15</v>
      </c>
      <c r="E114" s="54"/>
      <c r="F114" s="54"/>
      <c r="G114" s="54">
        <v>1</v>
      </c>
      <c r="H114" s="54"/>
      <c r="I114" s="56">
        <f>IFERROR(B114/A114,"")</f>
        <v>4.3703703703703702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>
        <v>30</v>
      </c>
      <c r="B115" s="63">
        <v>132</v>
      </c>
      <c r="C115" s="53">
        <v>2</v>
      </c>
      <c r="D115" s="63">
        <v>13</v>
      </c>
      <c r="E115" s="54"/>
      <c r="F115" s="54">
        <v>0.2</v>
      </c>
      <c r="G115" s="54">
        <v>0.8</v>
      </c>
      <c r="H115" s="54"/>
      <c r="I115" s="56">
        <f t="shared" ref="I115:I133" si="4">IF(A115&lt;&gt;0,(B115-(B114-D114))/(A115-A114),"")</f>
        <v>9.6666666666666661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>
        <v>35</v>
      </c>
      <c r="B116" s="63">
        <v>169</v>
      </c>
      <c r="C116" s="53">
        <v>3</v>
      </c>
      <c r="D116" s="63">
        <v>23</v>
      </c>
      <c r="E116" s="54"/>
      <c r="F116" s="54"/>
      <c r="G116" s="54"/>
      <c r="H116" s="54"/>
      <c r="I116" s="56">
        <f t="shared" si="4"/>
        <v>10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>
        <v>40</v>
      </c>
      <c r="B117" s="63">
        <v>208</v>
      </c>
      <c r="C117" s="53">
        <v>4</v>
      </c>
      <c r="D117" s="63">
        <v>34</v>
      </c>
      <c r="E117" s="54"/>
      <c r="F117" s="54"/>
      <c r="G117" s="54"/>
      <c r="H117" s="54"/>
      <c r="I117" s="56">
        <f t="shared" si="4"/>
        <v>12.4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>
        <v>50</v>
      </c>
      <c r="B118" s="63">
        <v>315</v>
      </c>
      <c r="C118" s="53">
        <v>5</v>
      </c>
      <c r="D118" s="63">
        <v>79</v>
      </c>
      <c r="E118" s="54"/>
      <c r="F118" s="54"/>
      <c r="G118" s="54"/>
      <c r="H118" s="54"/>
      <c r="I118" s="56">
        <f t="shared" si="4"/>
        <v>14.1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>
        <v>60</v>
      </c>
      <c r="B119" s="63">
        <v>393</v>
      </c>
      <c r="C119" s="53">
        <v>6</v>
      </c>
      <c r="D119" s="63">
        <v>88</v>
      </c>
      <c r="E119" s="54"/>
      <c r="F119" s="54"/>
      <c r="G119" s="54"/>
      <c r="H119" s="54"/>
      <c r="I119" s="56">
        <f t="shared" si="4"/>
        <v>15.7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53">
        <v>70</v>
      </c>
      <c r="B120" s="63">
        <v>448</v>
      </c>
      <c r="C120" s="53">
        <v>7</v>
      </c>
      <c r="D120" s="63">
        <v>78</v>
      </c>
      <c r="E120" s="93"/>
      <c r="F120" s="93"/>
      <c r="G120" s="93"/>
      <c r="H120" s="93"/>
      <c r="I120" s="56">
        <f t="shared" si="4"/>
        <v>14.3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53">
        <v>80</v>
      </c>
      <c r="B121" s="63">
        <v>460</v>
      </c>
      <c r="C121" s="53">
        <v>8</v>
      </c>
      <c r="D121" s="63">
        <v>460</v>
      </c>
      <c r="E121" s="93"/>
      <c r="F121" s="93"/>
      <c r="G121" s="93"/>
      <c r="H121" s="93"/>
      <c r="I121" s="56">
        <f t="shared" si="4"/>
        <v>9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53"/>
      <c r="B122" s="63"/>
      <c r="C122" s="5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A9" sqref="A9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1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30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Cèdre de l'Atlas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Erable champêtre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Chêne pubescent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>Pin de Salzmann</v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273.21086764807194</v>
      </c>
      <c r="T3" s="62">
        <f>IF('Données projet'!E9&gt;30,$R$33-$H$33,LOOKUP('Données projet'!$E$9,$A$3:$A$203,R3:R203)-LOOKUP('Données projet'!$E$9,$A$3:$A$203,$H$3:$H$203))</f>
        <v>259.3474218586631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121.79484266530449</v>
      </c>
      <c r="AO3" s="62">
        <f>IF('Données projet'!E10&gt;30,$AM$33-$H$33,LOOKUP('Données projet'!$E$10,$A$3:$A$203,AM3:AM203)-LOOKUP('Données projet'!$E$10,$A$3:$A$203,$H$3:$H$203))</f>
        <v>129.14577359424788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201.65575435598231</v>
      </c>
      <c r="BJ3" s="62">
        <f>IF('Données projet'!E11&gt;30,$BH$33-$H$33,LOOKUP('Données projet'!$E$11,$A$3:$A$203,BH3:BH203)-LOOKUP('Données projet'!$E$11,$A$3:$A$203,$H$3:$H$203))</f>
        <v>103.75701796419935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256.66666666666669</v>
      </c>
      <c r="CD3" s="62">
        <f ca="1">AVERAGE(OFFSET($CC$3,0,0,'Données projet'!$E$12+1,1))-AVERAGE(OFFSET($H$3,0,0,'Données projet'!$E$12+1,1))</f>
        <v>222.32495275055498</v>
      </c>
      <c r="CE3" s="62">
        <f>IF('Données projet'!E12&gt;30,$CC$33-$H$33,LOOKUP('Données projet'!$E$12,$A$3:$A$203,CC3:CC203)-LOOKUP('Données projet'!$E$12,$A$3:$A$203,$H$3:$H$203))</f>
        <v>156.39259018918381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0.81120000000000003</v>
      </c>
      <c r="D4" s="12">
        <f>IFERROR(EXP(-1.0587+0.8836*LN(C4)+0.284),0)</f>
        <v>0.38305180611771755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9.2187858717858902</v>
      </c>
      <c r="H4" s="70">
        <f t="shared" ref="H4:H67" si="1">(B4+E4+F4)*44/12+(C4+D4)*0.475*44/12</f>
        <v>258.7466552289884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9.0238095238095237</v>
      </c>
      <c r="N4" s="14">
        <f>IF('Données projet'!$A$36&gt;35,N3+M4-V3,IF(A4&lt;'Données projet'!$A$36,$K$205^A4,IF(A4='Données projet'!$A$36,'Données projet'!$B$36,N3+M4-V3)))</f>
        <v>9.0238095238095237</v>
      </c>
      <c r="O4" s="14">
        <f>N4*VLOOKUP('Données projet'!$B$9,Paramètres!$A$1:$I$89,3,0)*VLOOKUP('Données projet'!$B$9,Paramètres!$A$1:$I$89,5,0)</f>
        <v>4.2231428571428564</v>
      </c>
      <c r="P4" s="14">
        <f>EXP(-1.0587+0.8836*LN(O4)+0.284)</f>
        <v>1.645749885610529</v>
      </c>
      <c r="Q4" s="22">
        <f t="shared" ref="Q4:Q34" si="2">(O4+P4)*0.475*44/12</f>
        <v>10.221654860295478</v>
      </c>
      <c r="R4" s="62">
        <f t="shared" si="0"/>
        <v>268.11054374918433</v>
      </c>
      <c r="S4" s="62">
        <f ca="1">AVERAGE(OFFSET($R$3,0,0,'Données projet'!$E$9+1,1))-AVERAGE(OFFSET($H$3,0,0,'Données projet'!$E$9+1,1))</f>
        <v>273.21086764807194</v>
      </c>
      <c r="T4" s="62">
        <f>$T$3</f>
        <v>259.3474218586631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0.9</v>
      </c>
      <c r="AI4" s="14">
        <f>IF('Données projet'!$A$62&gt;35,AI3+AH4-AQ3,IF(A4&lt;'Données projet'!$A$62,$AF$205^A4,IF(A4='Données projet'!$A$62,'Données projet'!$B$62,AI3+AH4-AQ3)))</f>
        <v>1.1554831727638066</v>
      </c>
      <c r="AJ4" s="14">
        <f>AI4*VLOOKUP('Données projet'!$B$10,Paramètres!$A$1:$I$89,3,0)*VLOOKUP('Données projet'!$B$10,Paramètres!$A$1:$I$89,5,0)</f>
        <v>1.0094300997264616</v>
      </c>
      <c r="AK4" s="14">
        <f>EXP(-1.0587+0.8836*LN(AJ4)+0.284)</f>
        <v>0.46467984937949935</v>
      </c>
      <c r="AL4" s="22">
        <f t="shared" ref="AL4:AL67" si="4">(AJ4+AK4)*0.475*44/12</f>
        <v>2.5674081613595483</v>
      </c>
      <c r="AM4" s="62">
        <f t="shared" ref="AM4:AM67" si="5">AL4+(AD4+AE4)*44/12</f>
        <v>260.45629705024839</v>
      </c>
      <c r="AN4" s="62">
        <f ca="1">AVERAGE(OFFSET($AM$3,0,0,'Données projet'!$E$10+1,1))-AVERAGE(OFFSET($H$3,0,0,'Données projet'!$E$10+1,1))</f>
        <v>121.79484266530449</v>
      </c>
      <c r="AO4" s="62">
        <f>$AO$3</f>
        <v>129.14577359424788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1.2</v>
      </c>
      <c r="BD4" s="13">
        <f>IF('Données projet'!$A$88&gt;35,BD3+BC4-BL3,IF(A4&lt;'Données projet'!$A$88,$BA$205^A4,IF(A4='Données projet'!$A$88,'Données projet'!$B$88,BD3+BC4-BL3)))</f>
        <v>1.1457367676485573</v>
      </c>
      <c r="BE4" s="14">
        <f>BD4*VLOOKUP('Données projet'!$B$11,Paramètres!$A$1:$I$89,3,0)*VLOOKUP('Données projet'!$B$11,Paramètres!$A$1:$I$89,5,0)</f>
        <v>1.161777082395637</v>
      </c>
      <c r="BF4" s="14">
        <f>EXP(-1.0587+0.8836*LN(BE4)+0.284)</f>
        <v>0.52613182870286601</v>
      </c>
      <c r="BG4" s="22">
        <f t="shared" ref="BG4:BG67" si="7">(BE4+BF4)*0.475*44/12</f>
        <v>2.9397746868298928</v>
      </c>
      <c r="BH4" s="62">
        <f t="shared" ref="BH4:BH67" si="8">BG4+(AY4+AZ4)*44/12</f>
        <v>260.82866357571874</v>
      </c>
      <c r="BI4" s="62">
        <f ca="1">AVERAGE(OFFSET($BH$3,0,0,'Données projet'!$E$11+1,1))-AVERAGE(OFFSET($H$3,0,0,'Données projet'!$E$11+1,1))</f>
        <v>201.65575435598231</v>
      </c>
      <c r="BJ4" s="62">
        <f>$BJ$3</f>
        <v>103.75701796419935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4.3703703703703702</v>
      </c>
      <c r="BY4" s="13">
        <f>IF('Données projet'!$A$114&gt;35,BY3+BX4-CG3,IF(A4&lt;'Données projet'!$A$114,$BV$205^A4,IF(A4='Données projet'!$A$114,'Données projet'!$B$114,BY3+BX4-CG3)))</f>
        <v>1.1932635389591795</v>
      </c>
      <c r="BZ4" s="14">
        <f>BY4*VLOOKUP('Données projet'!$B$12,Paramètres!$A$1:$I$89,3,0)*VLOOKUP('Données projet'!$B$12,Paramètres!$A$1:$I$89,5,0)</f>
        <v>0.71357159629758937</v>
      </c>
      <c r="CA4" s="14">
        <f>EXP(-1.0587+0.8836*LN(BZ4)+0.284)</f>
        <v>0.34201841351504586</v>
      </c>
      <c r="CB4" s="22">
        <f t="shared" ref="CB4:CB67" si="10">(BZ4+CA4)*0.475*44/12</f>
        <v>1.8384859337570063</v>
      </c>
      <c r="CC4" s="62">
        <f t="shared" ref="CC4:CC67" si="11">CB4+(BT4+BU4)*44/12</f>
        <v>259.72737482264586</v>
      </c>
      <c r="CD4" s="62">
        <f ca="1">AVERAGE(OFFSET($CC$3,0,0,'Données projet'!$E$12+1,1))-AVERAGE(OFFSET($H$3,0,0,'Données projet'!$E$12+1,1))</f>
        <v>222.32495275055498</v>
      </c>
      <c r="CE4" s="62">
        <f>$CE$3</f>
        <v>156.39259018918381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1.6224000000000001</v>
      </c>
      <c r="D5" s="12">
        <f t="shared" ref="D5:D68" si="32">IFERROR(EXP(-1.0587+0.8836*LN(C5)+0.284),0)</f>
        <v>0.70672038512206192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17.979174902696617</v>
      </c>
      <c r="H5" s="70">
        <f t="shared" si="1"/>
        <v>260.72321800408758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9.0238095238095237</v>
      </c>
      <c r="N5" s="14">
        <f>IF('Données projet'!$A$36&gt;35,N4+M5-V4,IF(A5&lt;'Données projet'!$A$36,$K$205^A5,IF(A5='Données projet'!$A$36,'Données projet'!$B$36,N4+M5-V4)))</f>
        <v>18.047619047619047</v>
      </c>
      <c r="O5" s="14">
        <f>N5*VLOOKUP('Données projet'!$B$9,Paramètres!$A$1:$I$89,3,0)*VLOOKUP('Données projet'!$B$9,Paramètres!$A$1:$I$89,5,0)</f>
        <v>8.4462857142857128</v>
      </c>
      <c r="P5" s="14">
        <f t="shared" ref="P5:P68" si="33">EXP(-1.0587+0.8836*LN(O5)+0.284)</f>
        <v>3.0363647276886327</v>
      </c>
      <c r="Q5" s="22">
        <f t="shared" si="2"/>
        <v>19.998949519771983</v>
      </c>
      <c r="R5" s="62">
        <f t="shared" si="0"/>
        <v>279.11006063088314</v>
      </c>
      <c r="S5" s="62">
        <f ca="1">AVERAGE(OFFSET($R$3,0,0,'Données projet'!$E$9+1,1))-AVERAGE(OFFSET($H$3,0,0,'Données projet'!$E$9+1,1))</f>
        <v>273.21086764807194</v>
      </c>
      <c r="T5" s="62">
        <f t="shared" ref="T5:T68" si="34">$T$3</f>
        <v>259.3474218586631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0.9</v>
      </c>
      <c r="AI5" s="14">
        <f>IF('Données projet'!$A$62&gt;35,AI4+AH5-AQ4,IF(A5&lt;'Données projet'!$A$62,$AF$205^A5,IF(A5='Données projet'!$A$62,'Données projet'!$B$62,AI4+AH5-AQ4)))</f>
        <v>1.335141362540313</v>
      </c>
      <c r="AJ5" s="14">
        <f>AI5*VLOOKUP('Données projet'!$B$10,Paramètres!$A$1:$I$89,3,0)*VLOOKUP('Données projet'!$B$10,Paramètres!$A$1:$I$89,5,0)</f>
        <v>1.1663794943152175</v>
      </c>
      <c r="AK5" s="14">
        <f t="shared" ref="AK5:AK68" si="35">EXP(-1.0587+0.8836*LN(AJ5)+0.284)</f>
        <v>0.52797307958445927</v>
      </c>
      <c r="AL5" s="22">
        <f t="shared" si="4"/>
        <v>2.9509973995419365</v>
      </c>
      <c r="AM5" s="62">
        <f t="shared" si="5"/>
        <v>262.0621085106531</v>
      </c>
      <c r="AN5" s="62">
        <f ca="1">AVERAGE(OFFSET($AM$3,0,0,'Données projet'!$E$10+1,1))-AVERAGE(OFFSET($H$3,0,0,'Données projet'!$E$10+1,1))</f>
        <v>121.79484266530449</v>
      </c>
      <c r="AO5" s="62">
        <f t="shared" ref="AO5:AO68" si="36">$AO$3</f>
        <v>129.14577359424788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1.2</v>
      </c>
      <c r="BD5" s="13">
        <f>IF('Données projet'!$A$88&gt;35,BD4+BC5-BL4,IF(A5&lt;'Données projet'!$A$88,$BA$205^A5,IF(A5='Données projet'!$A$88,'Données projet'!$B$88,BD4+BC5-BL4)))</f>
        <v>1.312712740741764</v>
      </c>
      <c r="BE5" s="14">
        <f>BD5*VLOOKUP('Données projet'!$B$11,Paramètres!$A$1:$I$89,3,0)*VLOOKUP('Données projet'!$B$11,Paramètres!$A$1:$I$89,5,0)</f>
        <v>1.3310907191121488</v>
      </c>
      <c r="BF5" s="14">
        <f t="shared" ref="BF5:BF68" si="37">EXP(-1.0587+0.8836*LN(BE5)+0.284)</f>
        <v>0.59333770733536928</v>
      </c>
      <c r="BG5" s="22">
        <f t="shared" si="7"/>
        <v>3.3517128427294267</v>
      </c>
      <c r="BH5" s="62">
        <f t="shared" si="8"/>
        <v>262.4628239538406</v>
      </c>
      <c r="BI5" s="62">
        <f ca="1">AVERAGE(OFFSET($BH$3,0,0,'Données projet'!$E$11+1,1))-AVERAGE(OFFSET($H$3,0,0,'Données projet'!$E$11+1,1))</f>
        <v>201.65575435598231</v>
      </c>
      <c r="BJ5" s="62">
        <f t="shared" ref="BJ5:BJ68" si="38">$BJ$3</f>
        <v>103.75701796419935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4.3703703703703702</v>
      </c>
      <c r="BY5" s="13">
        <f>IF('Données projet'!$A$114&gt;35,BY4+BX5-CG4,IF(A5&lt;'Données projet'!$A$114,$BV$205^A5,IF(A5='Données projet'!$A$114,'Données projet'!$B$114,BY4+BX5-CG4)))</f>
        <v>1.4238778734093853</v>
      </c>
      <c r="BZ5" s="14">
        <f>BY5*VLOOKUP('Données projet'!$B$12,Paramètres!$A$1:$I$89,3,0)*VLOOKUP('Données projet'!$B$12,Paramètres!$A$1:$I$89,5,0)</f>
        <v>0.85147896829881242</v>
      </c>
      <c r="CA5" s="14">
        <f t="shared" ref="CA5:CA68" si="39">EXP(-1.0587+0.8836*LN(BZ5)+0.284)</f>
        <v>0.39981008543020569</v>
      </c>
      <c r="CB5" s="22">
        <f t="shared" si="10"/>
        <v>2.179328435244706</v>
      </c>
      <c r="CC5" s="62">
        <f t="shared" si="11"/>
        <v>261.29043954635586</v>
      </c>
      <c r="CD5" s="62">
        <f ca="1">AVERAGE(OFFSET($CC$3,0,0,'Données projet'!$E$12+1,1))-AVERAGE(OFFSET($H$3,0,0,'Données projet'!$E$12+1,1))</f>
        <v>222.32495275055498</v>
      </c>
      <c r="CE5" s="62">
        <f t="shared" ref="CE5:CE68" si="40">$CE$3</f>
        <v>156.39259018918381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2.4336000000000002</v>
      </c>
      <c r="D6" s="12">
        <f t="shared" si="32"/>
        <v>1.0112111626203175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26.591524764086667</v>
      </c>
      <c r="H6" s="70">
        <f t="shared" si="1"/>
        <v>262.66637944156372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9.0238095238095237</v>
      </c>
      <c r="N6" s="14">
        <f>IF('Données projet'!$A$36&gt;35,N5+M6-V5,IF(A6&lt;'Données projet'!$A$36,$K$205^A6,IF(A6='Données projet'!$A$36,'Données projet'!$B$36,N5+M6-V5)))</f>
        <v>27.071428571428569</v>
      </c>
      <c r="O6" s="14">
        <f>N6*VLOOKUP('Données projet'!$B$9,Paramètres!$A$1:$I$89,3,0)*VLOOKUP('Données projet'!$B$9,Paramètres!$A$1:$I$89,5,0)</f>
        <v>12.66942857142857</v>
      </c>
      <c r="P6" s="14">
        <f t="shared" si="33"/>
        <v>4.3445837576837958</v>
      </c>
      <c r="Q6" s="22">
        <f t="shared" si="2"/>
        <v>29.6327381398707</v>
      </c>
      <c r="R6" s="62">
        <f t="shared" si="0"/>
        <v>289.96607147320401</v>
      </c>
      <c r="S6" s="62">
        <f ca="1">AVERAGE(OFFSET($R$3,0,0,'Données projet'!$E$9+1,1))-AVERAGE(OFFSET($H$3,0,0,'Données projet'!$E$9+1,1))</f>
        <v>273.21086764807194</v>
      </c>
      <c r="T6" s="62">
        <f t="shared" si="34"/>
        <v>259.3474218586631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0.9</v>
      </c>
      <c r="AI6" s="14">
        <f>IF('Données projet'!$A$62&gt;35,AI5+AH6-AQ5,IF(A6&lt;'Données projet'!$A$62,$AF$205^A6,IF(A6='Données projet'!$A$62,'Données projet'!$B$62,AI5+AH6-AQ5)))</f>
        <v>1.5427333776762726</v>
      </c>
      <c r="AJ6" s="14">
        <f>AI6*VLOOKUP('Données projet'!$B$10,Paramètres!$A$1:$I$89,3,0)*VLOOKUP('Données projet'!$B$10,Paramètres!$A$1:$I$89,5,0)</f>
        <v>1.3477318787379919</v>
      </c>
      <c r="AK6" s="14">
        <f t="shared" si="35"/>
        <v>0.59988737006377257</v>
      </c>
      <c r="AL6" s="22">
        <f t="shared" si="4"/>
        <v>3.3921035249964064</v>
      </c>
      <c r="AM6" s="62">
        <f t="shared" si="5"/>
        <v>263.72543685832972</v>
      </c>
      <c r="AN6" s="62">
        <f ca="1">AVERAGE(OFFSET($AM$3,0,0,'Données projet'!$E$10+1,1))-AVERAGE(OFFSET($H$3,0,0,'Données projet'!$E$10+1,1))</f>
        <v>121.79484266530449</v>
      </c>
      <c r="AO6" s="62">
        <f t="shared" si="36"/>
        <v>129.14577359424788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1.2</v>
      </c>
      <c r="BD6" s="13">
        <f>IF('Données projet'!$A$88&gt;35,BD5+BC6-BL5,IF(A6&lt;'Données projet'!$A$88,$BA$205^A6,IF(A6='Données projet'!$A$88,'Données projet'!$B$88,BD5+BC6-BL5)))</f>
        <v>1.5040232524285473</v>
      </c>
      <c r="BE6" s="14">
        <f>BD6*VLOOKUP('Données projet'!$B$11,Paramètres!$A$1:$I$89,3,0)*VLOOKUP('Données projet'!$B$11,Paramètres!$A$1:$I$89,5,0)</f>
        <v>1.525079577962547</v>
      </c>
      <c r="BF6" s="14">
        <f t="shared" si="37"/>
        <v>0.6691281837366525</v>
      </c>
      <c r="BG6" s="22">
        <f t="shared" si="7"/>
        <v>3.8215785182927724</v>
      </c>
      <c r="BH6" s="62">
        <f t="shared" si="8"/>
        <v>264.15491185162608</v>
      </c>
      <c r="BI6" s="62">
        <f ca="1">AVERAGE(OFFSET($BH$3,0,0,'Données projet'!$E$11+1,1))-AVERAGE(OFFSET($H$3,0,0,'Données projet'!$E$11+1,1))</f>
        <v>201.65575435598231</v>
      </c>
      <c r="BJ6" s="62">
        <f t="shared" si="38"/>
        <v>103.75701796419935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4.3703703703703702</v>
      </c>
      <c r="BY6" s="13">
        <f>IF('Données projet'!$A$114&gt;35,BY5+BX6-CG5,IF(A6&lt;'Données projet'!$A$114,$BV$205^A6,IF(A6='Données projet'!$A$114,'Données projet'!$B$114,BY5+BX6-CG5)))</f>
        <v>1.6990615502701536</v>
      </c>
      <c r="BZ6" s="14">
        <f>BY6*VLOOKUP('Données projet'!$B$12,Paramètres!$A$1:$I$89,3,0)*VLOOKUP('Données projet'!$B$12,Paramètres!$A$1:$I$89,5,0)</f>
        <v>1.0160388070615518</v>
      </c>
      <c r="CA6" s="14">
        <f t="shared" si="39"/>
        <v>0.46736695480483653</v>
      </c>
      <c r="CB6" s="22">
        <f t="shared" si="10"/>
        <v>2.5835983685839596</v>
      </c>
      <c r="CC6" s="62">
        <f t="shared" si="11"/>
        <v>262.91693170191729</v>
      </c>
      <c r="CD6" s="62">
        <f ca="1">AVERAGE(OFFSET($CC$3,0,0,'Données projet'!$E$12+1,1))-AVERAGE(OFFSET($H$3,0,0,'Données projet'!$E$12+1,1))</f>
        <v>222.32495275055498</v>
      </c>
      <c r="CE6" s="62">
        <f t="shared" si="40"/>
        <v>156.39259018918381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3.2448000000000001</v>
      </c>
      <c r="D7" s="12">
        <f t="shared" si="32"/>
        <v>1.303880297052002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35.112619836892648</v>
      </c>
      <c r="H7" s="70">
        <f t="shared" si="1"/>
        <v>264.58895151736562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9.0238095238095237</v>
      </c>
      <c r="N7" s="14">
        <f>IF('Données projet'!$A$36&gt;35,N6+M7-V6,IF(A7&lt;'Données projet'!$A$36,$K$205^A7,IF(A7='Données projet'!$A$36,'Données projet'!$B$36,N6+M7-V6)))</f>
        <v>36.095238095238095</v>
      </c>
      <c r="O7" s="14">
        <f>N7*VLOOKUP('Données projet'!$B$9,Paramètres!$A$1:$I$89,3,0)*VLOOKUP('Données projet'!$B$9,Paramètres!$A$1:$I$89,5,0)</f>
        <v>16.892571428571426</v>
      </c>
      <c r="P7" s="14">
        <f t="shared" si="33"/>
        <v>5.6020120919719671</v>
      </c>
      <c r="Q7" s="22">
        <f t="shared" si="2"/>
        <v>39.178066298279745</v>
      </c>
      <c r="R7" s="62">
        <f t="shared" si="0"/>
        <v>300.7336218538353</v>
      </c>
      <c r="S7" s="62">
        <f ca="1">AVERAGE(OFFSET($R$3,0,0,'Données projet'!$E$9+1,1))-AVERAGE(OFFSET($H$3,0,0,'Données projet'!$E$9+1,1))</f>
        <v>273.21086764807194</v>
      </c>
      <c r="T7" s="62">
        <f t="shared" si="34"/>
        <v>259.3474218586631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0.9</v>
      </c>
      <c r="AI7" s="14">
        <f>IF('Données projet'!$A$62&gt;35,AI6+AH7-AQ6,IF(A7&lt;'Données projet'!$A$62,$AF$205^A7,IF(A7='Données projet'!$A$62,'Données projet'!$B$62,AI6+AH7-AQ6)))</f>
        <v>1.7826024579660036</v>
      </c>
      <c r="AJ7" s="14">
        <f>AI7*VLOOKUP('Données projet'!$B$10,Paramètres!$A$1:$I$89,3,0)*VLOOKUP('Données projet'!$B$10,Paramètres!$A$1:$I$89,5,0)</f>
        <v>1.5572815072791011</v>
      </c>
      <c r="AK7" s="14">
        <f t="shared" si="35"/>
        <v>0.68159698037116012</v>
      </c>
      <c r="AL7" s="22">
        <f t="shared" si="4"/>
        <v>3.8993800326575379</v>
      </c>
      <c r="AM7" s="62">
        <f t="shared" si="5"/>
        <v>265.45493558821306</v>
      </c>
      <c r="AN7" s="62">
        <f ca="1">AVERAGE(OFFSET($AM$3,0,0,'Données projet'!$E$10+1,1))-AVERAGE(OFFSET($H$3,0,0,'Données projet'!$E$10+1,1))</f>
        <v>121.79484266530449</v>
      </c>
      <c r="AO7" s="62">
        <f t="shared" si="36"/>
        <v>129.14577359424788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1.2</v>
      </c>
      <c r="BD7" s="13">
        <f>IF('Données projet'!$A$88&gt;35,BD6+BC7-BL6,IF(A7&lt;'Données projet'!$A$88,$BA$205^A7,IF(A7='Données projet'!$A$88,'Données projet'!$B$88,BD6+BC7-BL6)))</f>
        <v>1.7232147397057538</v>
      </c>
      <c r="BE7" s="14">
        <f>BD7*VLOOKUP('Données projet'!$B$11,Paramètres!$A$1:$I$89,3,0)*VLOOKUP('Données projet'!$B$11,Paramètres!$A$1:$I$89,5,0)</f>
        <v>1.7473397460616347</v>
      </c>
      <c r="BF7" s="14">
        <f t="shared" si="37"/>
        <v>0.7545998185105095</v>
      </c>
      <c r="BG7" s="22">
        <f t="shared" si="7"/>
        <v>4.3575447416298188</v>
      </c>
      <c r="BH7" s="62">
        <f t="shared" si="8"/>
        <v>265.91310029718534</v>
      </c>
      <c r="BI7" s="62">
        <f ca="1">AVERAGE(OFFSET($BH$3,0,0,'Données projet'!$E$11+1,1))-AVERAGE(OFFSET($H$3,0,0,'Données projet'!$E$11+1,1))</f>
        <v>201.65575435598231</v>
      </c>
      <c r="BJ7" s="62">
        <f t="shared" si="38"/>
        <v>103.75701796419935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4.3703703703703702</v>
      </c>
      <c r="BY7" s="13">
        <f>IF('Données projet'!$A$114&gt;35,BY6+BX7-CG6,IF(A7&lt;'Données projet'!$A$114,$BV$205^A7,IF(A7='Données projet'!$A$114,'Données projet'!$B$114,BY6+BX7-CG6)))</f>
        <v>2.0274281983848335</v>
      </c>
      <c r="BZ7" s="14">
        <f>BY7*VLOOKUP('Données projet'!$B$12,Paramètres!$A$1:$I$89,3,0)*VLOOKUP('Données projet'!$B$12,Paramètres!$A$1:$I$89,5,0)</f>
        <v>1.2124020626341305</v>
      </c>
      <c r="CA7" s="14">
        <f t="shared" si="39"/>
        <v>0.54633907048269681</v>
      </c>
      <c r="CB7" s="22">
        <f t="shared" si="10"/>
        <v>3.0631408068451407</v>
      </c>
      <c r="CC7" s="62">
        <f t="shared" si="11"/>
        <v>264.61869636240067</v>
      </c>
      <c r="CD7" s="62">
        <f ca="1">AVERAGE(OFFSET($CC$3,0,0,'Données projet'!$E$12+1,1))-AVERAGE(OFFSET($H$3,0,0,'Données projet'!$E$12+1,1))</f>
        <v>222.32495275055498</v>
      </c>
      <c r="CE7" s="62">
        <f t="shared" si="40"/>
        <v>156.39259018918381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4.056</v>
      </c>
      <c r="D8" s="12">
        <f t="shared" si="32"/>
        <v>1.588061840572724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43.56819666407015</v>
      </c>
      <c r="H8" s="70">
        <f t="shared" si="1"/>
        <v>266.49674103899753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9.0238095238095237</v>
      </c>
      <c r="N8" s="14">
        <f>IF('Données projet'!$A$36&gt;35,N7+M8-V7,IF(A8&lt;'Données projet'!$A$36,$K$205^A8,IF(A8='Données projet'!$A$36,'Données projet'!$B$36,N7+M8-V7)))</f>
        <v>45.11904761904762</v>
      </c>
      <c r="O8" s="14">
        <f>N8*VLOOKUP('Données projet'!$B$9,Paramètres!$A$1:$I$89,3,0)*VLOOKUP('Données projet'!$B$9,Paramètres!$A$1:$I$89,5,0)</f>
        <v>21.115714285714287</v>
      </c>
      <c r="P8" s="14">
        <f t="shared" si="33"/>
        <v>6.8229742053789595</v>
      </c>
      <c r="Q8" s="22">
        <f t="shared" si="2"/>
        <v>48.659882455320734</v>
      </c>
      <c r="R8" s="62">
        <f t="shared" si="0"/>
        <v>311.43766023309848</v>
      </c>
      <c r="S8" s="62">
        <f ca="1">AVERAGE(OFFSET($R$3,0,0,'Données projet'!$E$9+1,1))-AVERAGE(OFFSET($H$3,0,0,'Données projet'!$E$9+1,1))</f>
        <v>273.21086764807194</v>
      </c>
      <c r="T8" s="62">
        <f t="shared" si="34"/>
        <v>259.3474218586631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0.9</v>
      </c>
      <c r="AI8" s="14">
        <f>IF('Données projet'!$A$62&gt;35,AI7+AH8-AQ7,IF(A8&lt;'Données projet'!$A$62,$AF$205^A8,IF(A8='Données projet'!$A$62,'Données projet'!$B$62,AI7+AH8-AQ7)))</f>
        <v>2.0597671439071181</v>
      </c>
      <c r="AJ8" s="14">
        <f>AI8*VLOOKUP('Données projet'!$B$10,Paramètres!$A$1:$I$89,3,0)*VLOOKUP('Données projet'!$B$10,Paramètres!$A$1:$I$89,5,0)</f>
        <v>1.7994125769172586</v>
      </c>
      <c r="AK8" s="14">
        <f t="shared" si="35"/>
        <v>0.77443611390200762</v>
      </c>
      <c r="AL8" s="22">
        <f t="shared" si="4"/>
        <v>4.4827864698435551</v>
      </c>
      <c r="AM8" s="62">
        <f t="shared" si="5"/>
        <v>267.26056424762135</v>
      </c>
      <c r="AN8" s="62">
        <f ca="1">AVERAGE(OFFSET($AM$3,0,0,'Données projet'!$E$10+1,1))-AVERAGE(OFFSET($H$3,0,0,'Données projet'!$E$10+1,1))</f>
        <v>121.79484266530449</v>
      </c>
      <c r="AO8" s="62">
        <f t="shared" si="36"/>
        <v>129.14577359424788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1.2</v>
      </c>
      <c r="BD8" s="13">
        <f>IF('Données projet'!$A$88&gt;35,BD7+BC8-BL7,IF(A8&lt;'Données projet'!$A$88,$BA$205^A8,IF(A8='Données projet'!$A$88,'Données projet'!$B$88,BD7+BC8-BL7)))</f>
        <v>1.9743504858348202</v>
      </c>
      <c r="BE8" s="14">
        <f>BD8*VLOOKUP('Données projet'!$B$11,Paramètres!$A$1:$I$89,3,0)*VLOOKUP('Données projet'!$B$11,Paramètres!$A$1:$I$89,5,0)</f>
        <v>2.0019913926365076</v>
      </c>
      <c r="BF8" s="14">
        <f t="shared" si="37"/>
        <v>0.85098924232460604</v>
      </c>
      <c r="BG8" s="22">
        <f t="shared" si="7"/>
        <v>4.9689412725572728</v>
      </c>
      <c r="BH8" s="62">
        <f t="shared" si="8"/>
        <v>267.74671905033506</v>
      </c>
      <c r="BI8" s="62">
        <f ca="1">AVERAGE(OFFSET($BH$3,0,0,'Données projet'!$E$11+1,1))-AVERAGE(OFFSET($H$3,0,0,'Données projet'!$E$11+1,1))</f>
        <v>201.65575435598231</v>
      </c>
      <c r="BJ8" s="62">
        <f t="shared" si="38"/>
        <v>103.75701796419935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4.3703703703703702</v>
      </c>
      <c r="BY8" s="13">
        <f>IF('Données projet'!$A$114&gt;35,BY7+BX8-CG7,IF(A8&lt;'Données projet'!$A$114,$BV$205^A8,IF(A8='Données projet'!$A$114,'Données projet'!$B$114,BY7+BX8-CG7)))</f>
        <v>2.4192561469903198</v>
      </c>
      <c r="BZ8" s="14">
        <f>BY8*VLOOKUP('Données projet'!$B$12,Paramètres!$A$1:$I$89,3,0)*VLOOKUP('Données projet'!$B$12,Paramètres!$A$1:$I$89,5,0)</f>
        <v>1.4467151759002115</v>
      </c>
      <c r="CA8" s="14">
        <f t="shared" si="39"/>
        <v>0.63865529401953391</v>
      </c>
      <c r="CB8" s="22">
        <f t="shared" si="10"/>
        <v>3.6320202351102231</v>
      </c>
      <c r="CC8" s="62">
        <f t="shared" si="11"/>
        <v>266.40979801288802</v>
      </c>
      <c r="CD8" s="62">
        <f ca="1">AVERAGE(OFFSET($CC$3,0,0,'Données projet'!$E$12+1,1))-AVERAGE(OFFSET($H$3,0,0,'Données projet'!$E$12+1,1))</f>
        <v>222.32495275055498</v>
      </c>
      <c r="CE8" s="62">
        <f t="shared" si="40"/>
        <v>156.39259018918381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4.8672000000000004</v>
      </c>
      <c r="D9" s="12">
        <f t="shared" si="32"/>
        <v>1.8656576757326089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51.972936444251722</v>
      </c>
      <c r="H9" s="70">
        <f t="shared" si="1"/>
        <v>268.39306045190096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9.0238095238095237</v>
      </c>
      <c r="N9" s="14">
        <f>IF('Données projet'!$A$36&gt;35,N8+M9-V8,IF(A9&lt;'Données projet'!$A$36,$K$205^A9,IF(A9='Données projet'!$A$36,'Données projet'!$B$36,N8+M9-V8)))</f>
        <v>54.142857142857146</v>
      </c>
      <c r="O9" s="14">
        <f>N9*VLOOKUP('Données projet'!$B$9,Paramètres!$A$1:$I$89,3,0)*VLOOKUP('Données projet'!$B$9,Paramètres!$A$1:$I$89,5,0)</f>
        <v>25.338857142857144</v>
      </c>
      <c r="P9" s="14">
        <f t="shared" si="33"/>
        <v>8.0156413764089276</v>
      </c>
      <c r="Q9" s="22">
        <f t="shared" si="2"/>
        <v>58.092418254388406</v>
      </c>
      <c r="R9" s="62">
        <f t="shared" si="0"/>
        <v>322.09241825438841</v>
      </c>
      <c r="S9" s="62">
        <f ca="1">AVERAGE(OFFSET($R$3,0,0,'Données projet'!$E$9+1,1))-AVERAGE(OFFSET($H$3,0,0,'Données projet'!$E$9+1,1))</f>
        <v>273.21086764807194</v>
      </c>
      <c r="T9" s="62">
        <f t="shared" si="34"/>
        <v>259.3474218586631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0.9</v>
      </c>
      <c r="AI9" s="14">
        <f>IF('Données projet'!$A$62&gt;35,AI8+AH9-AQ8,IF(A9&lt;'Données projet'!$A$62,$AF$205^A9,IF(A9='Données projet'!$A$62,'Données projet'!$B$62,AI8+AH9-AQ8)))</f>
        <v>2.3800262745964411</v>
      </c>
      <c r="AJ9" s="14">
        <f>AI9*VLOOKUP('Données projet'!$B$10,Paramètres!$A$1:$I$89,3,0)*VLOOKUP('Données projet'!$B$10,Paramètres!$A$1:$I$89,5,0)</f>
        <v>2.0791909534874513</v>
      </c>
      <c r="AK9" s="14">
        <f t="shared" si="35"/>
        <v>0.87992070356451979</v>
      </c>
      <c r="AL9" s="22">
        <f t="shared" si="4"/>
        <v>5.1537861360321822</v>
      </c>
      <c r="AM9" s="62">
        <f t="shared" si="5"/>
        <v>269.15378613603218</v>
      </c>
      <c r="AN9" s="62">
        <f ca="1">AVERAGE(OFFSET($AM$3,0,0,'Données projet'!$E$10+1,1))-AVERAGE(OFFSET($H$3,0,0,'Données projet'!$E$10+1,1))</f>
        <v>121.79484266530449</v>
      </c>
      <c r="AO9" s="62">
        <f t="shared" si="36"/>
        <v>129.14577359424788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1.2</v>
      </c>
      <c r="BD9" s="13">
        <f>IF('Données projet'!$A$88&gt;35,BD8+BC9-BL8,IF(A9&lt;'Données projet'!$A$88,$BA$205^A9,IF(A9='Données projet'!$A$88,'Données projet'!$B$88,BD8+BC9-BL8)))</f>
        <v>2.2620859438457455</v>
      </c>
      <c r="BE9" s="14">
        <f>BD9*VLOOKUP('Données projet'!$B$11,Paramètres!$A$1:$I$89,3,0)*VLOOKUP('Données projet'!$B$11,Paramètres!$A$1:$I$89,5,0)</f>
        <v>2.2937551470595863</v>
      </c>
      <c r="BF9" s="14">
        <f t="shared" si="37"/>
        <v>0.95969104787443238</v>
      </c>
      <c r="BG9" s="22">
        <f t="shared" si="7"/>
        <v>5.6664187895100824</v>
      </c>
      <c r="BH9" s="62">
        <f t="shared" si="8"/>
        <v>269.66641878951009</v>
      </c>
      <c r="BI9" s="62">
        <f ca="1">AVERAGE(OFFSET($BH$3,0,0,'Données projet'!$E$11+1,1))-AVERAGE(OFFSET($H$3,0,0,'Données projet'!$E$11+1,1))</f>
        <v>201.65575435598231</v>
      </c>
      <c r="BJ9" s="62">
        <f t="shared" si="38"/>
        <v>103.75701796419935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4.3703703703703702</v>
      </c>
      <c r="BY9" s="13">
        <f>IF('Données projet'!$A$114&gt;35,BY8+BX9-CG8,IF(A9&lt;'Données projet'!$A$114,$BV$205^A9,IF(A9='Données projet'!$A$114,'Données projet'!$B$114,BY8+BX9-CG8)))</f>
        <v>2.8868101516064182</v>
      </c>
      <c r="BZ9" s="14">
        <f>BY9*VLOOKUP('Données projet'!$B$12,Paramètres!$A$1:$I$89,3,0)*VLOOKUP('Données projet'!$B$12,Paramètres!$A$1:$I$89,5,0)</f>
        <v>1.7263124706606381</v>
      </c>
      <c r="CA9" s="14">
        <f t="shared" si="39"/>
        <v>0.7465704113359678</v>
      </c>
      <c r="CB9" s="22">
        <f t="shared" si="10"/>
        <v>4.3069376861440878</v>
      </c>
      <c r="CC9" s="62">
        <f t="shared" si="11"/>
        <v>268.30693768614407</v>
      </c>
      <c r="CD9" s="62">
        <f ca="1">AVERAGE(OFFSET($CC$3,0,0,'Données projet'!$E$12+1,1))-AVERAGE(OFFSET($H$3,0,0,'Données projet'!$E$12+1,1))</f>
        <v>222.32495275055498</v>
      </c>
      <c r="CE9" s="62">
        <f t="shared" si="40"/>
        <v>156.39259018918381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5.6784000000000008</v>
      </c>
      <c r="D10" s="12">
        <f t="shared" si="32"/>
        <v>2.1378938726743604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60.336303578538924</v>
      </c>
      <c r="H10" s="70">
        <f t="shared" si="1"/>
        <v>270.28004516157455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9.0238095238095237</v>
      </c>
      <c r="N10" s="14">
        <f>IF('Données projet'!$A$36&gt;35,N9+M10-V9,IF(A10&lt;'Données projet'!$A$36,$K$205^A10,IF(A10='Données projet'!$A$36,'Données projet'!$B$36,N9+M10-V9)))</f>
        <v>63.166666666666671</v>
      </c>
      <c r="O10" s="14">
        <f>N10*VLOOKUP('Données projet'!$B$9,Paramètres!$A$1:$I$89,3,0)*VLOOKUP('Données projet'!$B$9,Paramètres!$A$1:$I$89,5,0)</f>
        <v>29.562000000000005</v>
      </c>
      <c r="P10" s="14">
        <f t="shared" si="33"/>
        <v>9.1852813123664294</v>
      </c>
      <c r="Q10" s="22">
        <f t="shared" si="2"/>
        <v>67.484848285704871</v>
      </c>
      <c r="R10" s="62">
        <f t="shared" si="0"/>
        <v>332.70707050792709</v>
      </c>
      <c r="S10" s="62">
        <f ca="1">AVERAGE(OFFSET($R$3,0,0,'Données projet'!$E$9+1,1))-AVERAGE(OFFSET($H$3,0,0,'Données projet'!$E$9+1,1))</f>
        <v>273.21086764807194</v>
      </c>
      <c r="T10" s="62">
        <f t="shared" si="34"/>
        <v>259.3474218586631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0.9</v>
      </c>
      <c r="AI10" s="14">
        <f>IF('Données projet'!$A$62&gt;35,AI9+AH10-AQ9,IF(A10&lt;'Données projet'!$A$62,$AF$205^A10,IF(A10='Données projet'!$A$62,'Données projet'!$B$62,AI9+AH10-AQ9)))</f>
        <v>2.7500803110319185</v>
      </c>
      <c r="AJ10" s="14">
        <f>AI10*VLOOKUP('Données projet'!$B$10,Paramètres!$A$1:$I$89,3,0)*VLOOKUP('Données projet'!$B$10,Paramètres!$A$1:$I$89,5,0)</f>
        <v>2.4024701597174842</v>
      </c>
      <c r="AK10" s="14">
        <f t="shared" si="35"/>
        <v>0.9997731648390682</v>
      </c>
      <c r="AL10" s="22">
        <f t="shared" si="4"/>
        <v>5.9255737902693291</v>
      </c>
      <c r="AM10" s="62">
        <f t="shared" si="5"/>
        <v>271.14779601249154</v>
      </c>
      <c r="AN10" s="62">
        <f ca="1">AVERAGE(OFFSET($AM$3,0,0,'Données projet'!$E$10+1,1))-AVERAGE(OFFSET($H$3,0,0,'Données projet'!$E$10+1,1))</f>
        <v>121.79484266530449</v>
      </c>
      <c r="AO10" s="62">
        <f t="shared" si="36"/>
        <v>129.14577359424788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1.2</v>
      </c>
      <c r="BD10" s="13">
        <f>IF('Données projet'!$A$88&gt;35,BD9+BC10-BL9,IF(A10&lt;'Données projet'!$A$88,$BA$205^A10,IF(A10='Données projet'!$A$88,'Données projet'!$B$88,BD9+BC10-BL9)))</f>
        <v>2.5917550374450604</v>
      </c>
      <c r="BE10" s="14">
        <f>BD10*VLOOKUP('Données projet'!$B$11,Paramètres!$A$1:$I$89,3,0)*VLOOKUP('Données projet'!$B$11,Paramètres!$A$1:$I$89,5,0)</f>
        <v>2.6280396079692911</v>
      </c>
      <c r="BF10" s="14">
        <f t="shared" si="37"/>
        <v>1.082277967291873</v>
      </c>
      <c r="BG10" s="22">
        <f t="shared" si="7"/>
        <v>6.4621364435798609</v>
      </c>
      <c r="BH10" s="62">
        <f t="shared" si="8"/>
        <v>271.68435866580211</v>
      </c>
      <c r="BI10" s="62">
        <f ca="1">AVERAGE(OFFSET($BH$3,0,0,'Données projet'!$E$11+1,1))-AVERAGE(OFFSET($H$3,0,0,'Données projet'!$E$11+1,1))</f>
        <v>201.65575435598231</v>
      </c>
      <c r="BJ10" s="62">
        <f t="shared" si="38"/>
        <v>103.75701796419935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4.3703703703703702</v>
      </c>
      <c r="BY10" s="13">
        <f>IF('Données projet'!$A$114&gt;35,BY9+BX10-CG9,IF(A10&lt;'Données projet'!$A$114,$BV$205^A10,IF(A10='Données projet'!$A$114,'Données projet'!$B$114,BY9+BX10-CG9)))</f>
        <v>3.4447252978091596</v>
      </c>
      <c r="BZ10" s="14">
        <f>BY10*VLOOKUP('Données projet'!$B$12,Paramètres!$A$1:$I$89,3,0)*VLOOKUP('Données projet'!$B$12,Paramètres!$A$1:$I$89,5,0)</f>
        <v>2.0599457280898776</v>
      </c>
      <c r="CA10" s="14">
        <f t="shared" si="39"/>
        <v>0.87272020493939328</v>
      </c>
      <c r="CB10" s="22">
        <f t="shared" si="10"/>
        <v>5.1077265000259793</v>
      </c>
      <c r="CC10" s="62">
        <f t="shared" si="11"/>
        <v>270.32994872224822</v>
      </c>
      <c r="CD10" s="62">
        <f ca="1">AVERAGE(OFFSET($CC$3,0,0,'Données projet'!$E$12+1,1))-AVERAGE(OFFSET($H$3,0,0,'Données projet'!$E$12+1,1))</f>
        <v>222.32495275055498</v>
      </c>
      <c r="CE10" s="62">
        <f t="shared" si="40"/>
        <v>156.39259018918381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6.4896000000000011</v>
      </c>
      <c r="D11" s="12">
        <f t="shared" si="32"/>
        <v>2.4056244376575933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68.664890395953364</v>
      </c>
      <c r="H11" s="70">
        <f t="shared" si="1"/>
        <v>272.15918256225365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9.0238095238095237</v>
      </c>
      <c r="N11" s="14">
        <f>IF('Données projet'!$A$36&gt;35,N10+M11-V10,IF(A11&lt;'Données projet'!$A$36,$K$205^A11,IF(A11='Données projet'!$A$36,'Données projet'!$B$36,N10+M11-V10)))</f>
        <v>72.19047619047619</v>
      </c>
      <c r="O11" s="14">
        <f>N11*VLOOKUP('Données projet'!$B$9,Paramètres!$A$1:$I$89,3,0)*VLOOKUP('Données projet'!$B$9,Paramètres!$A$1:$I$89,5,0)</f>
        <v>33.785142857142851</v>
      </c>
      <c r="P11" s="14">
        <f t="shared" si="33"/>
        <v>10.33556317935804</v>
      </c>
      <c r="Q11" s="22">
        <f t="shared" si="2"/>
        <v>76.843563013572378</v>
      </c>
      <c r="R11" s="62">
        <f t="shared" si="0"/>
        <v>343.28800745801686</v>
      </c>
      <c r="S11" s="62">
        <f ca="1">AVERAGE(OFFSET($R$3,0,0,'Données projet'!$E$9+1,1))-AVERAGE(OFFSET($H$3,0,0,'Données projet'!$E$9+1,1))</f>
        <v>273.21086764807194</v>
      </c>
      <c r="T11" s="62">
        <f t="shared" si="34"/>
        <v>259.3474218586631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0.9</v>
      </c>
      <c r="AI11" s="14">
        <f>IF('Données projet'!$A$62&gt;35,AI10+AH11-AQ10,IF(A11&lt;'Données projet'!$A$62,$AF$205^A11,IF(A11='Données projet'!$A$62,'Données projet'!$B$62,AI10+AH11-AQ10)))</f>
        <v>3.1776715231464374</v>
      </c>
      <c r="AJ11" s="14">
        <f>AI11*VLOOKUP('Données projet'!$B$10,Paramètres!$A$1:$I$89,3,0)*VLOOKUP('Données projet'!$B$10,Paramètres!$A$1:$I$89,5,0)</f>
        <v>2.7760138426207281</v>
      </c>
      <c r="AK11" s="14">
        <f t="shared" si="35"/>
        <v>1.135950520408497</v>
      </c>
      <c r="AL11" s="22">
        <f t="shared" si="4"/>
        <v>6.8133379322758998</v>
      </c>
      <c r="AM11" s="62">
        <f t="shared" si="5"/>
        <v>273.25778237672034</v>
      </c>
      <c r="AN11" s="62">
        <f ca="1">AVERAGE(OFFSET($AM$3,0,0,'Données projet'!$E$10+1,1))-AVERAGE(OFFSET($H$3,0,0,'Données projet'!$E$10+1,1))</f>
        <v>121.79484266530449</v>
      </c>
      <c r="AO11" s="62">
        <f t="shared" si="36"/>
        <v>129.14577359424788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1.2</v>
      </c>
      <c r="BD11" s="13">
        <f>IF('Données projet'!$A$88&gt;35,BD10+BC11-BL10,IF(A11&lt;'Données projet'!$A$88,$BA$205^A11,IF(A11='Données projet'!$A$88,'Données projet'!$B$88,BD10+BC11-BL10)))</f>
        <v>2.9694690391391689</v>
      </c>
      <c r="BE11" s="14">
        <f>BD11*VLOOKUP('Données projet'!$B$11,Paramètres!$A$1:$I$89,3,0)*VLOOKUP('Données projet'!$B$11,Paramètres!$A$1:$I$89,5,0)</f>
        <v>3.0110416056871174</v>
      </c>
      <c r="BF11" s="14">
        <f t="shared" si="37"/>
        <v>1.2205236269315363</v>
      </c>
      <c r="BG11" s="22">
        <f t="shared" si="7"/>
        <v>7.3699761134774882</v>
      </c>
      <c r="BH11" s="62">
        <f t="shared" si="8"/>
        <v>273.81442055792195</v>
      </c>
      <c r="BI11" s="62">
        <f ca="1">AVERAGE(OFFSET($BH$3,0,0,'Données projet'!$E$11+1,1))-AVERAGE(OFFSET($H$3,0,0,'Données projet'!$E$11+1,1))</f>
        <v>201.65575435598231</v>
      </c>
      <c r="BJ11" s="62">
        <f t="shared" si="38"/>
        <v>103.75701796419935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4.3703703703703702</v>
      </c>
      <c r="BY11" s="13">
        <f>IF('Données projet'!$A$114&gt;35,BY10+BX11-CG10,IF(A11&lt;'Données projet'!$A$114,$BV$205^A11,IF(A11='Données projet'!$A$114,'Données projet'!$B$114,BY10+BX11-CG10)))</f>
        <v>4.110465099605972</v>
      </c>
      <c r="BZ11" s="14">
        <f>BY11*VLOOKUP('Données projet'!$B$12,Paramètres!$A$1:$I$89,3,0)*VLOOKUP('Données projet'!$B$12,Paramètres!$A$1:$I$89,5,0)</f>
        <v>2.4580581295643715</v>
      </c>
      <c r="CA11" s="14">
        <f t="shared" si="39"/>
        <v>1.0201858318313493</v>
      </c>
      <c r="CB11" s="22">
        <f t="shared" si="10"/>
        <v>6.0579415660975471</v>
      </c>
      <c r="CC11" s="62">
        <f t="shared" si="11"/>
        <v>272.50238601054201</v>
      </c>
      <c r="CD11" s="62">
        <f ca="1">AVERAGE(OFFSET($CC$3,0,0,'Données projet'!$E$12+1,1))-AVERAGE(OFFSET($H$3,0,0,'Données projet'!$E$12+1,1))</f>
        <v>222.32495275055498</v>
      </c>
      <c r="CE11" s="62">
        <f t="shared" si="40"/>
        <v>156.39259018918381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7.3008000000000015</v>
      </c>
      <c r="D12" s="12">
        <f t="shared" si="32"/>
        <v>2.6694770761469542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76.96354234218704</v>
      </c>
      <c r="H12" s="70">
        <f t="shared" si="1"/>
        <v>274.03156590762262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9.0238095238095237</v>
      </c>
      <c r="N12" s="14">
        <f>IF('Données projet'!$A$36&gt;35,N11+M12-V11,IF(A12&lt;'Données projet'!$A$36,$K$205^A12,IF(A12='Données projet'!$A$36,'Données projet'!$B$36,N11+M12-V11)))</f>
        <v>81.214285714285708</v>
      </c>
      <c r="O12" s="14">
        <f>N12*VLOOKUP('Données projet'!$B$9,Paramètres!$A$1:$I$89,3,0)*VLOOKUP('Données projet'!$B$9,Paramètres!$A$1:$I$89,5,0)</f>
        <v>38.008285714285712</v>
      </c>
      <c r="P12" s="14">
        <f t="shared" si="33"/>
        <v>11.469183861147634</v>
      </c>
      <c r="Q12" s="22">
        <f t="shared" si="2"/>
        <v>86.173259510546401</v>
      </c>
      <c r="R12" s="62">
        <f t="shared" si="0"/>
        <v>353.8399261772131</v>
      </c>
      <c r="S12" s="62">
        <f ca="1">AVERAGE(OFFSET($R$3,0,0,'Données projet'!$E$9+1,1))-AVERAGE(OFFSET($H$3,0,0,'Données projet'!$E$9+1,1))</f>
        <v>273.21086764807194</v>
      </c>
      <c r="T12" s="62">
        <f t="shared" si="34"/>
        <v>259.3474218586631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0.9</v>
      </c>
      <c r="AI12" s="14">
        <f>IF('Données projet'!$A$62&gt;35,AI11+AH12-AQ11,IF(A12&lt;'Données projet'!$A$62,$AF$205^A12,IF(A12='Données projet'!$A$62,'Données projet'!$B$62,AI11+AH12-AQ11)))</f>
        <v>3.6717459735664435</v>
      </c>
      <c r="AJ12" s="14">
        <f>AI12*VLOOKUP('Données projet'!$B$10,Paramètres!$A$1:$I$89,3,0)*VLOOKUP('Données projet'!$B$10,Paramètres!$A$1:$I$89,5,0)</f>
        <v>3.2076372825076458</v>
      </c>
      <c r="AK12" s="14">
        <f t="shared" si="35"/>
        <v>1.290676355595167</v>
      </c>
      <c r="AL12" s="22">
        <f t="shared" si="4"/>
        <v>7.834562919695732</v>
      </c>
      <c r="AM12" s="62">
        <f t="shared" si="5"/>
        <v>275.5012295863624</v>
      </c>
      <c r="AN12" s="62">
        <f ca="1">AVERAGE(OFFSET($AM$3,0,0,'Données projet'!$E$10+1,1))-AVERAGE(OFFSET($H$3,0,0,'Données projet'!$E$10+1,1))</f>
        <v>121.79484266530449</v>
      </c>
      <c r="AO12" s="62">
        <f t="shared" si="36"/>
        <v>129.14577359424788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1.2</v>
      </c>
      <c r="BD12" s="13">
        <f>IF('Données projet'!$A$88&gt;35,BD11+BC12-BL11,IF(A12&lt;'Données projet'!$A$88,$BA$205^A12,IF(A12='Données projet'!$A$88,'Données projet'!$B$88,BD11+BC12-BL11)))</f>
        <v>3.4022298585357786</v>
      </c>
      <c r="BE12" s="14">
        <f>BD12*VLOOKUP('Données projet'!$B$11,Paramètres!$A$1:$I$89,3,0)*VLOOKUP('Données projet'!$B$11,Paramètres!$A$1:$I$89,5,0)</f>
        <v>3.4498610765552797</v>
      </c>
      <c r="BF12" s="14">
        <f t="shared" si="37"/>
        <v>1.3764282087582862</v>
      </c>
      <c r="BG12" s="22">
        <f t="shared" si="7"/>
        <v>8.4057871719211263</v>
      </c>
      <c r="BH12" s="62">
        <f t="shared" si="8"/>
        <v>276.07245383858782</v>
      </c>
      <c r="BI12" s="62">
        <f ca="1">AVERAGE(OFFSET($BH$3,0,0,'Données projet'!$E$11+1,1))-AVERAGE(OFFSET($H$3,0,0,'Données projet'!$E$11+1,1))</f>
        <v>201.65575435598231</v>
      </c>
      <c r="BJ12" s="62">
        <f t="shared" si="38"/>
        <v>103.75701796419935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4.3703703703703702</v>
      </c>
      <c r="BY12" s="13">
        <f>IF('Données projet'!$A$114&gt;35,BY11+BX12-CG11,IF(A12&lt;'Données projet'!$A$114,$BV$205^A12,IF(A12='Données projet'!$A$114,'Données projet'!$B$114,BY11+BX12-CG11)))</f>
        <v>4.9048681315240179</v>
      </c>
      <c r="BZ12" s="14">
        <f>BY12*VLOOKUP('Données projet'!$B$12,Paramètres!$A$1:$I$89,3,0)*VLOOKUP('Données projet'!$B$12,Paramètres!$A$1:$I$89,5,0)</f>
        <v>2.9331111426513625</v>
      </c>
      <c r="CA12" s="14">
        <f t="shared" si="39"/>
        <v>1.192569079504352</v>
      </c>
      <c r="CB12" s="22">
        <f t="shared" si="10"/>
        <v>7.1855597202545356</v>
      </c>
      <c r="CC12" s="62">
        <f t="shared" si="11"/>
        <v>274.85222638692125</v>
      </c>
      <c r="CD12" s="62">
        <f ca="1">AVERAGE(OFFSET($CC$3,0,0,'Données projet'!$E$12+1,1))-AVERAGE(OFFSET($H$3,0,0,'Données projet'!$E$12+1,1))</f>
        <v>222.32495275055498</v>
      </c>
      <c r="CE12" s="62">
        <f t="shared" si="40"/>
        <v>156.39259018918381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8.1120000000000019</v>
      </c>
      <c r="D13" s="12">
        <f t="shared" si="32"/>
        <v>2.9299318202987461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85.235964928621911</v>
      </c>
      <c r="H13" s="70">
        <f t="shared" si="1"/>
        <v>275.89803125368701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9.0238095238095237</v>
      </c>
      <c r="N13" s="14">
        <f>IF('Données projet'!$A$36&gt;35,N12+M13-V12,IF(A13&lt;'Données projet'!$A$36,$K$205^A13,IF(A13='Données projet'!$A$36,'Données projet'!$B$36,N12+M13-V12)))</f>
        <v>90.238095238095227</v>
      </c>
      <c r="O13" s="14">
        <f>N13*VLOOKUP('Données projet'!$B$9,Paramètres!$A$1:$I$89,3,0)*VLOOKUP('Données projet'!$B$9,Paramètres!$A$1:$I$89,5,0)</f>
        <v>42.231428571428566</v>
      </c>
      <c r="P13" s="14">
        <f t="shared" si="33"/>
        <v>12.58820577554321</v>
      </c>
      <c r="Q13" s="22">
        <f t="shared" si="2"/>
        <v>95.477529820975846</v>
      </c>
      <c r="R13" s="62">
        <f t="shared" si="0"/>
        <v>364.36641870986472</v>
      </c>
      <c r="S13" s="62">
        <f ca="1">AVERAGE(OFFSET($R$3,0,0,'Données projet'!$E$9+1,1))-AVERAGE(OFFSET($H$3,0,0,'Données projet'!$E$9+1,1))</f>
        <v>273.21086764807194</v>
      </c>
      <c r="T13" s="62">
        <f t="shared" si="34"/>
        <v>259.3474218586631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0.9</v>
      </c>
      <c r="AI13" s="14">
        <f>IF('Données projet'!$A$62&gt;35,AI12+AH13-AQ12,IF(A13&lt;'Données projet'!$A$62,$AF$205^A13,IF(A13='Données projet'!$A$62,'Données projet'!$B$62,AI12+AH13-AQ12)))</f>
        <v>4.2426406871192865</v>
      </c>
      <c r="AJ13" s="14">
        <f>AI13*VLOOKUP('Données projet'!$B$10,Paramètres!$A$1:$I$89,3,0)*VLOOKUP('Données projet'!$B$10,Paramètres!$A$1:$I$89,5,0)</f>
        <v>3.7063709042674091</v>
      </c>
      <c r="AK13" s="14">
        <f t="shared" si="35"/>
        <v>1.4664771263922398</v>
      </c>
      <c r="AL13" s="22">
        <f t="shared" si="4"/>
        <v>9.0093769867322209</v>
      </c>
      <c r="AM13" s="62">
        <f t="shared" si="5"/>
        <v>277.89826587562106</v>
      </c>
      <c r="AN13" s="62">
        <f ca="1">AVERAGE(OFFSET($AM$3,0,0,'Données projet'!$E$10+1,1))-AVERAGE(OFFSET($H$3,0,0,'Données projet'!$E$10+1,1))</f>
        <v>121.79484266530449</v>
      </c>
      <c r="AO13" s="62">
        <f t="shared" si="36"/>
        <v>129.14577359424788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1.2</v>
      </c>
      <c r="BD13" s="13">
        <f>IF('Données projet'!$A$88&gt;35,BD12+BC13-BL12,IF(A13&lt;'Données projet'!$A$88,$BA$205^A13,IF(A13='Données projet'!$A$88,'Données projet'!$B$88,BD12+BC13-BL12)))</f>
        <v>3.8980598409161908</v>
      </c>
      <c r="BE13" s="14">
        <f>BD13*VLOOKUP('Données projet'!$B$11,Paramètres!$A$1:$I$89,3,0)*VLOOKUP('Données projet'!$B$11,Paramètres!$A$1:$I$89,5,0)</f>
        <v>3.9526326786890178</v>
      </c>
      <c r="BF13" s="14">
        <f t="shared" si="37"/>
        <v>1.552247389613062</v>
      </c>
      <c r="BG13" s="22">
        <f t="shared" si="7"/>
        <v>9.5876661189594543</v>
      </c>
      <c r="BH13" s="62">
        <f t="shared" si="8"/>
        <v>278.47655500784833</v>
      </c>
      <c r="BI13" s="62">
        <f ca="1">AVERAGE(OFFSET($BH$3,0,0,'Données projet'!$E$11+1,1))-AVERAGE(OFFSET($H$3,0,0,'Données projet'!$E$11+1,1))</f>
        <v>201.65575435598231</v>
      </c>
      <c r="BJ13" s="62">
        <f t="shared" si="38"/>
        <v>103.75701796419935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4.3703703703703702</v>
      </c>
      <c r="BY13" s="13">
        <f>IF('Données projet'!$A$114&gt;35,BY12+BX13-CG12,IF(A13&lt;'Données projet'!$A$114,$BV$205^A13,IF(A13='Données projet'!$A$114,'Données projet'!$B$114,BY12+BX13-CG12)))</f>
        <v>5.8528003047504482</v>
      </c>
      <c r="BZ13" s="14">
        <f>BY13*VLOOKUP('Données projet'!$B$12,Paramètres!$A$1:$I$89,3,0)*VLOOKUP('Données projet'!$B$12,Paramètres!$A$1:$I$89,5,0)</f>
        <v>3.499974582240768</v>
      </c>
      <c r="CA13" s="14">
        <f t="shared" si="39"/>
        <v>1.3940803381250744</v>
      </c>
      <c r="CB13" s="22">
        <f t="shared" si="10"/>
        <v>8.5238123196371749</v>
      </c>
      <c r="CC13" s="62">
        <f t="shared" si="11"/>
        <v>277.41270120852602</v>
      </c>
      <c r="CD13" s="62">
        <f ca="1">AVERAGE(OFFSET($CC$3,0,0,'Données projet'!$E$12+1,1))-AVERAGE(OFFSET($H$3,0,0,'Données projet'!$E$12+1,1))</f>
        <v>222.32495275055498</v>
      </c>
      <c r="CE13" s="62">
        <f t="shared" si="40"/>
        <v>156.39259018918381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8.9232000000000014</v>
      </c>
      <c r="D14" s="12">
        <f t="shared" si="32"/>
        <v>3.187367140202428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93.485079678755596</v>
      </c>
      <c r="H14" s="70">
        <f t="shared" si="1"/>
        <v>277.75923776918592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9.0238095238095237</v>
      </c>
      <c r="N14" s="14">
        <f>IF('Données projet'!$A$36&gt;35,N13+M14-V13,IF(A14&lt;'Données projet'!$A$36,$K$205^A14,IF(A14='Données projet'!$A$36,'Données projet'!$B$36,N13+M14-V13)))</f>
        <v>99.261904761904745</v>
      </c>
      <c r="O14" s="14">
        <f>N14*VLOOKUP('Données projet'!$B$9,Paramètres!$A$1:$I$89,3,0)*VLOOKUP('Données projet'!$B$9,Paramètres!$A$1:$I$89,5,0)</f>
        <v>46.45457142857142</v>
      </c>
      <c r="P14" s="14">
        <f t="shared" si="33"/>
        <v>13.694254987469888</v>
      </c>
      <c r="Q14" s="22">
        <f t="shared" si="2"/>
        <v>104.7592060079386</v>
      </c>
      <c r="R14" s="62">
        <f t="shared" si="0"/>
        <v>374.87031711904973</v>
      </c>
      <c r="S14" s="62">
        <f ca="1">AVERAGE(OFFSET($R$3,0,0,'Données projet'!$E$9+1,1))-AVERAGE(OFFSET($H$3,0,0,'Données projet'!$E$9+1,1))</f>
        <v>273.21086764807194</v>
      </c>
      <c r="T14" s="62">
        <f t="shared" si="34"/>
        <v>259.3474218586631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0.9</v>
      </c>
      <c r="AI14" s="14">
        <f>IF('Données projet'!$A$62&gt;35,AI13+AH14-AQ13,IF(A14&lt;'Données projet'!$A$62,$AF$205^A14,IF(A14='Données projet'!$A$62,'Données projet'!$B$62,AI13+AH14-AQ13)))</f>
        <v>4.9022999220494095</v>
      </c>
      <c r="AJ14" s="14">
        <f>AI14*VLOOKUP('Données projet'!$B$10,Paramètres!$A$1:$I$89,3,0)*VLOOKUP('Données projet'!$B$10,Paramètres!$A$1:$I$89,5,0)</f>
        <v>4.2826492119023651</v>
      </c>
      <c r="AK14" s="14">
        <f t="shared" si="35"/>
        <v>1.6662234129484463</v>
      </c>
      <c r="AL14" s="22">
        <f t="shared" si="4"/>
        <v>10.360953154948495</v>
      </c>
      <c r="AM14" s="62">
        <f t="shared" si="5"/>
        <v>280.47206426605965</v>
      </c>
      <c r="AN14" s="62">
        <f ca="1">AVERAGE(OFFSET($AM$3,0,0,'Données projet'!$E$10+1,1))-AVERAGE(OFFSET($H$3,0,0,'Données projet'!$E$10+1,1))</f>
        <v>121.79484266530449</v>
      </c>
      <c r="AO14" s="62">
        <f t="shared" si="36"/>
        <v>129.14577359424788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1.2</v>
      </c>
      <c r="BD14" s="13">
        <f>IF('Données projet'!$A$88&gt;35,BD13+BC14-BL13,IF(A14&lt;'Données projet'!$A$88,$BA$205^A14,IF(A14='Données projet'!$A$88,'Données projet'!$B$88,BD13+BC14-BL13)))</f>
        <v>4.4661504822319662</v>
      </c>
      <c r="BE14" s="14">
        <f>BD14*VLOOKUP('Données projet'!$B$11,Paramètres!$A$1:$I$89,3,0)*VLOOKUP('Données projet'!$B$11,Paramètres!$A$1:$I$89,5,0)</f>
        <v>4.5286765889832141</v>
      </c>
      <c r="BF14" s="14">
        <f t="shared" si="37"/>
        <v>1.7505249770594407</v>
      </c>
      <c r="BG14" s="22">
        <f t="shared" si="7"/>
        <v>10.936276060857622</v>
      </c>
      <c r="BH14" s="62">
        <f t="shared" si="8"/>
        <v>281.04738717196875</v>
      </c>
      <c r="BI14" s="62">
        <f ca="1">AVERAGE(OFFSET($BH$3,0,0,'Données projet'!$E$11+1,1))-AVERAGE(OFFSET($H$3,0,0,'Données projet'!$E$11+1,1))</f>
        <v>201.65575435598231</v>
      </c>
      <c r="BJ14" s="62">
        <f t="shared" si="38"/>
        <v>103.75701796419935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4.3703703703703702</v>
      </c>
      <c r="BY14" s="13">
        <f>IF('Données projet'!$A$114&gt;35,BY13+BX14-CG13,IF(A14&lt;'Données projet'!$A$114,$BV$205^A14,IF(A14='Données projet'!$A$114,'Données projet'!$B$114,BY13+BX14-CG13)))</f>
        <v>6.9839332044678839</v>
      </c>
      <c r="BZ14" s="14">
        <f>BY14*VLOOKUP('Données projet'!$B$12,Paramètres!$A$1:$I$89,3,0)*VLOOKUP('Données projet'!$B$12,Paramètres!$A$1:$I$89,5,0)</f>
        <v>4.1763920562717951</v>
      </c>
      <c r="CA14" s="14">
        <f t="shared" si="39"/>
        <v>1.629641437588379</v>
      </c>
      <c r="CB14" s="22">
        <f t="shared" si="10"/>
        <v>10.112175001806468</v>
      </c>
      <c r="CC14" s="62">
        <f t="shared" si="11"/>
        <v>280.22328611291761</v>
      </c>
      <c r="CD14" s="62">
        <f ca="1">AVERAGE(OFFSET($CC$3,0,0,'Données projet'!$E$12+1,1))-AVERAGE(OFFSET($H$3,0,0,'Données projet'!$E$12+1,1))</f>
        <v>222.32495275055498</v>
      </c>
      <c r="CE14" s="62">
        <f t="shared" si="40"/>
        <v>156.39259018918381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9.7344000000000008</v>
      </c>
      <c r="D15" s="12">
        <f t="shared" si="32"/>
        <v>3.442088746331315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101.7132464629084</v>
      </c>
      <c r="H15" s="70">
        <f t="shared" si="1"/>
        <v>279.61571789986039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9.0238095238095237</v>
      </c>
      <c r="N15" s="14">
        <f>IF('Données projet'!$A$36&gt;35,N14+M15-V14,IF(A15&lt;'Données projet'!$A$36,$K$205^A15,IF(A15='Données projet'!$A$36,'Données projet'!$B$36,N14+M15-V14)))</f>
        <v>108.28571428571426</v>
      </c>
      <c r="O15" s="14">
        <f>N15*VLOOKUP('Données projet'!$B$9,Paramètres!$A$1:$I$89,3,0)*VLOOKUP('Données projet'!$B$9,Paramètres!$A$1:$I$89,5,0)</f>
        <v>50.677714285714281</v>
      </c>
      <c r="P15" s="14">
        <f t="shared" si="33"/>
        <v>14.788644956278235</v>
      </c>
      <c r="Q15" s="22">
        <f t="shared" si="2"/>
        <v>114.02057567980363</v>
      </c>
      <c r="R15" s="62">
        <f t="shared" si="0"/>
        <v>385.35390901313696</v>
      </c>
      <c r="S15" s="62">
        <f ca="1">AVERAGE(OFFSET($R$3,0,0,'Données projet'!$E$9+1,1))-AVERAGE(OFFSET($H$3,0,0,'Données projet'!$E$9+1,1))</f>
        <v>273.21086764807194</v>
      </c>
      <c r="T15" s="62">
        <f t="shared" si="34"/>
        <v>259.3474218586631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0.9</v>
      </c>
      <c r="AI15" s="14">
        <f>IF('Données projet'!$A$62&gt;35,AI14+AH15-AQ14,IF(A15&lt;'Données projet'!$A$62,$AF$205^A15,IF(A15='Données projet'!$A$62,'Données projet'!$B$62,AI14+AH15-AQ14)))</f>
        <v>5.6645250677694134</v>
      </c>
      <c r="AJ15" s="14">
        <f>AI15*VLOOKUP('Données projet'!$B$10,Paramètres!$A$1:$I$89,3,0)*VLOOKUP('Données projet'!$B$10,Paramètres!$A$1:$I$89,5,0)</f>
        <v>4.9485290992033608</v>
      </c>
      <c r="AK15" s="14">
        <f t="shared" si="35"/>
        <v>1.8931767921179217</v>
      </c>
      <c r="AL15" s="22">
        <f t="shared" si="4"/>
        <v>11.915971094051232</v>
      </c>
      <c r="AM15" s="62">
        <f t="shared" si="5"/>
        <v>283.24930442738457</v>
      </c>
      <c r="AN15" s="62">
        <f ca="1">AVERAGE(OFFSET($AM$3,0,0,'Données projet'!$E$10+1,1))-AVERAGE(OFFSET($H$3,0,0,'Données projet'!$E$10+1,1))</f>
        <v>121.79484266530449</v>
      </c>
      <c r="AO15" s="62">
        <f t="shared" si="36"/>
        <v>129.14577359424788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1.2</v>
      </c>
      <c r="BD15" s="13">
        <f>IF('Données projet'!$A$88&gt;35,BD14+BC15-BL14,IF(A15&lt;'Données projet'!$A$88,$BA$205^A15,IF(A15='Données projet'!$A$88,'Données projet'!$B$88,BD14+BC15-BL14)))</f>
        <v>5.1170328173444979</v>
      </c>
      <c r="BE15" s="14">
        <f>BD15*VLOOKUP('Données projet'!$B$11,Paramètres!$A$1:$I$89,3,0)*VLOOKUP('Données projet'!$B$11,Paramètres!$A$1:$I$89,5,0)</f>
        <v>5.1886712767873213</v>
      </c>
      <c r="BF15" s="14">
        <f t="shared" si="37"/>
        <v>1.9741297139966976</v>
      </c>
      <c r="BG15" s="22">
        <f t="shared" si="7"/>
        <v>12.4752117256155</v>
      </c>
      <c r="BH15" s="62">
        <f t="shared" si="8"/>
        <v>283.80854505894882</v>
      </c>
      <c r="BI15" s="62">
        <f ca="1">AVERAGE(OFFSET($BH$3,0,0,'Données projet'!$E$11+1,1))-AVERAGE(OFFSET($H$3,0,0,'Données projet'!$E$11+1,1))</f>
        <v>201.65575435598231</v>
      </c>
      <c r="BJ15" s="62">
        <f t="shared" si="38"/>
        <v>103.75701796419935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4.3703703703703702</v>
      </c>
      <c r="BY15" s="13">
        <f>IF('Données projet'!$A$114&gt;35,BY14+BX15-CG14,IF(A15&lt;'Données projet'!$A$114,$BV$205^A15,IF(A15='Données projet'!$A$114,'Données projet'!$B$114,BY14+BX15-CG14)))</f>
        <v>8.3336728514178713</v>
      </c>
      <c r="BZ15" s="14">
        <f>BY15*VLOOKUP('Données projet'!$B$12,Paramètres!$A$1:$I$89,3,0)*VLOOKUP('Données projet'!$B$12,Paramètres!$A$1:$I$89,5,0)</f>
        <v>4.983536365147887</v>
      </c>
      <c r="CA15" s="14">
        <f t="shared" si="39"/>
        <v>1.9050058611951031</v>
      </c>
      <c r="CB15" s="22">
        <f t="shared" si="10"/>
        <v>11.997544377547372</v>
      </c>
      <c r="CC15" s="62">
        <f t="shared" si="11"/>
        <v>283.33087771088071</v>
      </c>
      <c r="CD15" s="62">
        <f ca="1">AVERAGE(OFFSET($CC$3,0,0,'Données projet'!$E$12+1,1))-AVERAGE(OFFSET($H$3,0,0,'Données projet'!$E$12+1,1))</f>
        <v>222.32495275055498</v>
      </c>
      <c r="CE15" s="62">
        <f t="shared" si="40"/>
        <v>156.39259018918381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10.5456</v>
      </c>
      <c r="D16" s="12">
        <f t="shared" si="32"/>
        <v>3.6943484919296665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109.92240941138691</v>
      </c>
      <c r="H16" s="70">
        <f t="shared" si="1"/>
        <v>281.46791029011086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9.0238095238095237</v>
      </c>
      <c r="N16" s="14">
        <f>IF('Données projet'!$A$36&gt;35,N15+M16-V15,IF(A16&lt;'Données projet'!$A$36,$K$205^A16,IF(A16='Données projet'!$A$36,'Données projet'!$B$36,N15+M16-V15)))</f>
        <v>117.30952380952378</v>
      </c>
      <c r="O16" s="14">
        <f>N16*VLOOKUP('Données projet'!$B$9,Paramètres!$A$1:$I$89,3,0)*VLOOKUP('Données projet'!$B$9,Paramètres!$A$1:$I$89,5,0)</f>
        <v>54.900857142857127</v>
      </c>
      <c r="P16" s="14">
        <f t="shared" si="33"/>
        <v>15.872457748261361</v>
      </c>
      <c r="Q16" s="22">
        <f t="shared" si="2"/>
        <v>123.26352343536469</v>
      </c>
      <c r="R16" s="62">
        <f t="shared" si="0"/>
        <v>395.81907899092022</v>
      </c>
      <c r="S16" s="62">
        <f ca="1">AVERAGE(OFFSET($R$3,0,0,'Données projet'!$E$9+1,1))-AVERAGE(OFFSET($H$3,0,0,'Données projet'!$E$9+1,1))</f>
        <v>273.21086764807194</v>
      </c>
      <c r="T16" s="62">
        <f t="shared" si="34"/>
        <v>259.3474218586631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0.9</v>
      </c>
      <c r="AI16" s="14">
        <f>IF('Données projet'!$A$62&gt;35,AI15+AH16-AQ15,IF(A16&lt;'Données projet'!$A$62,$AF$205^A16,IF(A16='Données projet'!$A$62,'Données projet'!$B$62,AI15+AH16-AQ15)))</f>
        <v>6.5452633975063188</v>
      </c>
      <c r="AJ16" s="14">
        <f>AI16*VLOOKUP('Données projet'!$B$10,Paramètres!$A$1:$I$89,3,0)*VLOOKUP('Données projet'!$B$10,Paramètres!$A$1:$I$89,5,0)</f>
        <v>5.717942104061521</v>
      </c>
      <c r="AK16" s="14">
        <f t="shared" si="35"/>
        <v>2.1510430944381391</v>
      </c>
      <c r="AL16" s="22">
        <f t="shared" si="4"/>
        <v>13.705149220720239</v>
      </c>
      <c r="AM16" s="62">
        <f t="shared" si="5"/>
        <v>286.26070477627576</v>
      </c>
      <c r="AN16" s="62">
        <f ca="1">AVERAGE(OFFSET($AM$3,0,0,'Données projet'!$E$10+1,1))-AVERAGE(OFFSET($H$3,0,0,'Données projet'!$E$10+1,1))</f>
        <v>121.79484266530449</v>
      </c>
      <c r="AO16" s="62">
        <f t="shared" si="36"/>
        <v>129.14577359424788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1.2</v>
      </c>
      <c r="BD16" s="13">
        <f>IF('Données projet'!$A$88&gt;35,BD15+BC16-BL15,IF(A16&lt;'Données projet'!$A$88,$BA$205^A16,IF(A16='Données projet'!$A$88,'Données projet'!$B$88,BD15+BC16-BL15)))</f>
        <v>5.8627726400958746</v>
      </c>
      <c r="BE16" s="14">
        <f>BD16*VLOOKUP('Données projet'!$B$11,Paramètres!$A$1:$I$89,3,0)*VLOOKUP('Données projet'!$B$11,Paramètres!$A$1:$I$89,5,0)</f>
        <v>5.9448514570572168</v>
      </c>
      <c r="BF16" s="14">
        <f t="shared" si="37"/>
        <v>2.2262967845401667</v>
      </c>
      <c r="BG16" s="22">
        <f t="shared" si="7"/>
        <v>14.231416520782107</v>
      </c>
      <c r="BH16" s="62">
        <f t="shared" si="8"/>
        <v>286.78697207633763</v>
      </c>
      <c r="BI16" s="62">
        <f ca="1">AVERAGE(OFFSET($BH$3,0,0,'Données projet'!$E$11+1,1))-AVERAGE(OFFSET($H$3,0,0,'Données projet'!$E$11+1,1))</f>
        <v>201.65575435598231</v>
      </c>
      <c r="BJ16" s="62">
        <f t="shared" si="38"/>
        <v>103.75701796419935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4.3703703703703702</v>
      </c>
      <c r="BY16" s="13">
        <f>IF('Données projet'!$A$114&gt;35,BY15+BX16-CG15,IF(A16&lt;'Données projet'!$A$114,$BV$205^A16,IF(A16='Données projet'!$A$114,'Données projet'!$B$114,BY15+BX16-CG15)))</f>
        <v>9.944267959210924</v>
      </c>
      <c r="BZ16" s="14">
        <f>BY16*VLOOKUP('Données projet'!$B$12,Paramètres!$A$1:$I$89,3,0)*VLOOKUP('Données projet'!$B$12,Paramètres!$A$1:$I$89,5,0)</f>
        <v>5.9466722396081328</v>
      </c>
      <c r="CA16" s="14">
        <f t="shared" si="39"/>
        <v>2.2268992721234029</v>
      </c>
      <c r="CB16" s="22">
        <f t="shared" si="10"/>
        <v>14.235637049599092</v>
      </c>
      <c r="CC16" s="62">
        <f t="shared" si="11"/>
        <v>286.79119260515461</v>
      </c>
      <c r="CD16" s="62">
        <f ca="1">AVERAGE(OFFSET($CC$3,0,0,'Données projet'!$E$12+1,1))-AVERAGE(OFFSET($H$3,0,0,'Données projet'!$E$12+1,1))</f>
        <v>222.32495275055498</v>
      </c>
      <c r="CE16" s="62">
        <f t="shared" si="40"/>
        <v>156.39259018918381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11.3568</v>
      </c>
      <c r="D17" s="12">
        <f t="shared" si="32"/>
        <v>3.9443572825295607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118.11419656689486</v>
      </c>
      <c r="H17" s="70">
        <f t="shared" si="1"/>
        <v>283.31618226707235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9.0238095238095237</v>
      </c>
      <c r="N17" s="14">
        <f>IF('Données projet'!$A$36&gt;35,N16+M17-V16,IF(A17&lt;'Données projet'!$A$36,$K$205^A17,IF(A17='Données projet'!$A$36,'Données projet'!$B$36,N16+M17-V16)))</f>
        <v>126.3333333333333</v>
      </c>
      <c r="O17" s="14">
        <f>N17*VLOOKUP('Données projet'!$B$9,Paramètres!$A$1:$I$89,3,0)*VLOOKUP('Données projet'!$B$9,Paramètres!$A$1:$I$89,5,0)</f>
        <v>59.123999999999988</v>
      </c>
      <c r="P17" s="14">
        <f t="shared" si="33"/>
        <v>16.946599501309151</v>
      </c>
      <c r="Q17" s="22">
        <f t="shared" si="2"/>
        <v>132.48962746478011</v>
      </c>
      <c r="R17" s="62">
        <f t="shared" si="0"/>
        <v>406.26740524255786</v>
      </c>
      <c r="S17" s="62">
        <f ca="1">AVERAGE(OFFSET($R$3,0,0,'Données projet'!$E$9+1,1))-AVERAGE(OFFSET($H$3,0,0,'Données projet'!$E$9+1,1))</f>
        <v>273.21086764807194</v>
      </c>
      <c r="T17" s="62">
        <f t="shared" si="34"/>
        <v>259.3474218586631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0.9</v>
      </c>
      <c r="AI17" s="14">
        <f>IF('Données projet'!$A$62&gt;35,AI16+AH17-AQ16,IF(A17&lt;'Données projet'!$A$62,$AF$205^A17,IF(A17='Données projet'!$A$62,'Données projet'!$B$62,AI16+AH17-AQ16)))</f>
        <v>7.5629417171254145</v>
      </c>
      <c r="AJ17" s="14">
        <f>AI17*VLOOKUP('Données projet'!$B$10,Paramètres!$A$1:$I$89,3,0)*VLOOKUP('Données projet'!$B$10,Paramètres!$A$1:$I$89,5,0)</f>
        <v>6.6069858840807631</v>
      </c>
      <c r="AK17" s="14">
        <f t="shared" si="35"/>
        <v>2.4440329151477385</v>
      </c>
      <c r="AL17" s="22">
        <f t="shared" si="4"/>
        <v>15.763857741989639</v>
      </c>
      <c r="AM17" s="62">
        <f t="shared" si="5"/>
        <v>289.5416355197674</v>
      </c>
      <c r="AN17" s="62">
        <f ca="1">AVERAGE(OFFSET($AM$3,0,0,'Données projet'!$E$10+1,1))-AVERAGE(OFFSET($H$3,0,0,'Données projet'!$E$10+1,1))</f>
        <v>121.79484266530449</v>
      </c>
      <c r="AO17" s="62">
        <f t="shared" si="36"/>
        <v>129.14577359424788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1.2</v>
      </c>
      <c r="BD17" s="13">
        <f>IF('Données projet'!$A$88&gt;35,BD16+BC17-BL16,IF(A17&lt;'Données projet'!$A$88,$BA$205^A17,IF(A17='Données projet'!$A$88,'Données projet'!$B$88,BD16+BC17-BL16)))</f>
        <v>6.7171941741218459</v>
      </c>
      <c r="BE17" s="14">
        <f>BD17*VLOOKUP('Données projet'!$B$11,Paramètres!$A$1:$I$89,3,0)*VLOOKUP('Données projet'!$B$11,Paramètres!$A$1:$I$89,5,0)</f>
        <v>6.8112348925595523</v>
      </c>
      <c r="BF17" s="14">
        <f t="shared" si="37"/>
        <v>2.5106746216891089</v>
      </c>
      <c r="BG17" s="22">
        <f t="shared" si="7"/>
        <v>16.235659070649749</v>
      </c>
      <c r="BH17" s="62">
        <f t="shared" si="8"/>
        <v>290.01343684842755</v>
      </c>
      <c r="BI17" s="62">
        <f ca="1">AVERAGE(OFFSET($BH$3,0,0,'Données projet'!$E$11+1,1))-AVERAGE(OFFSET($H$3,0,0,'Données projet'!$E$11+1,1))</f>
        <v>201.65575435598231</v>
      </c>
      <c r="BJ17" s="62">
        <f t="shared" si="38"/>
        <v>103.75701796419935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4.3703703703703702</v>
      </c>
      <c r="BY17" s="13">
        <f>IF('Données projet'!$A$114&gt;35,BY16+BX17-CG16,IF(A17&lt;'Données projet'!$A$114,$BV$205^A17,IF(A17='Données projet'!$A$114,'Données projet'!$B$114,BY16+BX17-CG16)))</f>
        <v>11.866132377366407</v>
      </c>
      <c r="BZ17" s="14">
        <f>BY17*VLOOKUP('Données projet'!$B$12,Paramètres!$A$1:$I$89,3,0)*VLOOKUP('Données projet'!$B$12,Paramètres!$A$1:$I$89,5,0)</f>
        <v>7.0959471616651122</v>
      </c>
      <c r="CA17" s="14">
        <f t="shared" si="39"/>
        <v>2.6031837849951125</v>
      </c>
      <c r="CB17" s="22">
        <f t="shared" si="10"/>
        <v>16.892653065433223</v>
      </c>
      <c r="CC17" s="62">
        <f t="shared" si="11"/>
        <v>290.67043084321097</v>
      </c>
      <c r="CD17" s="62">
        <f ca="1">AVERAGE(OFFSET($CC$3,0,0,'Données projet'!$E$12+1,1))-AVERAGE(OFFSET($H$3,0,0,'Données projet'!$E$12+1,1))</f>
        <v>222.32495275055498</v>
      </c>
      <c r="CE17" s="62">
        <f t="shared" si="40"/>
        <v>156.39259018918381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12.167999999999999</v>
      </c>
      <c r="D18" s="12">
        <f t="shared" si="32"/>
        <v>4.1922941870296242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126.28999021566726</v>
      </c>
      <c r="H18" s="70">
        <f t="shared" si="1"/>
        <v>285.16084570907663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9.0238095238095237</v>
      </c>
      <c r="N18" s="14">
        <f>IF('Données projet'!$A$36&gt;35,N17+M18-V17,IF(A18&lt;'Données projet'!$A$36,$K$205^A18,IF(A18='Données projet'!$A$36,'Données projet'!$B$36,N17+M18-V17)))</f>
        <v>135.35714285714283</v>
      </c>
      <c r="O18" s="14">
        <f>N18*VLOOKUP('Données projet'!$B$9,Paramètres!$A$1:$I$89,3,0)*VLOOKUP('Données projet'!$B$9,Paramètres!$A$1:$I$89,5,0)</f>
        <v>63.347142857142849</v>
      </c>
      <c r="P18" s="14">
        <f t="shared" si="33"/>
        <v>18.011839569891965</v>
      </c>
      <c r="Q18" s="22">
        <f t="shared" si="2"/>
        <v>141.70022772708563</v>
      </c>
      <c r="R18" s="62">
        <f t="shared" si="0"/>
        <v>416.70022772708563</v>
      </c>
      <c r="S18" s="62">
        <f ca="1">AVERAGE(OFFSET($R$3,0,0,'Données projet'!$E$9+1,1))-AVERAGE(OFFSET($H$3,0,0,'Données projet'!$E$9+1,1))</f>
        <v>273.21086764807194</v>
      </c>
      <c r="T18" s="62">
        <f t="shared" si="34"/>
        <v>259.3474218586631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0.9</v>
      </c>
      <c r="AI18" s="14">
        <f>IF('Données projet'!$A$62&gt;35,AI17+AH18-AQ17,IF(A18&lt;'Données projet'!$A$62,$AF$205^A18,IF(A18='Données projet'!$A$62,'Données projet'!$B$62,AI17+AH18-AQ17)))</f>
        <v>8.7388518907318247</v>
      </c>
      <c r="AJ18" s="14">
        <f>AI18*VLOOKUP('Données projet'!$B$10,Paramètres!$A$1:$I$89,3,0)*VLOOKUP('Données projet'!$B$10,Paramètres!$A$1:$I$89,5,0)</f>
        <v>7.6342610117433241</v>
      </c>
      <c r="AK18" s="14">
        <f t="shared" si="35"/>
        <v>2.7769303673043324</v>
      </c>
      <c r="AL18" s="22">
        <f t="shared" si="4"/>
        <v>18.132824985174668</v>
      </c>
      <c r="AM18" s="62">
        <f t="shared" si="5"/>
        <v>293.13282498517469</v>
      </c>
      <c r="AN18" s="62">
        <f ca="1">AVERAGE(OFFSET($AM$3,0,0,'Données projet'!$E$10+1,1))-AVERAGE(OFFSET($H$3,0,0,'Données projet'!$E$10+1,1))</f>
        <v>121.79484266530449</v>
      </c>
      <c r="AO18" s="62">
        <f t="shared" si="36"/>
        <v>129.14577359424788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1.2</v>
      </c>
      <c r="BD18" s="13">
        <f>IF('Données projet'!$A$88&gt;35,BD17+BC18-BL17,IF(A18&lt;'Données projet'!$A$88,$BA$205^A18,IF(A18='Données projet'!$A$88,'Données projet'!$B$88,BD17+BC18-BL17)))</f>
        <v>7.6961363407260848</v>
      </c>
      <c r="BE18" s="14">
        <f>BD18*VLOOKUP('Données projet'!$B$11,Paramètres!$A$1:$I$89,3,0)*VLOOKUP('Données projet'!$B$11,Paramètres!$A$1:$I$89,5,0)</f>
        <v>7.8038822494962501</v>
      </c>
      <c r="BF18" s="14">
        <f t="shared" si="37"/>
        <v>2.8313776940102406</v>
      </c>
      <c r="BG18" s="22">
        <f t="shared" si="7"/>
        <v>18.523077734940472</v>
      </c>
      <c r="BH18" s="62">
        <f t="shared" si="8"/>
        <v>293.52307773494044</v>
      </c>
      <c r="BI18" s="62">
        <f ca="1">AVERAGE(OFFSET($BH$3,0,0,'Données projet'!$E$11+1,1))-AVERAGE(OFFSET($H$3,0,0,'Données projet'!$E$11+1,1))</f>
        <v>201.65575435598231</v>
      </c>
      <c r="BJ18" s="62">
        <f t="shared" si="38"/>
        <v>103.75701796419935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4.3703703703703702</v>
      </c>
      <c r="BY18" s="13">
        <f>IF('Données projet'!$A$114&gt;35,BY17+BX18-CG17,IF(A18&lt;'Données projet'!$A$114,$BV$205^A18,IF(A18='Données projet'!$A$114,'Données projet'!$B$114,BY17+BX18-CG17)))</f>
        <v>14.159423114374338</v>
      </c>
      <c r="BZ18" s="14">
        <f>BY18*VLOOKUP('Données projet'!$B$12,Paramètres!$A$1:$I$89,3,0)*VLOOKUP('Données projet'!$B$12,Paramètres!$A$1:$I$89,5,0)</f>
        <v>8.4673350223958543</v>
      </c>
      <c r="CA18" s="14">
        <f t="shared" si="39"/>
        <v>3.0430499948027987</v>
      </c>
      <c r="CB18" s="22">
        <f t="shared" si="10"/>
        <v>20.047253904954317</v>
      </c>
      <c r="CC18" s="62">
        <f t="shared" si="11"/>
        <v>295.04725390495435</v>
      </c>
      <c r="CD18" s="62">
        <f ca="1">AVERAGE(OFFSET($CC$3,0,0,'Données projet'!$E$12+1,1))-AVERAGE(OFFSET($H$3,0,0,'Données projet'!$E$12+1,1))</f>
        <v>222.32495275055498</v>
      </c>
      <c r="CE18" s="62">
        <f t="shared" si="40"/>
        <v>156.39259018918381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12.979199999999999</v>
      </c>
      <c r="D19" s="12">
        <f t="shared" si="32"/>
        <v>4.4383130477080952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134.45097791213269</v>
      </c>
      <c r="H19" s="70">
        <f t="shared" si="1"/>
        <v>287.00216855809163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9.0238095238095237</v>
      </c>
      <c r="N19" s="14">
        <f>IF('Données projet'!$A$36&gt;35,N18+M19-V18,IF(A19&lt;'Données projet'!$A$36,$K$205^A19,IF(A19='Données projet'!$A$36,'Données projet'!$B$36,N18+M19-V18)))</f>
        <v>144.38095238095235</v>
      </c>
      <c r="O19" s="14">
        <f>N19*VLOOKUP('Données projet'!$B$9,Paramètres!$A$1:$I$89,3,0)*VLOOKUP('Données projet'!$B$9,Paramètres!$A$1:$I$89,5,0)</f>
        <v>67.570285714285703</v>
      </c>
      <c r="P19" s="14">
        <f t="shared" si="33"/>
        <v>19.068838924426259</v>
      </c>
      <c r="Q19" s="22">
        <f t="shared" si="2"/>
        <v>150.89647541242331</v>
      </c>
      <c r="R19" s="62">
        <f t="shared" si="0"/>
        <v>427.11869763464551</v>
      </c>
      <c r="S19" s="62">
        <f ca="1">AVERAGE(OFFSET($R$3,0,0,'Données projet'!$E$9+1,1))-AVERAGE(OFFSET($H$3,0,0,'Données projet'!$E$9+1,1))</f>
        <v>273.21086764807194</v>
      </c>
      <c r="T19" s="62">
        <f t="shared" si="34"/>
        <v>259.3474218586631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0.9</v>
      </c>
      <c r="AI19" s="14">
        <f>IF('Données projet'!$A$62&gt;35,AI18+AH19-AQ18,IF(A19&lt;'Données projet'!$A$62,$AF$205^A19,IF(A19='Données projet'!$A$62,'Données projet'!$B$62,AI18+AH19-AQ18)))</f>
        <v>10.097596309015799</v>
      </c>
      <c r="AJ19" s="14">
        <f>AI19*VLOOKUP('Données projet'!$B$10,Paramètres!$A$1:$I$89,3,0)*VLOOKUP('Données projet'!$B$10,Paramètres!$A$1:$I$89,5,0)</f>
        <v>8.8212601355562033</v>
      </c>
      <c r="AK19" s="14">
        <f t="shared" si="35"/>
        <v>3.1551711996443523</v>
      </c>
      <c r="AL19" s="22">
        <f t="shared" si="4"/>
        <v>20.858951242140964</v>
      </c>
      <c r="AM19" s="62">
        <f t="shared" si="5"/>
        <v>297.08117346436319</v>
      </c>
      <c r="AN19" s="62">
        <f ca="1">AVERAGE(OFFSET($AM$3,0,0,'Données projet'!$E$10+1,1))-AVERAGE(OFFSET($H$3,0,0,'Données projet'!$E$10+1,1))</f>
        <v>121.79484266530449</v>
      </c>
      <c r="AO19" s="62">
        <f t="shared" si="36"/>
        <v>129.14577359424788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1.2</v>
      </c>
      <c r="BD19" s="13">
        <f>IF('Données projet'!$A$88&gt;35,BD18+BC19-BL18,IF(A19&lt;'Données projet'!$A$88,$BA$205^A19,IF(A19='Données projet'!$A$88,'Données projet'!$B$88,BD18+BC19-BL18)))</f>
        <v>8.8177463744060987</v>
      </c>
      <c r="BE19" s="14">
        <f>BD19*VLOOKUP('Données projet'!$B$11,Paramètres!$A$1:$I$89,3,0)*VLOOKUP('Données projet'!$B$11,Paramètres!$A$1:$I$89,5,0)</f>
        <v>8.9411948236477841</v>
      </c>
      <c r="BF19" s="14">
        <f t="shared" si="37"/>
        <v>3.1930460350713803</v>
      </c>
      <c r="BG19" s="22">
        <f t="shared" si="7"/>
        <v>21.133802828935874</v>
      </c>
      <c r="BH19" s="62">
        <f t="shared" si="8"/>
        <v>297.3560250511581</v>
      </c>
      <c r="BI19" s="62">
        <f ca="1">AVERAGE(OFFSET($BH$3,0,0,'Données projet'!$E$11+1,1))-AVERAGE(OFFSET($H$3,0,0,'Données projet'!$E$11+1,1))</f>
        <v>201.65575435598231</v>
      </c>
      <c r="BJ19" s="62">
        <f t="shared" si="38"/>
        <v>103.75701796419935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4.3703703703703702</v>
      </c>
      <c r="BY19" s="13">
        <f>IF('Données projet'!$A$114&gt;35,BY18+BX19-CG18,IF(A19&lt;'Données projet'!$A$114,$BV$205^A19,IF(A19='Données projet'!$A$114,'Données projet'!$B$114,BY18+BX19-CG18)))</f>
        <v>16.895923335078734</v>
      </c>
      <c r="BZ19" s="14">
        <f>BY19*VLOOKUP('Données projet'!$B$12,Paramètres!$A$1:$I$89,3,0)*VLOOKUP('Données projet'!$B$12,Paramètres!$A$1:$I$89,5,0)</f>
        <v>10.103762154377083</v>
      </c>
      <c r="CA19" s="14">
        <f t="shared" si="39"/>
        <v>3.5572414534253478</v>
      </c>
      <c r="CB19" s="22">
        <f t="shared" si="10"/>
        <v>23.79291461692257</v>
      </c>
      <c r="CC19" s="62">
        <f t="shared" si="11"/>
        <v>300.01513683914482</v>
      </c>
      <c r="CD19" s="62">
        <f ca="1">AVERAGE(OFFSET($CC$3,0,0,'Données projet'!$E$12+1,1))-AVERAGE(OFFSET($H$3,0,0,'Données projet'!$E$12+1,1))</f>
        <v>222.32495275055498</v>
      </c>
      <c r="CE19" s="62">
        <f t="shared" si="40"/>
        <v>156.39259018918381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13.790399999999998</v>
      </c>
      <c r="D20" s="12">
        <f t="shared" si="32"/>
        <v>4.6825473896592289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142.59819037631684</v>
      </c>
      <c r="H20" s="70">
        <f t="shared" si="1"/>
        <v>288.8403833703232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9.0238095238095237</v>
      </c>
      <c r="N20" s="14">
        <f>IF('Données projet'!$A$36&gt;35,N19+M20-V19,IF(A20&lt;'Données projet'!$A$36,$K$205^A20,IF(A20='Données projet'!$A$36,'Données projet'!$B$36,N19+M20-V19)))</f>
        <v>153.40476190476187</v>
      </c>
      <c r="O20" s="14">
        <f>N20*VLOOKUP('Données projet'!$B$9,Paramètres!$A$1:$I$89,3,0)*VLOOKUP('Données projet'!$B$9,Paramètres!$A$1:$I$89,5,0)</f>
        <v>71.793428571428549</v>
      </c>
      <c r="P20" s="14">
        <f t="shared" si="33"/>
        <v>20.118171244255393</v>
      </c>
      <c r="Q20" s="22">
        <f t="shared" si="2"/>
        <v>160.07936967898286</v>
      </c>
      <c r="R20" s="62">
        <f t="shared" si="0"/>
        <v>437.52381412342731</v>
      </c>
      <c r="S20" s="62">
        <f ca="1">AVERAGE(OFFSET($R$3,0,0,'Données projet'!$E$9+1,1))-AVERAGE(OFFSET($H$3,0,0,'Données projet'!$E$9+1,1))</f>
        <v>273.21086764807194</v>
      </c>
      <c r="T20" s="62">
        <f t="shared" si="34"/>
        <v>259.3474218586631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0.9</v>
      </c>
      <c r="AI20" s="14">
        <f>IF('Données projet'!$A$62&gt;35,AI19+AH20-AQ19,IF(A20&lt;'Données projet'!$A$62,$AF$205^A20,IF(A20='Données projet'!$A$62,'Données projet'!$B$62,AI19+AH20-AQ19)))</f>
        <v>11.667602620429678</v>
      </c>
      <c r="AJ20" s="14">
        <f>AI20*VLOOKUP('Données projet'!$B$10,Paramètres!$A$1:$I$89,3,0)*VLOOKUP('Données projet'!$B$10,Paramètres!$A$1:$I$89,5,0)</f>
        <v>10.192817649207369</v>
      </c>
      <c r="AK20" s="14">
        <f t="shared" si="35"/>
        <v>3.5849315547400531</v>
      </c>
      <c r="AL20" s="22">
        <f t="shared" si="4"/>
        <v>23.996246530208428</v>
      </c>
      <c r="AM20" s="62">
        <f t="shared" si="5"/>
        <v>301.44069097465291</v>
      </c>
      <c r="AN20" s="62">
        <f ca="1">AVERAGE(OFFSET($AM$3,0,0,'Données projet'!$E$10+1,1))-AVERAGE(OFFSET($H$3,0,0,'Données projet'!$E$10+1,1))</f>
        <v>121.79484266530449</v>
      </c>
      <c r="AO20" s="62">
        <f t="shared" si="36"/>
        <v>129.14577359424788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1.2</v>
      </c>
      <c r="BD20" s="13">
        <f>IF('Données projet'!$A$88&gt;35,BD19+BC20-BL19,IF(A20&lt;'Données projet'!$A$88,$BA$205^A20,IF(A20='Données projet'!$A$88,'Données projet'!$B$88,BD19+BC20-BL19)))</f>
        <v>10.102816228956828</v>
      </c>
      <c r="BE20" s="14">
        <f>BD20*VLOOKUP('Données projet'!$B$11,Paramètres!$A$1:$I$89,3,0)*VLOOKUP('Données projet'!$B$11,Paramètres!$A$1:$I$89,5,0)</f>
        <v>10.244255656162224</v>
      </c>
      <c r="BF20" s="14">
        <f t="shared" si="37"/>
        <v>3.6009123769158946</v>
      </c>
      <c r="BG20" s="22">
        <f t="shared" si="7"/>
        <v>24.113667657611057</v>
      </c>
      <c r="BH20" s="62">
        <f t="shared" si="8"/>
        <v>301.55811210205553</v>
      </c>
      <c r="BI20" s="62">
        <f ca="1">AVERAGE(OFFSET($BH$3,0,0,'Données projet'!$E$11+1,1))-AVERAGE(OFFSET($H$3,0,0,'Données projet'!$E$11+1,1))</f>
        <v>201.65575435598231</v>
      </c>
      <c r="BJ20" s="62">
        <f t="shared" si="38"/>
        <v>103.75701796419935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4.3703703703703702</v>
      </c>
      <c r="BY20" s="13">
        <f>IF('Données projet'!$A$114&gt;35,BY19+BX20-CG19,IF(A20&lt;'Données projet'!$A$114,$BV$205^A20,IF(A20='Données projet'!$A$114,'Données projet'!$B$114,BY19+BX20-CG19)))</f>
        <v>20.161289272799031</v>
      </c>
      <c r="BZ20" s="14">
        <f>BY20*VLOOKUP('Données projet'!$B$12,Paramètres!$A$1:$I$89,3,0)*VLOOKUP('Données projet'!$B$12,Paramètres!$A$1:$I$89,5,0)</f>
        <v>12.056450985133822</v>
      </c>
      <c r="CA20" s="14">
        <f t="shared" si="39"/>
        <v>4.1583170764789594</v>
      </c>
      <c r="CB20" s="22">
        <f t="shared" si="10"/>
        <v>28.240721040642256</v>
      </c>
      <c r="CC20" s="62">
        <f t="shared" si="11"/>
        <v>305.68516548508671</v>
      </c>
      <c r="CD20" s="62">
        <f ca="1">AVERAGE(OFFSET($CC$3,0,0,'Données projet'!$E$12+1,1))-AVERAGE(OFFSET($H$3,0,0,'Données projet'!$E$12+1,1))</f>
        <v>222.32495275055498</v>
      </c>
      <c r="CE20" s="62">
        <f t="shared" si="40"/>
        <v>156.39259018918381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14.601599999999998</v>
      </c>
      <c r="D21" s="12">
        <f t="shared" si="32"/>
        <v>4.9251141417391402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150.73253021693372</v>
      </c>
      <c r="H21" s="70">
        <f t="shared" si="1"/>
        <v>290.67569379686233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9.0238095238095237</v>
      </c>
      <c r="N21" s="14">
        <f>IF('Données projet'!$A$36&gt;35,N20+M21-V20,IF(A21&lt;'Données projet'!$A$36,$K$205^A21,IF(A21='Données projet'!$A$36,'Données projet'!$B$36,N20+M21-V20)))</f>
        <v>162.42857142857139</v>
      </c>
      <c r="O21" s="14">
        <f>N21*VLOOKUP('Données projet'!$B$9,Paramètres!$A$1:$I$89,3,0)*VLOOKUP('Données projet'!$B$9,Paramètres!$A$1:$I$89,5,0)</f>
        <v>76.01657142857141</v>
      </c>
      <c r="P21" s="14">
        <f t="shared" si="33"/>
        <v>21.160338904380602</v>
      </c>
      <c r="Q21" s="22">
        <f t="shared" si="2"/>
        <v>169.24978549655808</v>
      </c>
      <c r="R21" s="62">
        <f t="shared" si="0"/>
        <v>447.91645216322479</v>
      </c>
      <c r="S21" s="62">
        <f ca="1">AVERAGE(OFFSET($R$3,0,0,'Données projet'!$E$9+1,1))-AVERAGE(OFFSET($H$3,0,0,'Données projet'!$E$9+1,1))</f>
        <v>273.21086764807194</v>
      </c>
      <c r="T21" s="62">
        <f t="shared" si="34"/>
        <v>259.3474218586631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0.9</v>
      </c>
      <c r="AI21" s="14">
        <f>IF('Données projet'!$A$62&gt;35,AI20+AH21-AQ20,IF(A21&lt;'Données projet'!$A$62,$AF$205^A21,IF(A21='Données projet'!$A$62,'Données projet'!$B$62,AI20+AH21-AQ20)))</f>
        <v>13.48171849440139</v>
      </c>
      <c r="AJ21" s="14">
        <f>AI21*VLOOKUP('Données projet'!$B$10,Paramètres!$A$1:$I$89,3,0)*VLOOKUP('Données projet'!$B$10,Paramètres!$A$1:$I$89,5,0)</f>
        <v>11.777629276709055</v>
      </c>
      <c r="AK21" s="14">
        <f t="shared" si="35"/>
        <v>4.0732288167499631</v>
      </c>
      <c r="AL21" s="22">
        <f t="shared" si="4"/>
        <v>27.606911179441123</v>
      </c>
      <c r="AM21" s="62">
        <f t="shared" si="5"/>
        <v>306.2735778461078</v>
      </c>
      <c r="AN21" s="62">
        <f ca="1">AVERAGE(OFFSET($AM$3,0,0,'Données projet'!$E$10+1,1))-AVERAGE(OFFSET($H$3,0,0,'Données projet'!$E$10+1,1))</f>
        <v>121.79484266530449</v>
      </c>
      <c r="AO21" s="62">
        <f t="shared" si="36"/>
        <v>129.14577359424788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1.2</v>
      </c>
      <c r="BD21" s="13">
        <f>IF('Données projet'!$A$88&gt;35,BD20+BC21-BL20,IF(A21&lt;'Données projet'!$A$88,$BA$205^A21,IF(A21='Données projet'!$A$88,'Données projet'!$B$88,BD20+BC21-BL20)))</f>
        <v>11.575168010312384</v>
      </c>
      <c r="BE21" s="14">
        <f>BD21*VLOOKUP('Données projet'!$B$11,Paramètres!$A$1:$I$89,3,0)*VLOOKUP('Données projet'!$B$11,Paramètres!$A$1:$I$89,5,0)</f>
        <v>11.737220362456757</v>
      </c>
      <c r="BF21" s="14">
        <f t="shared" si="37"/>
        <v>4.0608778588863084</v>
      </c>
      <c r="BG21" s="22">
        <f t="shared" si="7"/>
        <v>27.515021068839172</v>
      </c>
      <c r="BH21" s="62">
        <f t="shared" si="8"/>
        <v>306.18168773550588</v>
      </c>
      <c r="BI21" s="62">
        <f ca="1">AVERAGE(OFFSET($BH$3,0,0,'Données projet'!$E$11+1,1))-AVERAGE(OFFSET($H$3,0,0,'Données projet'!$E$11+1,1))</f>
        <v>201.65575435598231</v>
      </c>
      <c r="BJ21" s="62">
        <f t="shared" si="38"/>
        <v>103.75701796419935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4.3703703703703702</v>
      </c>
      <c r="BY21" s="13">
        <f>IF('Données projet'!$A$114&gt;35,BY20+BX21-CG20,IF(A21&lt;'Données projet'!$A$114,$BV$205^A21,IF(A21='Données projet'!$A$114,'Données projet'!$B$114,BY20+BX21-CG20)))</f>
        <v>24.057731387639919</v>
      </c>
      <c r="BZ21" s="14">
        <f>BY21*VLOOKUP('Données projet'!$B$12,Paramètres!$A$1:$I$89,3,0)*VLOOKUP('Données projet'!$B$12,Paramètres!$A$1:$I$89,5,0)</f>
        <v>14.386523369808673</v>
      </c>
      <c r="CA21" s="14">
        <f t="shared" si="39"/>
        <v>4.8609578896833261</v>
      </c>
      <c r="CB21" s="22">
        <f t="shared" si="10"/>
        <v>33.522696526948565</v>
      </c>
      <c r="CC21" s="62">
        <f t="shared" si="11"/>
        <v>312.18936319361524</v>
      </c>
      <c r="CD21" s="62">
        <f ca="1">AVERAGE(OFFSET($CC$3,0,0,'Données projet'!$E$12+1,1))-AVERAGE(OFFSET($H$3,0,0,'Données projet'!$E$12+1,1))</f>
        <v>222.32495275055498</v>
      </c>
      <c r="CE21" s="62">
        <f t="shared" si="40"/>
        <v>156.39259018918381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15.412799999999997</v>
      </c>
      <c r="D22" s="12">
        <f t="shared" si="32"/>
        <v>5.1661165069289936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158.85479408857466</v>
      </c>
      <c r="H22" s="70">
        <f t="shared" si="1"/>
        <v>292.50827958290137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9.0238095238095237</v>
      </c>
      <c r="N22" s="14">
        <f>IF('Données projet'!$A$36&gt;35,N21+M22-V21,IF(A22&lt;'Données projet'!$A$36,$K$205^A22,IF(A22='Données projet'!$A$36,'Données projet'!$B$36,N21+M22-V21)))</f>
        <v>171.45238095238091</v>
      </c>
      <c r="O22" s="14">
        <f>N22*VLOOKUP('Données projet'!$B$9,Paramètres!$A$1:$I$89,3,0)*VLOOKUP('Données projet'!$B$9,Paramètres!$A$1:$I$89,5,0)</f>
        <v>80.239714285714257</v>
      </c>
      <c r="P22" s="14">
        <f t="shared" si="33"/>
        <v>22.195785307735175</v>
      </c>
      <c r="Q22" s="22">
        <f t="shared" si="2"/>
        <v>178.40849512525776</v>
      </c>
      <c r="R22" s="62">
        <f t="shared" si="0"/>
        <v>458.29738401414659</v>
      </c>
      <c r="S22" s="62">
        <f ca="1">AVERAGE(OFFSET($R$3,0,0,'Données projet'!$E$9+1,1))-AVERAGE(OFFSET($H$3,0,0,'Données projet'!$E$9+1,1))</f>
        <v>273.21086764807194</v>
      </c>
      <c r="T22" s="62">
        <f t="shared" si="34"/>
        <v>259.3474218586631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0.9</v>
      </c>
      <c r="AI22" s="14">
        <f>IF('Données projet'!$A$62&gt;35,AI21+AH22-AQ21,IF(A22&lt;'Données projet'!$A$62,$AF$205^A22,IF(A22='Données projet'!$A$62,'Données projet'!$B$62,AI21+AH22-AQ21)))</f>
        <v>15.577898860219406</v>
      </c>
      <c r="AJ22" s="14">
        <f>AI22*VLOOKUP('Données projet'!$B$10,Paramètres!$A$1:$I$89,3,0)*VLOOKUP('Données projet'!$B$10,Paramètres!$A$1:$I$89,5,0)</f>
        <v>13.608852444287676</v>
      </c>
      <c r="AK22" s="14">
        <f t="shared" si="35"/>
        <v>4.6280361954652021</v>
      </c>
      <c r="AL22" s="22">
        <f t="shared" si="4"/>
        <v>31.762581047569586</v>
      </c>
      <c r="AM22" s="62">
        <f t="shared" si="5"/>
        <v>311.65146993645845</v>
      </c>
      <c r="AN22" s="62">
        <f ca="1">AVERAGE(OFFSET($AM$3,0,0,'Données projet'!$E$10+1,1))-AVERAGE(OFFSET($H$3,0,0,'Données projet'!$E$10+1,1))</f>
        <v>121.79484266530449</v>
      </c>
      <c r="AO22" s="62">
        <f t="shared" si="36"/>
        <v>129.14577359424788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1.2</v>
      </c>
      <c r="BD22" s="13">
        <f>IF('Données projet'!$A$88&gt;35,BD21+BC22-BL21,IF(A22&lt;'Données projet'!$A$88,$BA$205^A22,IF(A22='Données projet'!$A$88,'Données projet'!$B$88,BD21+BC22-BL21)))</f>
        <v>13.262095581124292</v>
      </c>
      <c r="BE22" s="14">
        <f>BD22*VLOOKUP('Données projet'!$B$11,Paramètres!$A$1:$I$89,3,0)*VLOOKUP('Données projet'!$B$11,Paramètres!$A$1:$I$89,5,0)</f>
        <v>13.447764919260033</v>
      </c>
      <c r="BF22" s="14">
        <f t="shared" si="37"/>
        <v>4.5795974071762906</v>
      </c>
      <c r="BG22" s="22">
        <f t="shared" si="7"/>
        <v>31.397656051876599</v>
      </c>
      <c r="BH22" s="62">
        <f t="shared" si="8"/>
        <v>311.28654494076545</v>
      </c>
      <c r="BI22" s="62">
        <f ca="1">AVERAGE(OFFSET($BH$3,0,0,'Données projet'!$E$11+1,1))-AVERAGE(OFFSET($H$3,0,0,'Données projet'!$E$11+1,1))</f>
        <v>201.65575435598231</v>
      </c>
      <c r="BJ22" s="62">
        <f t="shared" si="38"/>
        <v>103.75701796419935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4.3703703703703702</v>
      </c>
      <c r="BY22" s="13">
        <f>IF('Données projet'!$A$114&gt;35,BY21+BX22-CG21,IF(A22&lt;'Données projet'!$A$114,$BV$205^A22,IF(A22='Données projet'!$A$114,'Données projet'!$B$114,BY21+BX22-CG21)))</f>
        <v>28.707213694944539</v>
      </c>
      <c r="BZ22" s="14">
        <f>BY22*VLOOKUP('Données projet'!$B$12,Paramètres!$A$1:$I$89,3,0)*VLOOKUP('Données projet'!$B$12,Paramètres!$A$1:$I$89,5,0)</f>
        <v>17.166913789576835</v>
      </c>
      <c r="CA22" s="14">
        <f t="shared" si="39"/>
        <v>5.6823256068972627</v>
      </c>
      <c r="CB22" s="22">
        <f t="shared" si="10"/>
        <v>39.79575861552572</v>
      </c>
      <c r="CC22" s="62">
        <f t="shared" si="11"/>
        <v>319.68464750441456</v>
      </c>
      <c r="CD22" s="62">
        <f ca="1">AVERAGE(OFFSET($CC$3,0,0,'Données projet'!$E$12+1,1))-AVERAGE(OFFSET($H$3,0,0,'Données projet'!$E$12+1,1))</f>
        <v>222.32495275055498</v>
      </c>
      <c r="CE22" s="62">
        <f t="shared" si="40"/>
        <v>156.39259018918381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16.223999999999997</v>
      </c>
      <c r="D23" s="12">
        <f t="shared" si="32"/>
        <v>5.4056462111722139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166.96569005115393</v>
      </c>
      <c r="H23" s="70">
        <f t="shared" si="1"/>
        <v>294.33830048445827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9.0238095238095237</v>
      </c>
      <c r="N23" s="14">
        <f>IF('Données projet'!$A$36&gt;35,N22+M23-V22,IF(A23&lt;'Données projet'!$A$36,$K$205^A23,IF(A23='Données projet'!$A$36,'Données projet'!$B$36,N22+M23-V22)))</f>
        <v>180.47619047619042</v>
      </c>
      <c r="O23" s="14">
        <f>N23*VLOOKUP('Données projet'!$B$9,Paramètres!$A$1:$I$89,3,0)*VLOOKUP('Données projet'!$B$9,Paramètres!$A$1:$I$89,5,0)</f>
        <v>84.462857142857118</v>
      </c>
      <c r="P23" s="14">
        <f t="shared" si="33"/>
        <v>23.22490454712457</v>
      </c>
      <c r="Q23" s="22">
        <f t="shared" si="2"/>
        <v>187.55618494338475</v>
      </c>
      <c r="R23" s="62">
        <f t="shared" si="0"/>
        <v>468.66729605449586</v>
      </c>
      <c r="S23" s="62">
        <f ca="1">AVERAGE(OFFSET($R$3,0,0,'Données projet'!$E$9+1,1))-AVERAGE(OFFSET($H$3,0,0,'Données projet'!$E$9+1,1))</f>
        <v>273.21086764807194</v>
      </c>
      <c r="T23" s="62">
        <f t="shared" si="34"/>
        <v>259.3474218586631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18</v>
      </c>
      <c r="AG23" s="13">
        <f>VLOOKUP(A23,'Données projet'!$A$61:$I$81,9,0)</f>
        <v>0.9</v>
      </c>
      <c r="AH23" s="13">
        <f t="array" ref="AH23">INDEX(AG:AG,MIN(IF(ISNUMBER(AG23:AG219),ROW(AG23:AG219),"")))</f>
        <v>0.9</v>
      </c>
      <c r="AI23" s="14">
        <f>IF('Données projet'!$A$62&gt;35,AI22+AH23-AQ22,IF(A23&lt;'Données projet'!$A$62,$AF$205^A23,IF(A23='Données projet'!$A$62,'Données projet'!$B$62,AI22+AH23-AQ22)))</f>
        <v>18</v>
      </c>
      <c r="AJ23" s="14">
        <f>AI23*VLOOKUP('Données projet'!$B$10,Paramètres!$A$1:$I$89,3,0)*VLOOKUP('Données projet'!$B$10,Paramètres!$A$1:$I$89,5,0)</f>
        <v>15.724800000000004</v>
      </c>
      <c r="AK23" s="14">
        <f t="shared" si="35"/>
        <v>5.2584129176484753</v>
      </c>
      <c r="AL23" s="22">
        <f t="shared" si="4"/>
        <v>36.545762498237771</v>
      </c>
      <c r="AM23" s="62">
        <f t="shared" si="5"/>
        <v>317.65687360934891</v>
      </c>
      <c r="AN23" s="62">
        <f ca="1">AVERAGE(OFFSET($AM$3,0,0,'Données projet'!$E$10+1,1))-AVERAGE(OFFSET($H$3,0,0,'Données projet'!$E$10+1,1))</f>
        <v>121.79484266530449</v>
      </c>
      <c r="AO23" s="62">
        <f t="shared" si="36"/>
        <v>129.14577359424788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3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0.6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1.4836772026786809</v>
      </c>
      <c r="AX23" s="23">
        <f t="shared" si="6"/>
        <v>1.4836772026786809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1.2</v>
      </c>
      <c r="BD23" s="13">
        <f>IF('Données projet'!$A$88&gt;35,BD22+BC23-BL22,IF(A23&lt;'Données projet'!$A$88,$BA$205^A23,IF(A23='Données projet'!$A$88,'Données projet'!$B$88,BD22+BC23-BL22)))</f>
        <v>15.194870523363559</v>
      </c>
      <c r="BE23" s="14">
        <f>BD23*VLOOKUP('Données projet'!$B$11,Paramètres!$A$1:$I$89,3,0)*VLOOKUP('Données projet'!$B$11,Paramètres!$A$1:$I$89,5,0)</f>
        <v>15.407598710690648</v>
      </c>
      <c r="BF23" s="14">
        <f t="shared" si="37"/>
        <v>5.1645760204094255</v>
      </c>
      <c r="BG23" s="22">
        <f t="shared" si="7"/>
        <v>35.829870989999293</v>
      </c>
      <c r="BH23" s="62">
        <f t="shared" si="8"/>
        <v>316.94098210111042</v>
      </c>
      <c r="BI23" s="62">
        <f ca="1">AVERAGE(OFFSET($BH$3,0,0,'Données projet'!$E$11+1,1))-AVERAGE(OFFSET($H$3,0,0,'Données projet'!$E$11+1,1))</f>
        <v>201.65575435598231</v>
      </c>
      <c r="BJ23" s="62">
        <f t="shared" si="38"/>
        <v>103.75701796419935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4.3703703703703702</v>
      </c>
      <c r="BY23" s="13">
        <f>IF('Données projet'!$A$114&gt;35,BY22+BX23-CG22,IF(A23&lt;'Données projet'!$A$114,$BV$205^A23,IF(A23='Données projet'!$A$114,'Données projet'!$B$114,BY22+BX23-CG22)))</f>
        <v>34.255271407286948</v>
      </c>
      <c r="BZ23" s="14">
        <f>BY23*VLOOKUP('Données projet'!$B$12,Paramètres!$A$1:$I$89,3,0)*VLOOKUP('Données projet'!$B$12,Paramètres!$A$1:$I$89,5,0)</f>
        <v>20.484652301557595</v>
      </c>
      <c r="CA23" s="14">
        <f t="shared" si="39"/>
        <v>6.6424817979453561</v>
      </c>
      <c r="CB23" s="22">
        <f t="shared" si="10"/>
        <v>47.246425223300974</v>
      </c>
      <c r="CC23" s="62">
        <f t="shared" si="11"/>
        <v>328.35753633441209</v>
      </c>
      <c r="CD23" s="62">
        <f ca="1">AVERAGE(OFFSET($CC$3,0,0,'Données projet'!$E$12+1,1))-AVERAGE(OFFSET($H$3,0,0,'Données projet'!$E$12+1,1))</f>
        <v>222.32495275055498</v>
      </c>
      <c r="CE23" s="62">
        <f t="shared" si="40"/>
        <v>156.39259018918381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17.035199999999996</v>
      </c>
      <c r="D24" s="12">
        <f t="shared" si="32"/>
        <v>5.6437852896626746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175.06585135879956</v>
      </c>
      <c r="H24" s="70">
        <f t="shared" si="1"/>
        <v>296.16589937949584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9.0238095238095237</v>
      </c>
      <c r="N24" s="14">
        <f>IF('Données projet'!$A$36&gt;35,N23+M24-V23,IF(A24&lt;'Données projet'!$A$36,$K$205^A24,IF(A24='Données projet'!$A$36,'Données projet'!$B$36,N23+M24-V23)))</f>
        <v>189.49999999999994</v>
      </c>
      <c r="O24" s="14">
        <f>N24*VLOOKUP('Données projet'!$B$9,Paramètres!$A$1:$I$89,3,0)*VLOOKUP('Données projet'!$B$9,Paramètres!$A$1:$I$89,5,0)</f>
        <v>88.685999999999964</v>
      </c>
      <c r="P24" s="14">
        <f t="shared" si="33"/>
        <v>24.248049079863389</v>
      </c>
      <c r="Q24" s="22">
        <f t="shared" si="2"/>
        <v>196.69346881409535</v>
      </c>
      <c r="R24" s="62">
        <f t="shared" si="0"/>
        <v>479.02680214742867</v>
      </c>
      <c r="S24" s="62">
        <f ca="1">AVERAGE(OFFSET($R$3,0,0,'Données projet'!$E$9+1,1))-AVERAGE(OFFSET($H$3,0,0,'Données projet'!$E$9+1,1))</f>
        <v>273.21086764807194</v>
      </c>
      <c r="T24" s="62">
        <f t="shared" si="34"/>
        <v>259.3474218586631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7.8</v>
      </c>
      <c r="AI24" s="14">
        <f>IF('Données projet'!$A$62&gt;35,AI23+AH24-AQ23,IF(A24&lt;'Données projet'!$A$62,$AF$205^A24,IF(A24='Données projet'!$A$62,'Données projet'!$B$62,AI23+AH24-AQ23)))</f>
        <v>22.8</v>
      </c>
      <c r="AJ24" s="14">
        <f>AI24*VLOOKUP('Données projet'!$B$10,Paramètres!$A$1:$I$89,3,0)*VLOOKUP('Données projet'!$B$10,Paramètres!$A$1:$I$89,5,0)</f>
        <v>19.918080000000003</v>
      </c>
      <c r="AK24" s="14">
        <f t="shared" si="35"/>
        <v>6.4798825087607046</v>
      </c>
      <c r="AL24" s="22">
        <f t="shared" si="4"/>
        <v>45.976451369424893</v>
      </c>
      <c r="AM24" s="62">
        <f t="shared" si="5"/>
        <v>328.30978470275818</v>
      </c>
      <c r="AN24" s="62">
        <f ca="1">AVERAGE(OFFSET($AM$3,0,0,'Données projet'!$E$10+1,1))-AVERAGE(OFFSET($H$3,0,0,'Données projet'!$E$10+1,1))</f>
        <v>121.79484266530449</v>
      </c>
      <c r="AO24" s="62">
        <f t="shared" si="36"/>
        <v>129.14577359424788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1.0491182111059829</v>
      </c>
      <c r="AX24" s="23">
        <f t="shared" si="6"/>
        <v>1.0491182111059829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1.2</v>
      </c>
      <c r="BD24" s="13">
        <f>IF('Données projet'!$A$88&gt;35,BD23+BC24-BL23,IF(A24&lt;'Données projet'!$A$88,$BA$205^A24,IF(A24='Données projet'!$A$88,'Données projet'!$B$88,BD23+BC24-BL23)))</f>
        <v>17.409321838276906</v>
      </c>
      <c r="BE24" s="14">
        <f>BD24*VLOOKUP('Données projet'!$B$11,Paramètres!$A$1:$I$89,3,0)*VLOOKUP('Données projet'!$B$11,Paramètres!$A$1:$I$89,5,0)</f>
        <v>17.653052344012782</v>
      </c>
      <c r="BF24" s="14">
        <f t="shared" si="37"/>
        <v>5.8242773543349813</v>
      </c>
      <c r="BG24" s="22">
        <f t="shared" si="7"/>
        <v>40.889682557955688</v>
      </c>
      <c r="BH24" s="62">
        <f t="shared" si="8"/>
        <v>323.22301589128898</v>
      </c>
      <c r="BI24" s="62">
        <f ca="1">AVERAGE(OFFSET($BH$3,0,0,'Données projet'!$E$11+1,1))-AVERAGE(OFFSET($H$3,0,0,'Données projet'!$E$11+1,1))</f>
        <v>201.65575435598231</v>
      </c>
      <c r="BJ24" s="62">
        <f t="shared" si="38"/>
        <v>103.75701796419935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4.3703703703703702</v>
      </c>
      <c r="BY24" s="13">
        <f>IF('Données projet'!$A$114&gt;35,BY23+BX24-CG23,IF(A24&lt;'Données projet'!$A$114,$BV$205^A24,IF(A24='Données projet'!$A$114,'Données projet'!$B$114,BY23+BX24-CG23)))</f>
        <v>40.875566387466414</v>
      </c>
      <c r="BZ24" s="14">
        <f>BY24*VLOOKUP('Données projet'!$B$12,Paramètres!$A$1:$I$89,3,0)*VLOOKUP('Données projet'!$B$12,Paramètres!$A$1:$I$89,5,0)</f>
        <v>24.443588699704918</v>
      </c>
      <c r="CA24" s="14">
        <f t="shared" si="39"/>
        <v>7.7648778842379169</v>
      </c>
      <c r="CB24" s="22">
        <f t="shared" si="10"/>
        <v>56.096412633700432</v>
      </c>
      <c r="CC24" s="62">
        <f t="shared" si="11"/>
        <v>338.42974596703374</v>
      </c>
      <c r="CD24" s="62">
        <f ca="1">AVERAGE(OFFSET($CC$3,0,0,'Données projet'!$E$12+1,1))-AVERAGE(OFFSET($H$3,0,0,'Données projet'!$E$12+1,1))</f>
        <v>222.32495275055498</v>
      </c>
      <c r="CE24" s="62">
        <f t="shared" si="40"/>
        <v>156.39259018918381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17.846399999999996</v>
      </c>
      <c r="D25" s="12">
        <f t="shared" si="32"/>
        <v>5.8806075232471633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183.15584754787281</v>
      </c>
      <c r="H25" s="70">
        <f t="shared" si="1"/>
        <v>297.9912047696555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9.0238095238095237</v>
      </c>
      <c r="N25" s="14">
        <f>IF('Données projet'!$A$36&gt;35,N24+M25-V24,IF(A25&lt;'Données projet'!$A$36,$K$205^A25,IF(A25='Données projet'!$A$36,'Données projet'!$B$36,N24+M25-V24)))</f>
        <v>198.52380952380946</v>
      </c>
      <c r="O25" s="14">
        <f>N25*VLOOKUP('Données projet'!$B$9,Paramètres!$A$1:$I$89,3,0)*VLOOKUP('Données projet'!$B$9,Paramètres!$A$1:$I$89,5,0)</f>
        <v>92.909142857142839</v>
      </c>
      <c r="P25" s="14">
        <f t="shared" si="33"/>
        <v>25.26553589915784</v>
      </c>
      <c r="Q25" s="22">
        <f t="shared" si="2"/>
        <v>205.82089883389031</v>
      </c>
      <c r="R25" s="62">
        <f t="shared" si="0"/>
        <v>489.37645438944583</v>
      </c>
      <c r="S25" s="62">
        <f ca="1">AVERAGE(OFFSET($R$3,0,0,'Données projet'!$E$9+1,1))-AVERAGE(OFFSET($H$3,0,0,'Données projet'!$E$9+1,1))</f>
        <v>273.21086764807194</v>
      </c>
      <c r="T25" s="62">
        <f t="shared" si="34"/>
        <v>259.3474218586631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7.8</v>
      </c>
      <c r="AI25" s="14">
        <f>IF('Données projet'!$A$62&gt;35,AI24+AH25-AQ24,IF(A25&lt;'Données projet'!$A$62,$AF$205^A25,IF(A25='Données projet'!$A$62,'Données projet'!$B$62,AI24+AH25-AQ24)))</f>
        <v>30.6</v>
      </c>
      <c r="AJ25" s="14">
        <f>AI25*VLOOKUP('Données projet'!$B$10,Paramètres!$A$1:$I$89,3,0)*VLOOKUP('Données projet'!$B$10,Paramètres!$A$1:$I$89,5,0)</f>
        <v>26.732160000000004</v>
      </c>
      <c r="AK25" s="14">
        <f t="shared" si="35"/>
        <v>8.4038705306032053</v>
      </c>
      <c r="AL25" s="22">
        <f t="shared" si="4"/>
        <v>61.195253174133917</v>
      </c>
      <c r="AM25" s="62">
        <f t="shared" si="5"/>
        <v>344.75080872968948</v>
      </c>
      <c r="AN25" s="62">
        <f ca="1">AVERAGE(OFFSET($AM$3,0,0,'Données projet'!$E$10+1,1))-AVERAGE(OFFSET($H$3,0,0,'Données projet'!$E$10+1,1))</f>
        <v>121.79484266530449</v>
      </c>
      <c r="AO25" s="62">
        <f t="shared" si="36"/>
        <v>129.14577359424788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0.74183860133934043</v>
      </c>
      <c r="AX25" s="23">
        <f t="shared" si="6"/>
        <v>0.74183860133934043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1.2</v>
      </c>
      <c r="BD25" s="13">
        <f>IF('Données projet'!$A$88&gt;35,BD24+BC25-BL24,IF(A25&lt;'Données projet'!$A$88,$BA$205^A25,IF(A25='Données projet'!$A$88,'Données projet'!$B$88,BD24+BC25-BL24)))</f>
        <v>19.946500129940819</v>
      </c>
      <c r="BE25" s="14">
        <f>BD25*VLOOKUP('Données projet'!$B$11,Paramètres!$A$1:$I$89,3,0)*VLOOKUP('Données projet'!$B$11,Paramètres!$A$1:$I$89,5,0)</f>
        <v>20.225751131759992</v>
      </c>
      <c r="BF25" s="14">
        <f t="shared" si="37"/>
        <v>6.5682461766784241</v>
      </c>
      <c r="BG25" s="22">
        <f t="shared" si="7"/>
        <v>46.666211978863579</v>
      </c>
      <c r="BH25" s="62">
        <f t="shared" si="8"/>
        <v>330.22176753441914</v>
      </c>
      <c r="BI25" s="62">
        <f ca="1">AVERAGE(OFFSET($BH$3,0,0,'Données projet'!$E$11+1,1))-AVERAGE(OFFSET($H$3,0,0,'Données projet'!$E$11+1,1))</f>
        <v>201.65575435598231</v>
      </c>
      <c r="BJ25" s="62">
        <f t="shared" si="38"/>
        <v>103.75701796419935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4.3703703703703702</v>
      </c>
      <c r="BY25" s="13">
        <f>IF('Données projet'!$A$114&gt;35,BY24+BX25-CG24,IF(A25&lt;'Données projet'!$A$114,$BV$205^A25,IF(A25='Données projet'!$A$114,'Données projet'!$B$114,BY24+BX25-CG24)))</f>
        <v>48.775323004469058</v>
      </c>
      <c r="BZ25" s="14">
        <f>BY25*VLOOKUP('Données projet'!$B$12,Paramètres!$A$1:$I$89,3,0)*VLOOKUP('Données projet'!$B$12,Paramètres!$A$1:$I$89,5,0)</f>
        <v>29.167643156672497</v>
      </c>
      <c r="CA25" s="14">
        <f t="shared" si="39"/>
        <v>9.0769279301265016</v>
      </c>
      <c r="CB25" s="22">
        <f t="shared" si="10"/>
        <v>66.60929464284159</v>
      </c>
      <c r="CC25" s="62">
        <f t="shared" si="11"/>
        <v>350.16485019839712</v>
      </c>
      <c r="CD25" s="62">
        <f ca="1">AVERAGE(OFFSET($CC$3,0,0,'Données projet'!$E$12+1,1))-AVERAGE(OFFSET($H$3,0,0,'Données projet'!$E$12+1,1))</f>
        <v>222.32495275055498</v>
      </c>
      <c r="CE25" s="62">
        <f t="shared" si="40"/>
        <v>156.39259018918381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18.657599999999995</v>
      </c>
      <c r="D26" s="12">
        <f t="shared" si="32"/>
        <v>6.1161796062812925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191.23619345199589</v>
      </c>
      <c r="H26" s="70">
        <f t="shared" si="1"/>
        <v>299.81433281427326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9.0238095238095237</v>
      </c>
      <c r="N26" s="14">
        <f>IF('Données projet'!$A$36&gt;35,N25+M26-V25,IF(A26&lt;'Données projet'!$A$36,$K$205^A26,IF(A26='Données projet'!$A$36,'Données projet'!$B$36,N25+M26-V25)))</f>
        <v>207.54761904761898</v>
      </c>
      <c r="O26" s="14">
        <f>N26*VLOOKUP('Données projet'!$B$9,Paramètres!$A$1:$I$89,3,0)*VLOOKUP('Données projet'!$B$9,Paramètres!$A$1:$I$89,5,0)</f>
        <v>97.132285714285686</v>
      </c>
      <c r="P26" s="14">
        <f t="shared" si="33"/>
        <v>26.277651551700433</v>
      </c>
      <c r="Q26" s="22">
        <f t="shared" si="2"/>
        <v>214.9389740715925</v>
      </c>
      <c r="R26" s="62">
        <f t="shared" si="0"/>
        <v>499.71675184937027</v>
      </c>
      <c r="S26" s="62">
        <f ca="1">AVERAGE(OFFSET($R$3,0,0,'Données projet'!$E$9+1,1))-AVERAGE(OFFSET($H$3,0,0,'Données projet'!$E$9+1,1))</f>
        <v>273.21086764807194</v>
      </c>
      <c r="T26" s="62">
        <f t="shared" si="34"/>
        <v>259.3474218586631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7.8</v>
      </c>
      <c r="AI26" s="14">
        <f>IF('Données projet'!$A$62&gt;35,AI25+AH26-AQ25,IF(A26&lt;'Données projet'!$A$62,$AF$205^A26,IF(A26='Données projet'!$A$62,'Données projet'!$B$62,AI25+AH26-AQ25)))</f>
        <v>38.4</v>
      </c>
      <c r="AJ26" s="14">
        <f>AI26*VLOOKUP('Données projet'!$B$10,Paramètres!$A$1:$I$89,3,0)*VLOOKUP('Données projet'!$B$10,Paramètres!$A$1:$I$89,5,0)</f>
        <v>33.546240000000004</v>
      </c>
      <c r="AK26" s="14">
        <f t="shared" si="35"/>
        <v>10.270958406379922</v>
      </c>
      <c r="AL26" s="22">
        <f t="shared" si="4"/>
        <v>76.314953891111699</v>
      </c>
      <c r="AM26" s="62">
        <f t="shared" si="5"/>
        <v>361.09273166888948</v>
      </c>
      <c r="AN26" s="62">
        <f ca="1">AVERAGE(OFFSET($AM$3,0,0,'Données projet'!$E$10+1,1))-AVERAGE(OFFSET($H$3,0,0,'Données projet'!$E$10+1,1))</f>
        <v>121.79484266530449</v>
      </c>
      <c r="AO26" s="62">
        <f t="shared" si="36"/>
        <v>129.14577359424788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0.52455910555299146</v>
      </c>
      <c r="AX26" s="23">
        <f t="shared" si="6"/>
        <v>0.52455910555299146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1.2</v>
      </c>
      <c r="BD26" s="13">
        <f>IF('Données projet'!$A$88&gt;35,BD25+BC26-BL25,IF(A26&lt;'Données projet'!$A$88,$BA$205^A26,IF(A26='Données projet'!$A$88,'Données projet'!$B$88,BD25+BC26-BL25)))</f>
        <v>22.853438584779923</v>
      </c>
      <c r="BE26" s="14">
        <f>BD26*VLOOKUP('Données projet'!$B$11,Paramètres!$A$1:$I$89,3,0)*VLOOKUP('Données projet'!$B$11,Paramètres!$A$1:$I$89,5,0)</f>
        <v>23.173386724966843</v>
      </c>
      <c r="BF26" s="14">
        <f t="shared" si="37"/>
        <v>7.4072464638622444</v>
      </c>
      <c r="BG26" s="22">
        <f t="shared" si="7"/>
        <v>53.261269470543994</v>
      </c>
      <c r="BH26" s="62">
        <f t="shared" si="8"/>
        <v>338.03904724832176</v>
      </c>
      <c r="BI26" s="62">
        <f ca="1">AVERAGE(OFFSET($BH$3,0,0,'Données projet'!$E$11+1,1))-AVERAGE(OFFSET($H$3,0,0,'Données projet'!$E$11+1,1))</f>
        <v>201.65575435598231</v>
      </c>
      <c r="BJ26" s="62">
        <f t="shared" si="38"/>
        <v>103.75701796419935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4.3703703703703702</v>
      </c>
      <c r="BY26" s="13">
        <f>IF('Données projet'!$A$114&gt;35,BY25+BX26-CG25,IF(A26&lt;'Données projet'!$A$114,$BV$205^A26,IF(A26='Données projet'!$A$114,'Données projet'!$B$114,BY25+BX26-CG25)))</f>
        <v>58.201814542189823</v>
      </c>
      <c r="BZ26" s="14">
        <f>BY26*VLOOKUP('Données projet'!$B$12,Paramètres!$A$1:$I$89,3,0)*VLOOKUP('Données projet'!$B$12,Paramètres!$A$1:$I$89,5,0)</f>
        <v>34.804685096229512</v>
      </c>
      <c r="CA26" s="14">
        <f t="shared" si="39"/>
        <v>10.610678220189007</v>
      </c>
      <c r="CB26" s="22">
        <f t="shared" si="10"/>
        <v>79.098424442762266</v>
      </c>
      <c r="CC26" s="62">
        <f t="shared" si="11"/>
        <v>363.87620222054005</v>
      </c>
      <c r="CD26" s="62">
        <f ca="1">AVERAGE(OFFSET($CC$3,0,0,'Données projet'!$E$12+1,1))-AVERAGE(OFFSET($H$3,0,0,'Données projet'!$E$12+1,1))</f>
        <v>222.32495275055498</v>
      </c>
      <c r="CE26" s="62">
        <f t="shared" si="40"/>
        <v>156.39259018918381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19.468799999999995</v>
      </c>
      <c r="D27" s="12">
        <f t="shared" si="32"/>
        <v>6.3505621056489936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199.30735660500974</v>
      </c>
      <c r="H27" s="70">
        <f t="shared" si="1"/>
        <v>301.63538900067203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9.0238095238095237</v>
      </c>
      <c r="N27" s="14">
        <f>IF('Données projet'!$A$36&gt;35,N26+M27-V26,IF(A27&lt;'Données projet'!$A$36,$K$205^A27,IF(A27='Données projet'!$A$36,'Données projet'!$B$36,N26+M27-V26)))</f>
        <v>216.5714285714285</v>
      </c>
      <c r="O27" s="14">
        <f>N27*VLOOKUP('Données projet'!$B$9,Paramètres!$A$1:$I$89,3,0)*VLOOKUP('Données projet'!$B$9,Paramètres!$A$1:$I$89,5,0)</f>
        <v>101.35542857142853</v>
      </c>
      <c r="P27" s="14">
        <f t="shared" si="33"/>
        <v>27.284656258016717</v>
      </c>
      <c r="Q27" s="22">
        <f t="shared" si="2"/>
        <v>224.04814774461713</v>
      </c>
      <c r="R27" s="62">
        <f t="shared" si="0"/>
        <v>510.04814774461715</v>
      </c>
      <c r="S27" s="62">
        <f ca="1">AVERAGE(OFFSET($R$3,0,0,'Données projet'!$E$9+1,1))-AVERAGE(OFFSET($H$3,0,0,'Données projet'!$E$9+1,1))</f>
        <v>273.21086764807194</v>
      </c>
      <c r="T27" s="62">
        <f t="shared" si="34"/>
        <v>259.3474218586631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7.8</v>
      </c>
      <c r="AI27" s="14">
        <f>IF('Données projet'!$A$62&gt;35,AI26+AH27-AQ26,IF(A27&lt;'Données projet'!$A$62,$AF$205^A27,IF(A27='Données projet'!$A$62,'Données projet'!$B$62,AI26+AH27-AQ26)))</f>
        <v>46.199999999999996</v>
      </c>
      <c r="AJ27" s="14">
        <f>AI27*VLOOKUP('Données projet'!$B$10,Paramètres!$A$1:$I$89,3,0)*VLOOKUP('Données projet'!$B$10,Paramètres!$A$1:$I$89,5,0)</f>
        <v>40.360320000000002</v>
      </c>
      <c r="AK27" s="14">
        <f t="shared" si="35"/>
        <v>12.09409986057485</v>
      </c>
      <c r="AL27" s="22">
        <f t="shared" si="4"/>
        <v>91.358114590501202</v>
      </c>
      <c r="AM27" s="62">
        <f t="shared" si="5"/>
        <v>377.3581145905012</v>
      </c>
      <c r="AN27" s="62">
        <f ca="1">AVERAGE(OFFSET($AM$3,0,0,'Données projet'!$E$10+1,1))-AVERAGE(OFFSET($H$3,0,0,'Données projet'!$E$10+1,1))</f>
        <v>121.79484266530449</v>
      </c>
      <c r="AO27" s="62">
        <f t="shared" si="36"/>
        <v>129.14577359424788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0.37091930066967022</v>
      </c>
      <c r="AX27" s="23">
        <f t="shared" si="6"/>
        <v>0.37091930066967022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1.2</v>
      </c>
      <c r="BD27" s="13">
        <f>IF('Données projet'!$A$88&gt;35,BD26+BC27-BL26,IF(A27&lt;'Données projet'!$A$88,$BA$205^A27,IF(A27='Données projet'!$A$88,'Données projet'!$B$88,BD26+BC27-BL26)))</f>
        <v>26.184024853780567</v>
      </c>
      <c r="BE27" s="14">
        <f>BD27*VLOOKUP('Données projet'!$B$11,Paramètres!$A$1:$I$89,3,0)*VLOOKUP('Données projet'!$B$11,Paramètres!$A$1:$I$89,5,0)</f>
        <v>26.550601201733496</v>
      </c>
      <c r="BF27" s="14">
        <f t="shared" si="37"/>
        <v>8.3534171376241328</v>
      </c>
      <c r="BG27" s="22">
        <f t="shared" si="7"/>
        <v>60.7911652743812</v>
      </c>
      <c r="BH27" s="62">
        <f t="shared" si="8"/>
        <v>346.79116527438123</v>
      </c>
      <c r="BI27" s="62">
        <f ca="1">AVERAGE(OFFSET($BH$3,0,0,'Données projet'!$E$11+1,1))-AVERAGE(OFFSET($H$3,0,0,'Données projet'!$E$11+1,1))</f>
        <v>201.65575435598231</v>
      </c>
      <c r="BJ27" s="62">
        <f t="shared" si="38"/>
        <v>103.75701796419935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4.3703703703703702</v>
      </c>
      <c r="BY27" s="13">
        <f>IF('Données projet'!$A$114&gt;35,BY26+BX27-CG26,IF(A27&lt;'Données projet'!$A$114,$BV$205^A27,IF(A27='Données projet'!$A$114,'Données projet'!$B$114,BY26+BX27-CG26)))</f>
        <v>69.450103194459274</v>
      </c>
      <c r="BZ27" s="14">
        <f>BY27*VLOOKUP('Données projet'!$B$12,Paramètres!$A$1:$I$89,3,0)*VLOOKUP('Données projet'!$B$12,Paramètres!$A$1:$I$89,5,0)</f>
        <v>41.531161710286646</v>
      </c>
      <c r="CA27" s="14">
        <f t="shared" si="39"/>
        <v>12.40358997659513</v>
      </c>
      <c r="CB27" s="22">
        <f t="shared" si="10"/>
        <v>93.936359187985758</v>
      </c>
      <c r="CC27" s="62">
        <f t="shared" si="11"/>
        <v>379.93635918798577</v>
      </c>
      <c r="CD27" s="62">
        <f ca="1">AVERAGE(OFFSET($CC$3,0,0,'Données projet'!$E$12+1,1))-AVERAGE(OFFSET($H$3,0,0,'Données projet'!$E$12+1,1))</f>
        <v>222.32495275055498</v>
      </c>
      <c r="CE27" s="62">
        <f t="shared" si="40"/>
        <v>156.39259018918381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20.279999999999994</v>
      </c>
      <c r="D28" s="12">
        <f t="shared" si="32"/>
        <v>6.5838102554415281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207.36976337533807</v>
      </c>
      <c r="H28" s="70">
        <f t="shared" si="1"/>
        <v>303.45446952822732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9.0238095238095237</v>
      </c>
      <c r="N28" s="14">
        <f>IF('Données projet'!$A$36&gt;35,N27+M28-V27,IF(A28&lt;'Données projet'!$A$36,$K$205^A28,IF(A28='Données projet'!$A$36,'Données projet'!$B$36,N27+M28-V27)))</f>
        <v>225.59523809523802</v>
      </c>
      <c r="O28" s="14">
        <f>N28*VLOOKUP('Données projet'!$B$9,Paramètres!$A$1:$I$89,3,0)*VLOOKUP('Données projet'!$B$9,Paramètres!$A$1:$I$89,5,0)</f>
        <v>105.57857142857139</v>
      </c>
      <c r="P28" s="14">
        <f t="shared" si="33"/>
        <v>28.286787326736878</v>
      </c>
      <c r="Q28" s="22">
        <f t="shared" si="2"/>
        <v>233.14883316549523</v>
      </c>
      <c r="R28" s="62">
        <f t="shared" si="0"/>
        <v>520.37105538771743</v>
      </c>
      <c r="S28" s="62">
        <f ca="1">AVERAGE(OFFSET($R$3,0,0,'Données projet'!$E$9+1,1))-AVERAGE(OFFSET($H$3,0,0,'Données projet'!$E$9+1,1))</f>
        <v>273.21086764807194</v>
      </c>
      <c r="T28" s="62">
        <f t="shared" si="34"/>
        <v>259.3474218586631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54</v>
      </c>
      <c r="AG28" s="13">
        <f>VLOOKUP(A28,'Données projet'!$A$61:$I$81,9,0)</f>
        <v>7.8</v>
      </c>
      <c r="AH28" s="13">
        <f t="array" ref="AH28">INDEX(AG:AG,MIN(IF(ISNUMBER(AG28:AG224),ROW(AG28:AG224),"")))</f>
        <v>7.8</v>
      </c>
      <c r="AI28" s="14">
        <f>IF('Données projet'!$A$62&gt;35,AI27+AH28-AQ27,IF(A28&lt;'Données projet'!$A$62,$AF$205^A28,IF(A28='Données projet'!$A$62,'Données projet'!$B$62,AI27+AH28-AQ27)))</f>
        <v>53.999999999999993</v>
      </c>
      <c r="AJ28" s="14">
        <f>AI28*VLOOKUP('Données projet'!$B$10,Paramètres!$A$1:$I$89,3,0)*VLOOKUP('Données projet'!$B$10,Paramètres!$A$1:$I$89,5,0)</f>
        <v>47.174399999999999</v>
      </c>
      <c r="AK28" s="14">
        <f t="shared" si="35"/>
        <v>13.881584044427933</v>
      </c>
      <c r="AL28" s="22">
        <f t="shared" si="4"/>
        <v>106.33917221071198</v>
      </c>
      <c r="AM28" s="62">
        <f t="shared" si="5"/>
        <v>393.56139443293421</v>
      </c>
      <c r="AN28" s="62">
        <f ca="1">AVERAGE(OFFSET($AM$3,0,0,'Données projet'!$E$10+1,1))-AVERAGE(OFFSET($H$3,0,0,'Données projet'!$E$10+1,1))</f>
        <v>121.79484266530449</v>
      </c>
      <c r="AO28" s="62">
        <f t="shared" si="36"/>
        <v>129.14577359424788</v>
      </c>
      <c r="AP28" s="16">
        <f>IF(ISNA(VLOOKUP(A28,'Données projet'!$A$61:$I$81,3,0)),0,VLOOKUP(A28,'Données projet'!$A$61:$I$81,3,0))</f>
        <v>2</v>
      </c>
      <c r="AQ28" s="16">
        <f>IF(ISNA(VLOOKUP(A28,'Données projet'!$A$61:$I$81,4,0)),0,VLOOKUP(A28,'Données projet'!$A$61:$I$81,4,0))</f>
        <v>14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0.6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7.1861064986103411</v>
      </c>
      <c r="AX28" s="23">
        <f t="shared" si="6"/>
        <v>7.1861064986103411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30</v>
      </c>
      <c r="BB28" s="13">
        <f>VLOOKUP(A28,'Données projet'!$A$87:$I$107,9,0)</f>
        <v>1.2</v>
      </c>
      <c r="BC28" s="13">
        <f t="array" ref="BC28">INDEX(BB:BB,MIN(IF(ISNUMBER(BB28:BB224),ROW(BB28:BB224),"")))</f>
        <v>1.2</v>
      </c>
      <c r="BD28" s="13">
        <f>IF('Données projet'!$A$88&gt;35,BD27+BC28-BL27,IF(A28&lt;'Données projet'!$A$88,$BA$205^A28,IF(A28='Données projet'!$A$88,'Données projet'!$B$88,BD27+BC28-BL27)))</f>
        <v>30</v>
      </c>
      <c r="BE28" s="14">
        <f>BD28*VLOOKUP('Données projet'!$B$11,Paramètres!$A$1:$I$89,3,0)*VLOOKUP('Données projet'!$B$11,Paramètres!$A$1:$I$89,5,0)</f>
        <v>30.42</v>
      </c>
      <c r="BF28" s="14">
        <f t="shared" si="37"/>
        <v>9.4204476947792024</v>
      </c>
      <c r="BG28" s="22">
        <f t="shared" si="7"/>
        <v>69.388779735073783</v>
      </c>
      <c r="BH28" s="62">
        <f t="shared" si="8"/>
        <v>356.61100195729603</v>
      </c>
      <c r="BI28" s="62">
        <f ca="1">AVERAGE(OFFSET($BH$3,0,0,'Données projet'!$E$11+1,1))-AVERAGE(OFFSET($H$3,0,0,'Données projet'!$E$11+1,1))</f>
        <v>201.65575435598231</v>
      </c>
      <c r="BJ28" s="62">
        <f t="shared" si="38"/>
        <v>103.75701796419935</v>
      </c>
      <c r="BK28" s="16">
        <f>IF(ISNA(VLOOKUP(A28,'Données projet'!$A$87:$I$107,3,0)),0,VLOOKUP(A28,'Données projet'!$A$87:$I$107,3,0))</f>
        <v>1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4.3703703703703702</v>
      </c>
      <c r="BY28" s="13">
        <f>IF('Données projet'!$A$114&gt;35,BY27+BX28-CG27,IF(A28&lt;'Données projet'!$A$114,$BV$205^A28,IF(A28='Données projet'!$A$114,'Données projet'!$B$114,BY27+BX28-CG27)))</f>
        <v>82.872275918900684</v>
      </c>
      <c r="BZ28" s="14">
        <f>BY28*VLOOKUP('Données projet'!$B$12,Paramètres!$A$1:$I$89,3,0)*VLOOKUP('Données projet'!$B$12,Paramètres!$A$1:$I$89,5,0)</f>
        <v>49.557620999502618</v>
      </c>
      <c r="CA28" s="14">
        <f t="shared" si="39"/>
        <v>14.49945433410293</v>
      </c>
      <c r="CB28" s="22">
        <f t="shared" si="10"/>
        <v>111.56607287269634</v>
      </c>
      <c r="CC28" s="62">
        <f t="shared" si="11"/>
        <v>398.78829509491857</v>
      </c>
      <c r="CD28" s="62">
        <f ca="1">AVERAGE(OFFSET($CC$3,0,0,'Données projet'!$E$12+1,1))-AVERAGE(OFFSET($H$3,0,0,'Données projet'!$E$12+1,1))</f>
        <v>222.32495275055498</v>
      </c>
      <c r="CE28" s="62">
        <f t="shared" si="40"/>
        <v>156.39259018918381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21.091199999999994</v>
      </c>
      <c r="D29" s="12">
        <f t="shared" si="32"/>
        <v>6.8159746209088015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215.42380409122578</v>
      </c>
      <c r="H29" s="70">
        <f t="shared" si="1"/>
        <v>305.27166246474951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9.0238095238095237</v>
      </c>
      <c r="N29" s="14">
        <f>IF('Données projet'!$A$36&gt;35,N28+M29-V28,IF(A29&lt;'Données projet'!$A$36,$K$205^A29,IF(A29='Données projet'!$A$36,'Données projet'!$B$36,N28+M29-V28)))</f>
        <v>234.61904761904754</v>
      </c>
      <c r="O29" s="14">
        <f>N29*VLOOKUP('Données projet'!$B$9,Paramètres!$A$1:$I$89,3,0)*VLOOKUP('Données projet'!$B$9,Paramètres!$A$1:$I$89,5,0)</f>
        <v>109.80171428571424</v>
      </c>
      <c r="P29" s="14">
        <f t="shared" si="33"/>
        <v>29.28426200720655</v>
      </c>
      <c r="Q29" s="22">
        <f t="shared" si="2"/>
        <v>242.24140871017039</v>
      </c>
      <c r="R29" s="62">
        <f t="shared" si="0"/>
        <v>530.68585315461485</v>
      </c>
      <c r="S29" s="62">
        <f ca="1">AVERAGE(OFFSET($R$3,0,0,'Données projet'!$E$9+1,1))-AVERAGE(OFFSET($H$3,0,0,'Données projet'!$E$9+1,1))</f>
        <v>273.21086764807194</v>
      </c>
      <c r="T29" s="62">
        <f t="shared" si="34"/>
        <v>259.3474218586631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7.2</v>
      </c>
      <c r="AI29" s="14">
        <f>IF('Données projet'!$A$62&gt;35,AI28+AH29-AQ28,IF(A29&lt;'Données projet'!$A$62,$AF$205^A29,IF(A29='Données projet'!$A$62,'Données projet'!$B$62,AI28+AH29-AQ28)))</f>
        <v>47.199999999999996</v>
      </c>
      <c r="AJ29" s="14">
        <f>AI29*VLOOKUP('Données projet'!$B$10,Paramètres!$A$1:$I$89,3,0)*VLOOKUP('Données projet'!$B$10,Paramètres!$A$1:$I$89,5,0)</f>
        <v>41.233919999999998</v>
      </c>
      <c r="AK29" s="14">
        <f t="shared" si="35"/>
        <v>12.325116999638462</v>
      </c>
      <c r="AL29" s="22">
        <f t="shared" si="4"/>
        <v>93.28198944103697</v>
      </c>
      <c r="AM29" s="62">
        <f t="shared" si="5"/>
        <v>381.72643388548141</v>
      </c>
      <c r="AN29" s="62">
        <f ca="1">AVERAGE(OFFSET($AM$3,0,0,'Données projet'!$E$10+1,1))-AVERAGE(OFFSET($H$3,0,0,'Données projet'!$E$10+1,1))</f>
        <v>121.79484266530449</v>
      </c>
      <c r="AO29" s="62">
        <f t="shared" si="36"/>
        <v>129.14577359424788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5.0813446354960901</v>
      </c>
      <c r="AX29" s="23">
        <f t="shared" si="6"/>
        <v>5.0813446354960901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4.8</v>
      </c>
      <c r="BD29" s="13">
        <f>IF('Données projet'!$A$88&gt;35,BD28+BC29-BL28,IF(A29&lt;'Données projet'!$A$88,$BA$205^A29,IF(A29='Données projet'!$A$88,'Données projet'!$B$88,BD28+BC29-BL28)))</f>
        <v>34.799999999999997</v>
      </c>
      <c r="BE29" s="14">
        <f>BD29*VLOOKUP('Données projet'!$B$11,Paramètres!$A$1:$I$89,3,0)*VLOOKUP('Données projet'!$B$11,Paramètres!$A$1:$I$89,5,0)</f>
        <v>35.287199999999999</v>
      </c>
      <c r="BF29" s="14">
        <f t="shared" si="37"/>
        <v>10.740552489323523</v>
      </c>
      <c r="BG29" s="22">
        <f t="shared" si="7"/>
        <v>80.165002252238452</v>
      </c>
      <c r="BH29" s="62">
        <f t="shared" si="8"/>
        <v>368.60944669668288</v>
      </c>
      <c r="BI29" s="62">
        <f ca="1">AVERAGE(OFFSET($BH$3,0,0,'Données projet'!$E$11+1,1))-AVERAGE(OFFSET($H$3,0,0,'Données projet'!$E$11+1,1))</f>
        <v>201.65575435598231</v>
      </c>
      <c r="BJ29" s="62">
        <f t="shared" si="38"/>
        <v>103.75701796419935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4.3703703703703702</v>
      </c>
      <c r="BY29" s="13">
        <f>IF('Données projet'!$A$114&gt;35,BY28+BX29-CG28,IF(A29&lt;'Données projet'!$A$114,$BV$205^A29,IF(A29='Données projet'!$A$114,'Données projet'!$B$114,BY28+BX29-CG28)))</f>
        <v>98.888465244589028</v>
      </c>
      <c r="BZ29" s="14">
        <f>BY29*VLOOKUP('Données projet'!$B$12,Paramètres!$A$1:$I$89,3,0)*VLOOKUP('Données projet'!$B$12,Paramètres!$A$1:$I$89,5,0)</f>
        <v>59.135302216264243</v>
      </c>
      <c r="CA29" s="14">
        <f t="shared" si="39"/>
        <v>16.949461920575921</v>
      </c>
      <c r="CB29" s="22">
        <f t="shared" si="10"/>
        <v>132.51429753832994</v>
      </c>
      <c r="CC29" s="62">
        <f t="shared" si="11"/>
        <v>420.95874198277443</v>
      </c>
      <c r="CD29" s="62">
        <f ca="1">AVERAGE(OFFSET($CC$3,0,0,'Données projet'!$E$12+1,1))-AVERAGE(OFFSET($H$3,0,0,'Données projet'!$E$12+1,1))</f>
        <v>222.32495275055498</v>
      </c>
      <c r="CE29" s="62">
        <f t="shared" si="40"/>
        <v>156.39259018918381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21.902399999999993</v>
      </c>
      <c r="D30" s="12">
        <f t="shared" si="32"/>
        <v>7.047101657391166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223.4698373553002</v>
      </c>
      <c r="H30" s="70">
        <f t="shared" si="1"/>
        <v>307.08704871995627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9.0238095238095237</v>
      </c>
      <c r="N30" s="14">
        <f>IF('Données projet'!$A$36&gt;35,N29+M30-V29,IF(A30&lt;'Données projet'!$A$36,$K$205^A30,IF(A30='Données projet'!$A$36,'Données projet'!$B$36,N29+M30-V29)))</f>
        <v>243.64285714285705</v>
      </c>
      <c r="O30" s="14">
        <f>N30*VLOOKUP('Données projet'!$B$9,Paramètres!$A$1:$I$89,3,0)*VLOOKUP('Données projet'!$B$9,Paramètres!$A$1:$I$89,5,0)</f>
        <v>114.0248571428571</v>
      </c>
      <c r="P30" s="14">
        <f t="shared" si="33"/>
        <v>30.277279890890583</v>
      </c>
      <c r="Q30" s="22">
        <f t="shared" si="2"/>
        <v>251.32622200044386</v>
      </c>
      <c r="R30" s="62">
        <f t="shared" si="0"/>
        <v>540.99288866711049</v>
      </c>
      <c r="S30" s="62">
        <f ca="1">AVERAGE(OFFSET($R$3,0,0,'Données projet'!$E$9+1,1))-AVERAGE(OFFSET($H$3,0,0,'Données projet'!$E$9+1,1))</f>
        <v>273.21086764807194</v>
      </c>
      <c r="T30" s="62">
        <f t="shared" si="34"/>
        <v>259.3474218586631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7.2</v>
      </c>
      <c r="AI30" s="14">
        <f>IF('Données projet'!$A$62&gt;35,AI29+AH30-AQ29,IF(A30&lt;'Données projet'!$A$62,$AF$205^A30,IF(A30='Données projet'!$A$62,'Données projet'!$B$62,AI29+AH30-AQ29)))</f>
        <v>54.4</v>
      </c>
      <c r="AJ30" s="14">
        <f>AI30*VLOOKUP('Données projet'!$B$10,Paramètres!$A$1:$I$89,3,0)*VLOOKUP('Données projet'!$B$10,Paramètres!$A$1:$I$89,5,0)</f>
        <v>47.523840000000007</v>
      </c>
      <c r="AK30" s="14">
        <f t="shared" si="35"/>
        <v>13.972402520519896</v>
      </c>
      <c r="AL30" s="22">
        <f t="shared" si="4"/>
        <v>107.10595572323882</v>
      </c>
      <c r="AM30" s="62">
        <f t="shared" si="5"/>
        <v>396.77262238990551</v>
      </c>
      <c r="AN30" s="62">
        <f ca="1">AVERAGE(OFFSET($AM$3,0,0,'Données projet'!$E$10+1,1))-AVERAGE(OFFSET($H$3,0,0,'Données projet'!$E$10+1,1))</f>
        <v>121.79484266530449</v>
      </c>
      <c r="AO30" s="62">
        <f t="shared" si="36"/>
        <v>129.14577359424788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3.593053249305171</v>
      </c>
      <c r="AX30" s="23">
        <f t="shared" si="6"/>
        <v>3.593053249305171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4.8</v>
      </c>
      <c r="BD30" s="13">
        <f>IF('Données projet'!$A$88&gt;35,BD29+BC30-BL29,IF(A30&lt;'Données projet'!$A$88,$BA$205^A30,IF(A30='Données projet'!$A$88,'Données projet'!$B$88,BD29+BC30-BL29)))</f>
        <v>39.599999999999994</v>
      </c>
      <c r="BE30" s="14">
        <f>BD30*VLOOKUP('Données projet'!$B$11,Paramètres!$A$1:$I$89,3,0)*VLOOKUP('Données projet'!$B$11,Paramètres!$A$1:$I$89,5,0)</f>
        <v>40.154399999999995</v>
      </c>
      <c r="BF30" s="14">
        <f t="shared" si="37"/>
        <v>12.039561463286329</v>
      </c>
      <c r="BG30" s="22">
        <f t="shared" si="7"/>
        <v>90.90448288189036</v>
      </c>
      <c r="BH30" s="62">
        <f t="shared" si="8"/>
        <v>380.57114954855706</v>
      </c>
      <c r="BI30" s="62">
        <f ca="1">AVERAGE(OFFSET($BH$3,0,0,'Données projet'!$E$11+1,1))-AVERAGE(OFFSET($H$3,0,0,'Données projet'!$E$11+1,1))</f>
        <v>201.65575435598231</v>
      </c>
      <c r="BJ30" s="62">
        <f t="shared" si="38"/>
        <v>103.75701796419935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>
        <f>VLOOKUP(A30,'Données projet'!$A$113:$I$133,2,0)</f>
        <v>118</v>
      </c>
      <c r="BW30" s="13">
        <f>VLOOKUP(A30,'Données projet'!$A$113:$I$133,9,0)</f>
        <v>4.3703703703703702</v>
      </c>
      <c r="BX30" s="13">
        <f t="array" ref="BX30">INDEX(BW:BW,MIN(IF(ISNUMBER(BW30:BW226),ROW(BW30:BW226),"")))</f>
        <v>4.3703703703703702</v>
      </c>
      <c r="BY30" s="13">
        <f>IF('Données projet'!$A$114&gt;35,BY29+BX30-CG29,IF(A30&lt;'Données projet'!$A$114,$BV$205^A30,IF(A30='Données projet'!$A$114,'Données projet'!$B$114,BY29+BX30-CG29)))</f>
        <v>118</v>
      </c>
      <c r="BZ30" s="14">
        <f>BY30*VLOOKUP('Données projet'!$B$12,Paramètres!$A$1:$I$89,3,0)*VLOOKUP('Données projet'!$B$12,Paramètres!$A$1:$I$89,5,0)</f>
        <v>70.564000000000007</v>
      </c>
      <c r="CA30" s="14">
        <f t="shared" si="39"/>
        <v>19.813453167086163</v>
      </c>
      <c r="CB30" s="22">
        <f t="shared" si="10"/>
        <v>157.40739759934175</v>
      </c>
      <c r="CC30" s="62">
        <f t="shared" si="11"/>
        <v>447.07406426600846</v>
      </c>
      <c r="CD30" s="62">
        <f ca="1">AVERAGE(OFFSET($CC$3,0,0,'Données projet'!$E$12+1,1))-AVERAGE(OFFSET($H$3,0,0,'Données projet'!$E$12+1,1))</f>
        <v>222.32495275055498</v>
      </c>
      <c r="CE30" s="62">
        <f t="shared" si="40"/>
        <v>156.39259018918381</v>
      </c>
      <c r="CF30" s="16">
        <f>IF(ISNA(VLOOKUP(A30,'Données projet'!$A$113:$I$133,3,0)),0,VLOOKUP(A30,'Données projet'!$A$113:$I$133,3,0))</f>
        <v>1</v>
      </c>
      <c r="CG30" s="16">
        <f>IF(ISNA(VLOOKUP(A30,'Données projet'!$A$113:$I$133,4,0)),0,VLOOKUP(A30,'Données projet'!$A$113:$I$133,4,0))</f>
        <v>15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1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10.1561237088124</v>
      </c>
      <c r="CN30" s="24">
        <f t="shared" si="12"/>
        <v>10.1561237088124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22.713599999999992</v>
      </c>
      <c r="D31" s="12">
        <f t="shared" si="32"/>
        <v>7.2772341841187966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231.50819370196962</v>
      </c>
      <c r="H31" s="70">
        <f t="shared" si="1"/>
        <v>308.90070287067357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9.0238095238095237</v>
      </c>
      <c r="N31" s="14">
        <f>IF('Données projet'!$A$36&gt;35,N30+M31-V30,IF(A31&lt;'Données projet'!$A$36,$K$205^A31,IF(A31='Données projet'!$A$36,'Données projet'!$B$36,N30+M31-V30)))</f>
        <v>252.66666666666657</v>
      </c>
      <c r="O31" s="14">
        <f>N31*VLOOKUP('Données projet'!$B$9,Paramètres!$A$1:$I$89,3,0)*VLOOKUP('Données projet'!$B$9,Paramètres!$A$1:$I$89,5,0)</f>
        <v>118.24799999999996</v>
      </c>
      <c r="P31" s="14">
        <f t="shared" si="33"/>
        <v>31.266024947011953</v>
      </c>
      <c r="Q31" s="22">
        <f t="shared" si="2"/>
        <v>260.40359344937906</v>
      </c>
      <c r="R31" s="62">
        <f t="shared" si="0"/>
        <v>551.29248233826797</v>
      </c>
      <c r="S31" s="62">
        <f ca="1">AVERAGE(OFFSET($R$3,0,0,'Données projet'!$E$9+1,1))-AVERAGE(OFFSET($H$3,0,0,'Données projet'!$E$9+1,1))</f>
        <v>273.21086764807194</v>
      </c>
      <c r="T31" s="62">
        <f t="shared" si="34"/>
        <v>259.3474218586631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7.2</v>
      </c>
      <c r="AI31" s="14">
        <f>IF('Données projet'!$A$62&gt;35,AI30+AH31-AQ30,IF(A31&lt;'Données projet'!$A$62,$AF$205^A31,IF(A31='Données projet'!$A$62,'Données projet'!$B$62,AI30+AH31-AQ30)))</f>
        <v>61.6</v>
      </c>
      <c r="AJ31" s="14">
        <f>AI31*VLOOKUP('Données projet'!$B$10,Paramètres!$A$1:$I$89,3,0)*VLOOKUP('Données projet'!$B$10,Paramètres!$A$1:$I$89,5,0)</f>
        <v>53.813760000000002</v>
      </c>
      <c r="AK31" s="14">
        <f t="shared" si="35"/>
        <v>15.594426863248383</v>
      </c>
      <c r="AL31" s="22">
        <f t="shared" si="4"/>
        <v>120.88592545349094</v>
      </c>
      <c r="AM31" s="62">
        <f t="shared" si="5"/>
        <v>411.77481434237978</v>
      </c>
      <c r="AN31" s="62">
        <f ca="1">AVERAGE(OFFSET($AM$3,0,0,'Données projet'!$E$10+1,1))-AVERAGE(OFFSET($H$3,0,0,'Données projet'!$E$10+1,1))</f>
        <v>121.79484266530449</v>
      </c>
      <c r="AO31" s="62">
        <f t="shared" si="36"/>
        <v>129.14577359424788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2.5406723177480455</v>
      </c>
      <c r="AX31" s="23">
        <f t="shared" si="6"/>
        <v>2.5406723177480455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4.8</v>
      </c>
      <c r="BD31" s="13">
        <f>IF('Données projet'!$A$88&gt;35,BD30+BC31-BL30,IF(A31&lt;'Données projet'!$A$88,$BA$205^A31,IF(A31='Données projet'!$A$88,'Données projet'!$B$88,BD30+BC31-BL30)))</f>
        <v>44.399999999999991</v>
      </c>
      <c r="BE31" s="14">
        <f>BD31*VLOOKUP('Données projet'!$B$11,Paramètres!$A$1:$I$89,3,0)*VLOOKUP('Données projet'!$B$11,Paramètres!$A$1:$I$89,5,0)</f>
        <v>45.021599999999992</v>
      </c>
      <c r="BF31" s="14">
        <f t="shared" si="37"/>
        <v>13.320324173992205</v>
      </c>
      <c r="BG31" s="22">
        <f t="shared" si="7"/>
        <v>101.6121846030364</v>
      </c>
      <c r="BH31" s="62">
        <f t="shared" si="8"/>
        <v>392.50107349192524</v>
      </c>
      <c r="BI31" s="62">
        <f ca="1">AVERAGE(OFFSET($BH$3,0,0,'Données projet'!$E$11+1,1))-AVERAGE(OFFSET($H$3,0,0,'Données projet'!$E$11+1,1))</f>
        <v>201.65575435598231</v>
      </c>
      <c r="BJ31" s="62">
        <f t="shared" si="38"/>
        <v>103.75701796419935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9.6666666666666661</v>
      </c>
      <c r="BY31" s="13">
        <f>IF('Données projet'!$A$114&gt;35,BY30+BX31-CG30,IF(A31&lt;'Données projet'!$A$114,$BV$205^A31,IF(A31='Données projet'!$A$114,'Données projet'!$B$114,BY30+BX31-CG30)))</f>
        <v>112.66666666666667</v>
      </c>
      <c r="BZ31" s="14">
        <f>BY31*VLOOKUP('Données projet'!$B$12,Paramètres!$A$1:$I$89,3,0)*VLOOKUP('Données projet'!$B$12,Paramètres!$A$1:$I$89,5,0)</f>
        <v>67.37466666666667</v>
      </c>
      <c r="CA31" s="14">
        <f t="shared" si="39"/>
        <v>19.020051421525295</v>
      </c>
      <c r="CB31" s="22">
        <f t="shared" si="10"/>
        <v>150.47080067026766</v>
      </c>
      <c r="CC31" s="62">
        <f t="shared" si="11"/>
        <v>441.35968955915655</v>
      </c>
      <c r="CD31" s="62">
        <f ca="1">AVERAGE(OFFSET($CC$3,0,0,'Données projet'!$E$12+1,1))-AVERAGE(OFFSET($H$3,0,0,'Données projet'!$E$12+1,1))</f>
        <v>222.32495275055498</v>
      </c>
      <c r="CE31" s="62">
        <f t="shared" si="40"/>
        <v>156.39259018918381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7.1814639450707176</v>
      </c>
      <c r="CN31" s="24">
        <f t="shared" si="12"/>
        <v>7.1814639450707176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23.524799999999992</v>
      </c>
      <c r="D32" s="12">
        <f t="shared" si="32"/>
        <v>7.5064117884233523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239.53917871765393</v>
      </c>
      <c r="H32" s="70">
        <f t="shared" si="1"/>
        <v>310.71269386483732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9.0238095238095237</v>
      </c>
      <c r="N32" s="14">
        <f>IF('Données projet'!$A$36&gt;35,N31+M32-V31,IF(A32&lt;'Données projet'!$A$36,$K$205^A32,IF(A32='Données projet'!$A$36,'Données projet'!$B$36,N31+M32-V31)))</f>
        <v>261.69047619047609</v>
      </c>
      <c r="O32" s="14">
        <f>N32*VLOOKUP('Données projet'!$B$9,Paramètres!$A$1:$I$89,3,0)*VLOOKUP('Données projet'!$B$9,Paramètres!$A$1:$I$89,5,0)</f>
        <v>122.47114285714281</v>
      </c>
      <c r="P32" s="14">
        <f t="shared" si="33"/>
        <v>32.250667259213493</v>
      </c>
      <c r="Q32" s="22">
        <f t="shared" si="2"/>
        <v>269.47381928598719</v>
      </c>
      <c r="R32" s="62">
        <f t="shared" si="0"/>
        <v>561.58493039709833</v>
      </c>
      <c r="S32" s="62">
        <f ca="1">AVERAGE(OFFSET($R$3,0,0,'Données projet'!$E$9+1,1))-AVERAGE(OFFSET($H$3,0,0,'Données projet'!$E$9+1,1))</f>
        <v>273.21086764807194</v>
      </c>
      <c r="T32" s="62">
        <f t="shared" si="34"/>
        <v>259.3474218586631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7.2</v>
      </c>
      <c r="AI32" s="14">
        <f>IF('Données projet'!$A$62&gt;35,AI31+AH32-AQ31,IF(A32&lt;'Données projet'!$A$62,$AF$205^A32,IF(A32='Données projet'!$A$62,'Données projet'!$B$62,AI31+AH32-AQ31)))</f>
        <v>68.8</v>
      </c>
      <c r="AJ32" s="14">
        <f>AI32*VLOOKUP('Données projet'!$B$10,Paramètres!$A$1:$I$89,3,0)*VLOOKUP('Données projet'!$B$10,Paramètres!$A$1:$I$89,5,0)</f>
        <v>60.103679999999997</v>
      </c>
      <c r="AK32" s="14">
        <f t="shared" si="35"/>
        <v>17.194479934863121</v>
      </c>
      <c r="AL32" s="22">
        <f t="shared" si="4"/>
        <v>134.62762855321992</v>
      </c>
      <c r="AM32" s="62">
        <f t="shared" si="5"/>
        <v>426.73873966433109</v>
      </c>
      <c r="AN32" s="62">
        <f ca="1">AVERAGE(OFFSET($AM$3,0,0,'Données projet'!$E$10+1,1))-AVERAGE(OFFSET($H$3,0,0,'Données projet'!$E$10+1,1))</f>
        <v>121.79484266530449</v>
      </c>
      <c r="AO32" s="62">
        <f t="shared" si="36"/>
        <v>129.14577359424788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1.7965266246525859</v>
      </c>
      <c r="AX32" s="23">
        <f t="shared" si="6"/>
        <v>1.7965266246525859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4.8</v>
      </c>
      <c r="BD32" s="13">
        <f>IF('Données projet'!$A$88&gt;35,BD31+BC32-BL31,IF(A32&lt;'Données projet'!$A$88,$BA$205^A32,IF(A32='Données projet'!$A$88,'Données projet'!$B$88,BD31+BC32-BL31)))</f>
        <v>49.199999999999989</v>
      </c>
      <c r="BE32" s="14">
        <f>BD32*VLOOKUP('Données projet'!$B$11,Paramètres!$A$1:$I$89,3,0)*VLOOKUP('Données projet'!$B$11,Paramètres!$A$1:$I$89,5,0)</f>
        <v>49.888799999999989</v>
      </c>
      <c r="BF32" s="14">
        <f t="shared" si="37"/>
        <v>14.585038058304724</v>
      </c>
      <c r="BG32" s="22">
        <f t="shared" si="7"/>
        <v>112.29193461821403</v>
      </c>
      <c r="BH32" s="62">
        <f t="shared" si="8"/>
        <v>404.40304572932519</v>
      </c>
      <c r="BI32" s="62">
        <f ca="1">AVERAGE(OFFSET($BH$3,0,0,'Données projet'!$E$11+1,1))-AVERAGE(OFFSET($H$3,0,0,'Données projet'!$E$11+1,1))</f>
        <v>201.65575435598231</v>
      </c>
      <c r="BJ32" s="62">
        <f t="shared" si="38"/>
        <v>103.75701796419935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9.6666666666666661</v>
      </c>
      <c r="BY32" s="13">
        <f>IF('Données projet'!$A$114&gt;35,BY31+BX32-CG31,IF(A32&lt;'Données projet'!$A$114,$BV$205^A32,IF(A32='Données projet'!$A$114,'Données projet'!$B$114,BY31+BX32-CG31)))</f>
        <v>122.33333333333334</v>
      </c>
      <c r="BZ32" s="14">
        <f>BY32*VLOOKUP('Données projet'!$B$12,Paramètres!$A$1:$I$89,3,0)*VLOOKUP('Données projet'!$B$12,Paramètres!$A$1:$I$89,5,0)</f>
        <v>73.155333333333346</v>
      </c>
      <c r="CA32" s="14">
        <f t="shared" si="39"/>
        <v>20.455016056663315</v>
      </c>
      <c r="CB32" s="22">
        <f t="shared" si="10"/>
        <v>163.03802518757752</v>
      </c>
      <c r="CC32" s="62">
        <f t="shared" si="11"/>
        <v>455.14913629868863</v>
      </c>
      <c r="CD32" s="62">
        <f ca="1">AVERAGE(OFFSET($CC$3,0,0,'Données projet'!$E$12+1,1))-AVERAGE(OFFSET($H$3,0,0,'Données projet'!$E$12+1,1))</f>
        <v>222.32495275055498</v>
      </c>
      <c r="CE32" s="62">
        <f t="shared" si="40"/>
        <v>156.39259018918381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5.0780618544062008</v>
      </c>
      <c r="CN32" s="24">
        <f t="shared" si="12"/>
        <v>5.0780618544062008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24.335999999999991</v>
      </c>
      <c r="D33" s="12">
        <f t="shared" si="32"/>
        <v>7.7346711726299739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247.56307571854711</v>
      </c>
      <c r="H33" s="70">
        <f t="shared" si="1"/>
        <v>312.52308562566384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9.0238095238095237</v>
      </c>
      <c r="N33" s="14">
        <f>IF('Données projet'!$A$36&gt;35,N32+M33-V32,IF(A33&lt;'Données projet'!$A$36,$K$205^A33,IF(A33='Données projet'!$A$36,'Données projet'!$B$36,N32+M33-V32)))</f>
        <v>270.71428571428561</v>
      </c>
      <c r="O33" s="14">
        <f>N33*VLOOKUP('Données projet'!$B$9,Paramètres!$A$1:$I$89,3,0)*VLOOKUP('Données projet'!$B$9,Paramètres!$A$1:$I$89,5,0)</f>
        <v>126.69428571428566</v>
      </c>
      <c r="P33" s="14">
        <f t="shared" si="33"/>
        <v>33.231364515949913</v>
      </c>
      <c r="Q33" s="22">
        <f t="shared" si="2"/>
        <v>278.53717415099356</v>
      </c>
      <c r="R33" s="62">
        <f t="shared" si="0"/>
        <v>571.87050748432694</v>
      </c>
      <c r="S33" s="62">
        <f ca="1">AVERAGE(OFFSET($R$3,0,0,'Données projet'!$E$9+1,1))-AVERAGE(OFFSET($H$3,0,0,'Données projet'!$E$9+1,1))</f>
        <v>273.21086764807194</v>
      </c>
      <c r="T33" s="62">
        <f t="shared" si="34"/>
        <v>259.3474218586631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76</v>
      </c>
      <c r="AG33" s="13">
        <f>VLOOKUP(A33,'Données projet'!$A$61:$I$81,9,0)</f>
        <v>7.2</v>
      </c>
      <c r="AH33" s="13">
        <f t="array" ref="AH33">INDEX(AG:AG,MIN(IF(ISNUMBER(AG33:AG229),ROW(AG33:AG229),"")))</f>
        <v>7.2</v>
      </c>
      <c r="AI33" s="14">
        <f>IF('Données projet'!$A$62&gt;35,AI32+AH33-AQ32,IF(A33&lt;'Données projet'!$A$62,$AF$205^A33,IF(A33='Données projet'!$A$62,'Données projet'!$B$62,AI32+AH33-AQ32)))</f>
        <v>76</v>
      </c>
      <c r="AJ33" s="14">
        <f>AI33*VLOOKUP('Données projet'!$B$10,Paramètres!$A$1:$I$89,3,0)*VLOOKUP('Données projet'!$B$10,Paramètres!$A$1:$I$89,5,0)</f>
        <v>66.393600000000006</v>
      </c>
      <c r="AK33" s="14">
        <f t="shared" si="35"/>
        <v>18.775122997078544</v>
      </c>
      <c r="AL33" s="22">
        <f t="shared" si="4"/>
        <v>148.33552588657844</v>
      </c>
      <c r="AM33" s="62">
        <f t="shared" si="5"/>
        <v>441.66885921991172</v>
      </c>
      <c r="AN33" s="62">
        <f ca="1">AVERAGE(OFFSET($AM$3,0,0,'Données projet'!$E$10+1,1))-AVERAGE(OFFSET($H$3,0,0,'Données projet'!$E$10+1,1))</f>
        <v>121.79484266530449</v>
      </c>
      <c r="AO33" s="62">
        <f t="shared" si="36"/>
        <v>129.14577359424788</v>
      </c>
      <c r="AP33" s="16">
        <f>IF(ISNA(VLOOKUP(A33,'Données projet'!$A$61:$I$81,3,0)),0,VLOOKUP(A33,'Données projet'!$A$61:$I$81,3,0))</f>
        <v>3</v>
      </c>
      <c r="AQ33" s="16">
        <f>IF(ISNA(VLOOKUP(A33,'Données projet'!$A$61:$I$81,4,0)),0,VLOOKUP(A33,'Données projet'!$A$61:$I$81,4,0))</f>
        <v>14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0.21200000000000002</v>
      </c>
      <c r="AT33" s="17">
        <f>IF(ISNA(VLOOKUP(A33,'Données projet'!$A$61:$I$81,7,0)),0%,VLOOKUP(A33,'Données projet'!$A$61:$I$81,7,0))</f>
        <v>0.2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2.8550273582014918</v>
      </c>
      <c r="AW33" s="23">
        <f>EXP(-LN(2)/2)*AW32+(1-EXP(-LN(2)/2))/(LN(2)/2)*AQ33*AT33*VLOOKUP('Données projet'!$B$10,Paramètres!$A$1:$I$89,3,0)*0.475*44/12</f>
        <v>3.5782784741519711</v>
      </c>
      <c r="AX33" s="23">
        <f t="shared" si="6"/>
        <v>6.4333058323534633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54</v>
      </c>
      <c r="BB33" s="13">
        <f>VLOOKUP(A33,'Données projet'!$A$87:$I$107,9,0)</f>
        <v>4.8</v>
      </c>
      <c r="BC33" s="13">
        <f t="array" ref="BC33">INDEX(BB:BB,MIN(IF(ISNUMBER(BB33:BB229),ROW(BB33:BB229),"")))</f>
        <v>4.8</v>
      </c>
      <c r="BD33" s="13">
        <f>IF('Données projet'!$A$88&gt;35,BD32+BC33-BL32,IF(A33&lt;'Données projet'!$A$88,$BA$205^A33,IF(A33='Données projet'!$A$88,'Données projet'!$B$88,BD32+BC33-BL32)))</f>
        <v>53.999999999999986</v>
      </c>
      <c r="BE33" s="14">
        <f>BD33*VLOOKUP('Données projet'!$B$11,Paramètres!$A$1:$I$89,3,0)*VLOOKUP('Données projet'!$B$11,Paramètres!$A$1:$I$89,5,0)</f>
        <v>54.755999999999993</v>
      </c>
      <c r="BF33" s="14">
        <f t="shared" si="37"/>
        <v>15.835447037242044</v>
      </c>
      <c r="BG33" s="22">
        <f t="shared" si="7"/>
        <v>122.94677025652987</v>
      </c>
      <c r="BH33" s="62">
        <f t="shared" si="8"/>
        <v>416.28010358986319</v>
      </c>
      <c r="BI33" s="62">
        <f ca="1">AVERAGE(OFFSET($BH$3,0,0,'Données projet'!$E$11+1,1))-AVERAGE(OFFSET($H$3,0,0,'Données projet'!$E$11+1,1))</f>
        <v>201.65575435598231</v>
      </c>
      <c r="BJ33" s="62">
        <f t="shared" si="38"/>
        <v>103.75701796419935</v>
      </c>
      <c r="BK33" s="16">
        <f>IF(ISNA(VLOOKUP(A33,'Données projet'!$A$87:$I$107,3,0)),0,VLOOKUP(A33,'Données projet'!$A$87:$I$107,3,0))</f>
        <v>2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132</v>
      </c>
      <c r="BW33" s="13">
        <f>VLOOKUP(A33,'Données projet'!$A$113:$I$133,9,0)</f>
        <v>9.6666666666666661</v>
      </c>
      <c r="BX33" s="13">
        <f t="array" ref="BX33">INDEX(BW:BW,MIN(IF(ISNUMBER(BW33:BW229),ROW(BW33:BW229),"")))</f>
        <v>9.6666666666666661</v>
      </c>
      <c r="BY33" s="13">
        <f>IF('Données projet'!$A$114&gt;35,BY32+BX33-CG32,IF(A33&lt;'Données projet'!$A$114,$BV$205^A33,IF(A33='Données projet'!$A$114,'Données projet'!$B$114,BY32+BX33-CG32)))</f>
        <v>132</v>
      </c>
      <c r="BZ33" s="14">
        <f>BY33*VLOOKUP('Données projet'!$B$12,Paramètres!$A$1:$I$89,3,0)*VLOOKUP('Données projet'!$B$12,Paramètres!$A$1:$I$89,5,0)</f>
        <v>78.936000000000007</v>
      </c>
      <c r="CA33" s="14">
        <f t="shared" si="39"/>
        <v>21.876828219051273</v>
      </c>
      <c r="CB33" s="22">
        <f t="shared" si="10"/>
        <v>175.5823424815143</v>
      </c>
      <c r="CC33" s="62">
        <f t="shared" si="11"/>
        <v>468.91567581484765</v>
      </c>
      <c r="CD33" s="62">
        <f ca="1">AVERAGE(OFFSET($CC$3,0,0,'Données projet'!$E$12+1,1))-AVERAGE(OFFSET($H$3,0,0,'Données projet'!$E$12+1,1))</f>
        <v>222.32495275055498</v>
      </c>
      <c r="CE33" s="62">
        <f t="shared" si="40"/>
        <v>156.39259018918381</v>
      </c>
      <c r="CF33" s="16">
        <f>IF(ISNA(VLOOKUP(A33,'Données projet'!$A$113:$I$133,3,0)),0,VLOOKUP(A33,'Données projet'!$A$113:$I$133,3,0))</f>
        <v>2</v>
      </c>
      <c r="CG33" s="16">
        <f>IF(ISNA(VLOOKUP(A33,'Données projet'!$A$113:$I$133,4,0)),0,VLOOKUP(A33,'Données projet'!$A$113:$I$133,4,0))</f>
        <v>13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9.0000000000000011E-2</v>
      </c>
      <c r="CJ33" s="17">
        <f>IF(ISNA(VLOOKUP(A33,'Données projet'!$A$113:$I$133,7,0)),0%,VLOOKUP(A33,'Données projet'!$A$113:$I$133,7,0))</f>
        <v>0.8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0.9244896299721086</v>
      </c>
      <c r="CM33" s="23">
        <f>EXP(-LN(2)/2)*CM32+(1-EXP(-LN(2)/2))/(LN(2)/2)*CG33*CJ33*VLOOKUP('Données projet'!$B$12,Paramètres!$A$1:$I$89,3,0)*0.475*44/12</f>
        <v>10.632311077311956</v>
      </c>
      <c r="CN33" s="24">
        <f t="shared" si="12"/>
        <v>11.556800707284065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25.147199999999991</v>
      </c>
      <c r="D34" s="12">
        <f t="shared" si="32"/>
        <v>7.96204645339769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255.58014806131541</v>
      </c>
      <c r="H34" s="70">
        <f t="shared" si="1"/>
        <v>314.33193757300097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9.0238095238095237</v>
      </c>
      <c r="N34" s="14">
        <f>IF('Données projet'!$A$36&gt;35,N33+M34-V33,IF(A34&lt;'Données projet'!$A$36,$K$205^A34,IF(A34='Données projet'!$A$36,'Données projet'!$B$36,N33+M34-V33)))</f>
        <v>279.73809523809513</v>
      </c>
      <c r="O34" s="14">
        <f>N34*VLOOKUP('Données projet'!$B$9,Paramètres!$A$1:$I$89,3,0)*VLOOKUP('Données projet'!$B$9,Paramètres!$A$1:$I$89,5,0)</f>
        <v>130.9174285714285</v>
      </c>
      <c r="P34" s="14">
        <f t="shared" si="33"/>
        <v>34.208263296578863</v>
      </c>
      <c r="Q34" s="22">
        <f t="shared" si="2"/>
        <v>287.59391333677951</v>
      </c>
      <c r="R34" s="62">
        <f t="shared" si="0"/>
        <v>580.92724667011282</v>
      </c>
      <c r="S34" s="62">
        <f ca="1">AVERAGE(OFFSET($R$3,0,0,'Données projet'!$E$9+1,1))-AVERAGE(OFFSET($H$3,0,0,'Données projet'!$E$9+1,1))</f>
        <v>273.21086764807194</v>
      </c>
      <c r="T34" s="62">
        <f t="shared" si="34"/>
        <v>259.3474218586631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6.6</v>
      </c>
      <c r="AI34" s="14">
        <f>IF('Données projet'!$A$62&gt;35,AI33+AH34-AQ33,IF(A34&lt;'Données projet'!$A$62,$AF$205^A34,IF(A34='Données projet'!$A$62,'Données projet'!$B$62,AI33+AH34-AQ33)))</f>
        <v>68.599999999999994</v>
      </c>
      <c r="AJ34" s="14">
        <f>AI34*VLOOKUP('Données projet'!$B$10,Paramètres!$A$1:$I$89,3,0)*VLOOKUP('Données projet'!$B$10,Paramètres!$A$1:$I$89,5,0)</f>
        <v>59.928960000000011</v>
      </c>
      <c r="AK34" s="14">
        <f t="shared" si="35"/>
        <v>17.150306633391633</v>
      </c>
      <c r="AL34" s="22">
        <f t="shared" si="4"/>
        <v>134.24638938649042</v>
      </c>
      <c r="AM34" s="62">
        <f t="shared" si="5"/>
        <v>427.57972271982374</v>
      </c>
      <c r="AN34" s="62">
        <f ca="1">AVERAGE(OFFSET($AM$3,0,0,'Données projet'!$E$10+1,1))-AVERAGE(OFFSET($H$3,0,0,'Données projet'!$E$10+1,1))</f>
        <v>121.79484266530449</v>
      </c>
      <c r="AO34" s="62">
        <f t="shared" si="36"/>
        <v>129.14577359424788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2.7769564849521085</v>
      </c>
      <c r="AW34" s="23">
        <f>EXP(-LN(2)/2)*AW33+(1-EXP(-LN(2)/2))/(LN(2)/2)*AQ34*AT34*VLOOKUP('Données projet'!$B$10,Paramètres!$A$1:$I$89,3,0)*0.475*44/12</f>
        <v>2.5302249740467113</v>
      </c>
      <c r="AX34" s="23">
        <f t="shared" si="6"/>
        <v>5.3071814589988193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5</v>
      </c>
      <c r="BD34" s="13">
        <f>IF('Données projet'!$A$88&gt;35,BD33+BC34-BL33,IF(A34&lt;'Données projet'!$A$88,$BA$205^A34,IF(A34='Données projet'!$A$88,'Données projet'!$B$88,BD33+BC34-BL33)))</f>
        <v>58.999999999999986</v>
      </c>
      <c r="BE34" s="14">
        <f>BD34*VLOOKUP('Données projet'!$B$11,Paramètres!$A$1:$I$89,3,0)*VLOOKUP('Données projet'!$B$11,Paramètres!$A$1:$I$89,5,0)</f>
        <v>59.825999999999993</v>
      </c>
      <c r="BF34" s="14">
        <f t="shared" si="37"/>
        <v>17.124268920142534</v>
      </c>
      <c r="BG34" s="22">
        <f t="shared" si="7"/>
        <v>134.02171836924822</v>
      </c>
      <c r="BH34" s="62">
        <f t="shared" si="8"/>
        <v>427.35505170258153</v>
      </c>
      <c r="BI34" s="62">
        <f ca="1">AVERAGE(OFFSET($BH$3,0,0,'Données projet'!$E$11+1,1))-AVERAGE(OFFSET($H$3,0,0,'Données projet'!$E$11+1,1))</f>
        <v>201.65575435598231</v>
      </c>
      <c r="BJ34" s="62">
        <f t="shared" si="38"/>
        <v>103.75701796419935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10</v>
      </c>
      <c r="BY34" s="13">
        <f>IF('Données projet'!$A$114&gt;35,BY33+BX34-CG33,IF(A34&lt;'Données projet'!$A$114,$BV$205^A34,IF(A34='Données projet'!$A$114,'Données projet'!$B$114,BY33+BX34-CG33)))</f>
        <v>129</v>
      </c>
      <c r="BZ34" s="14">
        <f>BY34*VLOOKUP('Données projet'!$B$12,Paramètres!$A$1:$I$89,3,0)*VLOOKUP('Données projet'!$B$12,Paramètres!$A$1:$I$89,5,0)</f>
        <v>77.14200000000001</v>
      </c>
      <c r="CA34" s="14">
        <f t="shared" si="39"/>
        <v>21.436915648510755</v>
      </c>
      <c r="CB34" s="22">
        <f t="shared" si="10"/>
        <v>171.69161142115624</v>
      </c>
      <c r="CC34" s="62">
        <f t="shared" si="11"/>
        <v>465.02494475448952</v>
      </c>
      <c r="CD34" s="62">
        <f ca="1">AVERAGE(OFFSET($CC$3,0,0,'Données projet'!$E$12+1,1))-AVERAGE(OFFSET($H$3,0,0,'Données projet'!$E$12+1,1))</f>
        <v>222.32495275055498</v>
      </c>
      <c r="CE34" s="62">
        <f t="shared" si="40"/>
        <v>156.39259018918381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0.89920941242372454</v>
      </c>
      <c r="CM34" s="23">
        <f>EXP(-LN(2)/2)*CM33+(1-EXP(-LN(2)/2))/(LN(2)/2)*CG34*CJ34*VLOOKUP('Données projet'!$B$12,Paramètres!$A$1:$I$89,3,0)*0.475*44/12</f>
        <v>7.5181792624521311</v>
      </c>
      <c r="CN34" s="24">
        <f t="shared" si="12"/>
        <v>8.4173886748758555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25.95839999999999</v>
      </c>
      <c r="D35" s="12">
        <f t="shared" si="32"/>
        <v>8.1885694213502767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263.59064114726522</v>
      </c>
      <c r="H35" s="70">
        <f t="shared" si="1"/>
        <v>316.13930507551839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9.0238095238095237</v>
      </c>
      <c r="N35" s="14">
        <f>IF('Données projet'!$A$36&gt;35,N34+M35-V34,IF(A35&lt;'Données projet'!$A$36,$K$205^A35,IF(A35='Données projet'!$A$36,'Données projet'!$B$36,N34+M35-V34)))</f>
        <v>288.76190476190465</v>
      </c>
      <c r="O35" s="14">
        <f>N35*VLOOKUP('Données projet'!$B$9,Paramètres!$A$1:$I$89,3,0)*VLOOKUP('Données projet'!$B$9,Paramètres!$A$1:$I$89,5,0)</f>
        <v>135.14057142857138</v>
      </c>
      <c r="P35" s="14">
        <f t="shared" si="33"/>
        <v>35.181500186843166</v>
      </c>
      <c r="Q35" s="22">
        <f t="shared" ref="Q35:Q66" si="53">(O35+P35)*0.475*44/12</f>
        <v>296.64427473018031</v>
      </c>
      <c r="R35" s="62">
        <f t="shared" si="0"/>
        <v>589.97760806351357</v>
      </c>
      <c r="S35" s="62">
        <f ca="1">AVERAGE(OFFSET($R$3,0,0,'Données projet'!$E$9+1,1))-AVERAGE(OFFSET($H$3,0,0,'Données projet'!$E$9+1,1))</f>
        <v>273.21086764807194</v>
      </c>
      <c r="T35" s="62">
        <f t="shared" si="34"/>
        <v>259.3474218586631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6.6</v>
      </c>
      <c r="AI35" s="14">
        <f>IF('Données projet'!$A$62&gt;35,AI34+AH35-AQ34,IF(A35&lt;'Données projet'!$A$62,$AF$205^A35,IF(A35='Données projet'!$A$62,'Données projet'!$B$62,AI34+AH35-AQ34)))</f>
        <v>75.199999999999989</v>
      </c>
      <c r="AJ35" s="14">
        <f>AI35*VLOOKUP('Données projet'!$B$10,Paramètres!$A$1:$I$89,3,0)*VLOOKUP('Données projet'!$B$10,Paramètres!$A$1:$I$89,5,0)</f>
        <v>65.69471999999999</v>
      </c>
      <c r="AK35" s="14">
        <f t="shared" si="35"/>
        <v>18.60038718561951</v>
      </c>
      <c r="AL35" s="22">
        <f t="shared" si="4"/>
        <v>146.81397834828729</v>
      </c>
      <c r="AM35" s="62">
        <f t="shared" si="5"/>
        <v>440.14731168162064</v>
      </c>
      <c r="AN35" s="62">
        <f ca="1">AVERAGE(OFFSET($AM$3,0,0,'Données projet'!$E$10+1,1))-AVERAGE(OFFSET($H$3,0,0,'Données projet'!$E$10+1,1))</f>
        <v>121.79484266530449</v>
      </c>
      <c r="AO35" s="62">
        <f t="shared" si="36"/>
        <v>129.14577359424788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2.7010204638372981</v>
      </c>
      <c r="AW35" s="23">
        <f>EXP(-LN(2)/2)*AW34+(1-EXP(-LN(2)/2))/(LN(2)/2)*AQ35*AT35*VLOOKUP('Données projet'!$B$10,Paramètres!$A$1:$I$89,3,0)*0.475*44/12</f>
        <v>1.789139237075986</v>
      </c>
      <c r="AX35" s="23">
        <f t="shared" si="6"/>
        <v>4.4901597009132841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5</v>
      </c>
      <c r="BD35" s="13">
        <f>IF('Données projet'!$A$88&gt;35,BD34+BC35-BL34,IF(A35&lt;'Données projet'!$A$88,$BA$205^A35,IF(A35='Données projet'!$A$88,'Données projet'!$B$88,BD34+BC35-BL34)))</f>
        <v>63.999999999999986</v>
      </c>
      <c r="BE35" s="14">
        <f>BD35*VLOOKUP('Données projet'!$B$11,Paramètres!$A$1:$I$89,3,0)*VLOOKUP('Données projet'!$B$11,Paramètres!$A$1:$I$89,5,0)</f>
        <v>64.895999999999987</v>
      </c>
      <c r="BF35" s="14">
        <f t="shared" si="37"/>
        <v>18.400423846102949</v>
      </c>
      <c r="BG35" s="22">
        <f t="shared" si="7"/>
        <v>145.07460486529592</v>
      </c>
      <c r="BH35" s="62">
        <f t="shared" si="8"/>
        <v>438.40793819862927</v>
      </c>
      <c r="BI35" s="62">
        <f ca="1">AVERAGE(OFFSET($BH$3,0,0,'Données projet'!$E$11+1,1))-AVERAGE(OFFSET($H$3,0,0,'Données projet'!$E$11+1,1))</f>
        <v>201.65575435598231</v>
      </c>
      <c r="BJ35" s="62">
        <f t="shared" si="38"/>
        <v>103.75701796419935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10</v>
      </c>
      <c r="BY35" s="13">
        <f>IF('Données projet'!$A$114&gt;35,BY34+BX35-CG34,IF(A35&lt;'Données projet'!$A$114,$BV$205^A35,IF(A35='Données projet'!$A$114,'Données projet'!$B$114,BY34+BX35-CG34)))</f>
        <v>139</v>
      </c>
      <c r="BZ35" s="14">
        <f>BY35*VLOOKUP('Données projet'!$B$12,Paramètres!$A$1:$I$89,3,0)*VLOOKUP('Données projet'!$B$12,Paramètres!$A$1:$I$89,5,0)</f>
        <v>83.122000000000014</v>
      </c>
      <c r="CA35" s="14">
        <f t="shared" si="39"/>
        <v>22.898820278178533</v>
      </c>
      <c r="CB35" s="22">
        <f t="shared" si="10"/>
        <v>184.65292865116098</v>
      </c>
      <c r="CC35" s="62">
        <f t="shared" si="11"/>
        <v>477.98626198449426</v>
      </c>
      <c r="CD35" s="62">
        <f ca="1">AVERAGE(OFFSET($CC$3,0,0,'Données projet'!$E$12+1,1))-AVERAGE(OFFSET($H$3,0,0,'Données projet'!$E$12+1,1))</f>
        <v>222.32495275055498</v>
      </c>
      <c r="CE35" s="62">
        <f t="shared" si="40"/>
        <v>156.39259018918381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0.87462048375363</v>
      </c>
      <c r="CM35" s="23">
        <f>EXP(-LN(2)/2)*CM34+(1-EXP(-LN(2)/2))/(LN(2)/2)*CG35*CJ35*VLOOKUP('Données projet'!$B$12,Paramètres!$A$1:$I$89,3,0)*0.475*44/12</f>
        <v>5.3161555386559787</v>
      </c>
      <c r="CN35" s="24">
        <f t="shared" si="12"/>
        <v>6.1907760224096089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26.76959999999999</v>
      </c>
      <c r="D36" s="12">
        <f t="shared" si="32"/>
        <v>8.4142697673415583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271.59478416895234</v>
      </c>
      <c r="H36" s="70">
        <f t="shared" si="1"/>
        <v>317.94523984478656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9.0238095238095237</v>
      </c>
      <c r="N36" s="14">
        <f>IF('Données projet'!$A$36&gt;35,N35+M36-V35,IF(A36&lt;'Données projet'!$A$36,$K$205^A36,IF(A36='Données projet'!$A$36,'Données projet'!$B$36,N35+M36-V35)))</f>
        <v>297.78571428571416</v>
      </c>
      <c r="O36" s="14">
        <f>N36*VLOOKUP('Données projet'!$B$9,Paramètres!$A$1:$I$89,3,0)*VLOOKUP('Données projet'!$B$9,Paramètres!$A$1:$I$89,5,0)</f>
        <v>139.36371428571422</v>
      </c>
      <c r="P36" s="14">
        <f t="shared" si="33"/>
        <v>36.151202751000412</v>
      </c>
      <c r="Q36" s="22">
        <f t="shared" si="53"/>
        <v>305.68848050561127</v>
      </c>
      <c r="R36" s="62">
        <f t="shared" si="0"/>
        <v>599.02181383894458</v>
      </c>
      <c r="S36" s="62">
        <f ca="1">AVERAGE(OFFSET($R$3,0,0,'Données projet'!$E$9+1,1))-AVERAGE(OFFSET($H$3,0,0,'Données projet'!$E$9+1,1))</f>
        <v>273.21086764807194</v>
      </c>
      <c r="T36" s="62">
        <f t="shared" si="34"/>
        <v>259.3474218586631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6.6</v>
      </c>
      <c r="AI36" s="14">
        <f>IF('Données projet'!$A$62&gt;35,AI35+AH36-AQ35,IF(A36&lt;'Données projet'!$A$62,$AF$205^A36,IF(A36='Données projet'!$A$62,'Données projet'!$B$62,AI35+AH36-AQ35)))</f>
        <v>81.799999999999983</v>
      </c>
      <c r="AJ36" s="14">
        <f>AI36*VLOOKUP('Données projet'!$B$10,Paramètres!$A$1:$I$89,3,0)*VLOOKUP('Données projet'!$B$10,Paramètres!$A$1:$I$89,5,0)</f>
        <v>71.46047999999999</v>
      </c>
      <c r="AK36" s="14">
        <f t="shared" si="35"/>
        <v>20.035709203981977</v>
      </c>
      <c r="AL36" s="22">
        <f t="shared" si="4"/>
        <v>159.35586286360191</v>
      </c>
      <c r="AM36" s="62">
        <f t="shared" si="5"/>
        <v>452.6891961969352</v>
      </c>
      <c r="AN36" s="62">
        <f ca="1">AVERAGE(OFFSET($AM$3,0,0,'Données projet'!$E$10+1,1))-AVERAGE(OFFSET($H$3,0,0,'Données projet'!$E$10+1,1))</f>
        <v>121.79484266530449</v>
      </c>
      <c r="AO36" s="62">
        <f t="shared" si="36"/>
        <v>129.14577359424788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2.6271609172131742</v>
      </c>
      <c r="AW36" s="23">
        <f>EXP(-LN(2)/2)*AW35+(1-EXP(-LN(2)/2))/(LN(2)/2)*AQ36*AT36*VLOOKUP('Données projet'!$B$10,Paramètres!$A$1:$I$89,3,0)*0.475*44/12</f>
        <v>1.2651124870233559</v>
      </c>
      <c r="AX36" s="23">
        <f t="shared" si="6"/>
        <v>3.8922734042365299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5</v>
      </c>
      <c r="BD36" s="13">
        <f>IF('Données projet'!$A$88&gt;35,BD35+BC36-BL35,IF(A36&lt;'Données projet'!$A$88,$BA$205^A36,IF(A36='Données projet'!$A$88,'Données projet'!$B$88,BD35+BC36-BL35)))</f>
        <v>68.999999999999986</v>
      </c>
      <c r="BE36" s="14">
        <f>BD36*VLOOKUP('Données projet'!$B$11,Paramètres!$A$1:$I$89,3,0)*VLOOKUP('Données projet'!$B$11,Paramètres!$A$1:$I$89,5,0)</f>
        <v>69.965999999999994</v>
      </c>
      <c r="BF36" s="14">
        <f t="shared" si="37"/>
        <v>19.665013934342461</v>
      </c>
      <c r="BG36" s="22">
        <f t="shared" si="7"/>
        <v>156.10734926897979</v>
      </c>
      <c r="BH36" s="62">
        <f t="shared" si="8"/>
        <v>449.44068260231313</v>
      </c>
      <c r="BI36" s="62">
        <f ca="1">AVERAGE(OFFSET($BH$3,0,0,'Données projet'!$E$11+1,1))-AVERAGE(OFFSET($H$3,0,0,'Données projet'!$E$11+1,1))</f>
        <v>201.65575435598231</v>
      </c>
      <c r="BJ36" s="62">
        <f t="shared" si="38"/>
        <v>103.75701796419935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10</v>
      </c>
      <c r="BY36" s="13">
        <f>IF('Données projet'!$A$114&gt;35,BY35+BX36-CG35,IF(A36&lt;'Données projet'!$A$114,$BV$205^A36,IF(A36='Données projet'!$A$114,'Données projet'!$B$114,BY35+BX36-CG35)))</f>
        <v>149</v>
      </c>
      <c r="BZ36" s="14">
        <f>BY36*VLOOKUP('Données projet'!$B$12,Paramètres!$A$1:$I$89,3,0)*VLOOKUP('Données projet'!$B$12,Paramètres!$A$1:$I$89,5,0)</f>
        <v>89.102000000000018</v>
      </c>
      <c r="CA36" s="14">
        <f t="shared" si="39"/>
        <v>24.348522781128082</v>
      </c>
      <c r="CB36" s="22">
        <f t="shared" si="10"/>
        <v>197.5929938437981</v>
      </c>
      <c r="CC36" s="62">
        <f t="shared" si="11"/>
        <v>490.92632717713138</v>
      </c>
      <c r="CD36" s="62">
        <f ca="1">AVERAGE(OFFSET($CC$3,0,0,'Données projet'!$E$12+1,1))-AVERAGE(OFFSET($H$3,0,0,'Données projet'!$E$12+1,1))</f>
        <v>222.32495275055498</v>
      </c>
      <c r="CE36" s="62">
        <f t="shared" si="40"/>
        <v>156.39259018918381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0.85070394063109467</v>
      </c>
      <c r="CM36" s="23">
        <f>EXP(-LN(2)/2)*CM35+(1-EXP(-LN(2)/2))/(LN(2)/2)*CG36*CJ36*VLOOKUP('Données projet'!$B$12,Paramètres!$A$1:$I$89,3,0)*0.475*44/12</f>
        <v>3.759089631226066</v>
      </c>
      <c r="CN36" s="24">
        <f t="shared" si="12"/>
        <v>4.6097935718571605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27.580799999999989</v>
      </c>
      <c r="D37" s="12">
        <f t="shared" si="32"/>
        <v>8.6391752805240429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279.59279163913288</v>
      </c>
      <c r="H37" s="70">
        <f t="shared" si="1"/>
        <v>319.74979028024603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9.0238095238095237</v>
      </c>
      <c r="N37" s="14">
        <f>IF('Données projet'!$A$36&gt;35,N36+M37-V36,IF(A37&lt;'Données projet'!$A$36,$K$205^A37,IF(A37='Données projet'!$A$36,'Données projet'!$B$36,N36+M37-V36)))</f>
        <v>306.80952380952368</v>
      </c>
      <c r="O37" s="14">
        <f>N37*VLOOKUP('Données projet'!$B$9,Paramètres!$A$1:$I$89,3,0)*VLOOKUP('Données projet'!$B$9,Paramètres!$A$1:$I$89,5,0)</f>
        <v>143.58685714285707</v>
      </c>
      <c r="P37" s="14">
        <f t="shared" si="33"/>
        <v>37.117490382808377</v>
      </c>
      <c r="Q37" s="22">
        <f t="shared" si="53"/>
        <v>314.72673860720062</v>
      </c>
      <c r="R37" s="62">
        <f t="shared" si="0"/>
        <v>608.06007194053393</v>
      </c>
      <c r="S37" s="62">
        <f ca="1">AVERAGE(OFFSET($R$3,0,0,'Données projet'!$E$9+1,1))-AVERAGE(OFFSET($H$3,0,0,'Données projet'!$E$9+1,1))</f>
        <v>273.21086764807194</v>
      </c>
      <c r="T37" s="62">
        <f t="shared" si="34"/>
        <v>259.3474218586631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6.6</v>
      </c>
      <c r="AI37" s="14">
        <f>IF('Données projet'!$A$62&gt;35,AI36+AH37-AQ36,IF(A37&lt;'Données projet'!$A$62,$AF$205^A37,IF(A37='Données projet'!$A$62,'Données projet'!$B$62,AI36+AH37-AQ36)))</f>
        <v>88.399999999999977</v>
      </c>
      <c r="AJ37" s="14">
        <f>AI37*VLOOKUP('Données projet'!$B$10,Paramètres!$A$1:$I$89,3,0)*VLOOKUP('Données projet'!$B$10,Paramètres!$A$1:$I$89,5,0)</f>
        <v>77.22623999999999</v>
      </c>
      <c r="AK37" s="14">
        <f t="shared" si="35"/>
        <v>21.457598855530147</v>
      </c>
      <c r="AL37" s="22">
        <f t="shared" si="4"/>
        <v>171.87435267338165</v>
      </c>
      <c r="AM37" s="62">
        <f t="shared" si="5"/>
        <v>465.20768600671499</v>
      </c>
      <c r="AN37" s="62">
        <f ca="1">AVERAGE(OFFSET($AM$3,0,0,'Données projet'!$E$10+1,1))-AVERAGE(OFFSET($H$3,0,0,'Données projet'!$E$10+1,1))</f>
        <v>121.79484266530449</v>
      </c>
      <c r="AO37" s="62">
        <f t="shared" si="36"/>
        <v>129.14577359424788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2.5553210637755917</v>
      </c>
      <c r="AW37" s="23">
        <f>EXP(-LN(2)/2)*AW36+(1-EXP(-LN(2)/2))/(LN(2)/2)*AQ37*AT37*VLOOKUP('Données projet'!$B$10,Paramètres!$A$1:$I$89,3,0)*0.475*44/12</f>
        <v>0.89456961853799311</v>
      </c>
      <c r="AX37" s="23">
        <f t="shared" si="6"/>
        <v>3.4498906823135846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5</v>
      </c>
      <c r="BD37" s="13">
        <f>IF('Données projet'!$A$88&gt;35,BD36+BC37-BL36,IF(A37&lt;'Données projet'!$A$88,$BA$205^A37,IF(A37='Données projet'!$A$88,'Données projet'!$B$88,BD36+BC37-BL36)))</f>
        <v>73.999999999999986</v>
      </c>
      <c r="BE37" s="14">
        <f>BD37*VLOOKUP('Données projet'!$B$11,Paramètres!$A$1:$I$89,3,0)*VLOOKUP('Données projet'!$B$11,Paramètres!$A$1:$I$89,5,0)</f>
        <v>75.035999999999987</v>
      </c>
      <c r="BF37" s="14">
        <f t="shared" si="37"/>
        <v>20.918972521981534</v>
      </c>
      <c r="BG37" s="22">
        <f t="shared" si="7"/>
        <v>167.12157714245114</v>
      </c>
      <c r="BH37" s="62">
        <f t="shared" si="8"/>
        <v>460.45491047578446</v>
      </c>
      <c r="BI37" s="62">
        <f ca="1">AVERAGE(OFFSET($BH$3,0,0,'Données projet'!$E$11+1,1))-AVERAGE(OFFSET($H$3,0,0,'Données projet'!$E$11+1,1))</f>
        <v>201.65575435598231</v>
      </c>
      <c r="BJ37" s="62">
        <f t="shared" si="38"/>
        <v>103.75701796419935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10</v>
      </c>
      <c r="BY37" s="13">
        <f>IF('Données projet'!$A$114&gt;35,BY36+BX37-CG36,IF(A37&lt;'Données projet'!$A$114,$BV$205^A37,IF(A37='Données projet'!$A$114,'Données projet'!$B$114,BY36+BX37-CG36)))</f>
        <v>159</v>
      </c>
      <c r="BZ37" s="14">
        <f>BY37*VLOOKUP('Données projet'!$B$12,Paramètres!$A$1:$I$89,3,0)*VLOOKUP('Données projet'!$B$12,Paramètres!$A$1:$I$89,5,0)</f>
        <v>95.082000000000008</v>
      </c>
      <c r="CA37" s="14">
        <f t="shared" si="39"/>
        <v>25.786935269387122</v>
      </c>
      <c r="CB37" s="22">
        <f t="shared" si="10"/>
        <v>210.51339559418258</v>
      </c>
      <c r="CC37" s="62">
        <f t="shared" si="11"/>
        <v>503.84672892751587</v>
      </c>
      <c r="CD37" s="62">
        <f ca="1">AVERAGE(OFFSET($CC$3,0,0,'Données projet'!$E$12+1,1))-AVERAGE(OFFSET($H$3,0,0,'Données projet'!$E$12+1,1))</f>
        <v>222.32495275055498</v>
      </c>
      <c r="CE37" s="62">
        <f t="shared" si="40"/>
        <v>156.39259018918381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0.82744139663796146</v>
      </c>
      <c r="CM37" s="23">
        <f>EXP(-LN(2)/2)*CM36+(1-EXP(-LN(2)/2))/(LN(2)/2)*CG37*CJ37*VLOOKUP('Données projet'!$B$12,Paramètres!$A$1:$I$89,3,0)*0.475*44/12</f>
        <v>2.6580777693279898</v>
      </c>
      <c r="CN37" s="24">
        <f t="shared" si="12"/>
        <v>3.4855191659659512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28.391999999999989</v>
      </c>
      <c r="D38" s="12">
        <f t="shared" si="32"/>
        <v>8.8633120224605495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287.58486473478314</v>
      </c>
      <c r="H38" s="70">
        <f t="shared" si="1"/>
        <v>321.55300177245209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9.0238095238095237</v>
      </c>
      <c r="N38" s="14">
        <f>IF('Données projet'!$A$36&gt;35,N37+M38-V37,IF(A38&lt;'Données projet'!$A$36,$K$205^A38,IF(A38='Données projet'!$A$36,'Données projet'!$B$36,N37+M38-V37)))</f>
        <v>315.8333333333332</v>
      </c>
      <c r="O38" s="14">
        <f>N38*VLOOKUP('Données projet'!$B$9,Paramètres!$A$1:$I$89,3,0)*VLOOKUP('Données projet'!$B$9,Paramètres!$A$1:$I$89,5,0)</f>
        <v>147.80999999999995</v>
      </c>
      <c r="P38" s="14">
        <f t="shared" si="33"/>
        <v>38.080475053580983</v>
      </c>
      <c r="Q38" s="22">
        <f t="shared" si="53"/>
        <v>323.75924405165341</v>
      </c>
      <c r="R38" s="62">
        <f t="shared" si="0"/>
        <v>617.09257738498673</v>
      </c>
      <c r="S38" s="62">
        <f ca="1">AVERAGE(OFFSET($R$3,0,0,'Données projet'!$E$9+1,1))-AVERAGE(OFFSET($H$3,0,0,'Données projet'!$E$9+1,1))</f>
        <v>273.21086764807194</v>
      </c>
      <c r="T38" s="62">
        <f t="shared" si="34"/>
        <v>259.3474218586631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95</v>
      </c>
      <c r="AG38" s="13">
        <f>VLOOKUP(A38,'Données projet'!$A$61:$I$81,9,0)</f>
        <v>6.6</v>
      </c>
      <c r="AH38" s="13">
        <f t="array" ref="AH38">INDEX(AG:AG,MIN(IF(ISNUMBER(AG38:AG234),ROW(AG38:AG234),"")))</f>
        <v>6.6</v>
      </c>
      <c r="AI38" s="14">
        <f>IF('Données projet'!$A$62&gt;35,AI37+AH38-AQ37,IF(A38&lt;'Données projet'!$A$62,$AF$205^A38,IF(A38='Données projet'!$A$62,'Données projet'!$B$62,AI37+AH38-AQ37)))</f>
        <v>94.999999999999972</v>
      </c>
      <c r="AJ38" s="14">
        <f>AI38*VLOOKUP('Données projet'!$B$10,Paramètres!$A$1:$I$89,3,0)*VLOOKUP('Données projet'!$B$10,Paramètres!$A$1:$I$89,5,0)</f>
        <v>82.99199999999999</v>
      </c>
      <c r="AK38" s="14">
        <f t="shared" si="35"/>
        <v>22.867173045817303</v>
      </c>
      <c r="AL38" s="22">
        <f t="shared" si="4"/>
        <v>184.37139305479846</v>
      </c>
      <c r="AM38" s="62">
        <f t="shared" si="5"/>
        <v>477.7047263881318</v>
      </c>
      <c r="AN38" s="62">
        <f ca="1">AVERAGE(OFFSET($AM$3,0,0,'Données projet'!$E$10+1,1))-AVERAGE(OFFSET($H$3,0,0,'Données projet'!$E$10+1,1))</f>
        <v>121.79484266530449</v>
      </c>
      <c r="AO38" s="62">
        <f t="shared" si="36"/>
        <v>129.14577359424788</v>
      </c>
      <c r="AP38" s="16">
        <f>IF(ISNA(VLOOKUP(A38,'Données projet'!$A$61:$I$81,3,0)),0,VLOOKUP(A38,'Données projet'!$A$61:$I$81,3,0))</f>
        <v>4</v>
      </c>
      <c r="AQ38" s="16">
        <f>IF(ISNA(VLOOKUP(A38,'Données projet'!$A$61:$I$81,4,0)),0,VLOOKUP(A38,'Données projet'!$A$61:$I$81,4,0))</f>
        <v>14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2.4854456749081537</v>
      </c>
      <c r="AW38" s="23">
        <f>EXP(-LN(2)/2)*AW37+(1-EXP(-LN(2)/2))/(LN(2)/2)*AQ38*AT38*VLOOKUP('Données projet'!$B$10,Paramètres!$A$1:$I$89,3,0)*0.475*44/12</f>
        <v>0.63255624351167805</v>
      </c>
      <c r="AX38" s="23">
        <f t="shared" si="6"/>
        <v>3.1180019184198318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79</v>
      </c>
      <c r="BB38" s="13">
        <f>VLOOKUP(A38,'Données projet'!$A$87:$I$107,9,0)</f>
        <v>5</v>
      </c>
      <c r="BC38" s="13">
        <f t="array" ref="BC38">INDEX(BB:BB,MIN(IF(ISNUMBER(BB38:BB234),ROW(BB38:BB234),"")))</f>
        <v>5</v>
      </c>
      <c r="BD38" s="13">
        <f>IF('Données projet'!$A$88&gt;35,BD37+BC38-BL37,IF(A38&lt;'Données projet'!$A$88,$BA$205^A38,IF(A38='Données projet'!$A$88,'Données projet'!$B$88,BD37+BC38-BL37)))</f>
        <v>78.999999999999986</v>
      </c>
      <c r="BE38" s="14">
        <f>BD38*VLOOKUP('Données projet'!$B$11,Paramètres!$A$1:$I$89,3,0)*VLOOKUP('Données projet'!$B$11,Paramètres!$A$1:$I$89,5,0)</f>
        <v>80.105999999999995</v>
      </c>
      <c r="BF38" s="14">
        <f t="shared" si="37"/>
        <v>22.163099682076496</v>
      </c>
      <c r="BG38" s="22">
        <f t="shared" si="7"/>
        <v>178.11868194628323</v>
      </c>
      <c r="BH38" s="62">
        <f t="shared" si="8"/>
        <v>471.45201527961655</v>
      </c>
      <c r="BI38" s="62">
        <f ca="1">AVERAGE(OFFSET($BH$3,0,0,'Données projet'!$E$11+1,1))-AVERAGE(OFFSET($H$3,0,0,'Données projet'!$E$11+1,1))</f>
        <v>201.65575435598231</v>
      </c>
      <c r="BJ38" s="62">
        <f t="shared" si="38"/>
        <v>103.75701796419935</v>
      </c>
      <c r="BK38" s="16">
        <f>IF(ISNA(VLOOKUP(A38,'Données projet'!$A$87:$I$107,3,0)),0,VLOOKUP(A38,'Données projet'!$A$87:$I$107,3,0))</f>
        <v>3</v>
      </c>
      <c r="BL38" s="16">
        <f>IF(ISNA(VLOOKUP(A38,'Données projet'!$A$87:$I$107,4,0)),0,VLOOKUP(A38,'Données projet'!$A$87:$I$107,4,0))</f>
        <v>13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169</v>
      </c>
      <c r="BW38" s="13">
        <f>VLOOKUP(A38,'Données projet'!$A$113:$I$133,9,0)</f>
        <v>10</v>
      </c>
      <c r="BX38" s="13">
        <f t="array" ref="BX38">INDEX(BW:BW,MIN(IF(ISNUMBER(BW38:BW234),ROW(BW38:BW234),"")))</f>
        <v>10</v>
      </c>
      <c r="BY38" s="13">
        <f>IF('Données projet'!$A$114&gt;35,BY37+BX38-CG37,IF(A38&lt;'Données projet'!$A$114,$BV$205^A38,IF(A38='Données projet'!$A$114,'Données projet'!$B$114,BY37+BX38-CG37)))</f>
        <v>169</v>
      </c>
      <c r="BZ38" s="14">
        <f>BY38*VLOOKUP('Données projet'!$B$12,Paramètres!$A$1:$I$89,3,0)*VLOOKUP('Données projet'!$B$12,Paramètres!$A$1:$I$89,5,0)</f>
        <v>101.06200000000001</v>
      </c>
      <c r="CA38" s="14">
        <f t="shared" si="39"/>
        <v>27.214848638810562</v>
      </c>
      <c r="CB38" s="22">
        <f t="shared" si="10"/>
        <v>223.41551137926174</v>
      </c>
      <c r="CC38" s="62">
        <f t="shared" si="11"/>
        <v>516.74884471259509</v>
      </c>
      <c r="CD38" s="62">
        <f ca="1">AVERAGE(OFFSET($CC$3,0,0,'Données projet'!$E$12+1,1))-AVERAGE(OFFSET($H$3,0,0,'Données projet'!$E$12+1,1))</f>
        <v>222.32495275055498</v>
      </c>
      <c r="CE38" s="62">
        <f t="shared" si="40"/>
        <v>156.39259018918381</v>
      </c>
      <c r="CF38" s="16">
        <f>IF(ISNA(VLOOKUP(A38,'Données projet'!$A$113:$I$133,3,0)),0,VLOOKUP(A38,'Données projet'!$A$113:$I$133,3,0))</f>
        <v>3</v>
      </c>
      <c r="CG38" s="16">
        <f>IF(ISNA(VLOOKUP(A38,'Données projet'!$A$113:$I$133,4,0)),0,VLOOKUP(A38,'Données projet'!$A$113:$I$133,4,0))</f>
        <v>23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0.8048149681336445</v>
      </c>
      <c r="CM38" s="23">
        <f>EXP(-LN(2)/2)*CM37+(1-EXP(-LN(2)/2))/(LN(2)/2)*CG38*CJ38*VLOOKUP('Données projet'!$B$12,Paramètres!$A$1:$I$89,3,0)*0.475*44/12</f>
        <v>1.8795448156130334</v>
      </c>
      <c r="CN38" s="24">
        <f t="shared" si="12"/>
        <v>2.6843597837466779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29.203199999999988</v>
      </c>
      <c r="D39" s="12">
        <f t="shared" si="32"/>
        <v>9.0867044807780779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295.57119248319913</v>
      </c>
      <c r="H39" s="70">
        <f t="shared" si="1"/>
        <v>323.35491697068846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9.0238095238095237</v>
      </c>
      <c r="N39" s="14">
        <f>IF('Données projet'!$A$36&gt;35,N38+M39-V38,IF(A39&lt;'Données projet'!$A$36,$K$205^A39,IF(A39='Données projet'!$A$36,'Données projet'!$B$36,N38+M39-V38)))</f>
        <v>324.85714285714272</v>
      </c>
      <c r="O39" s="14">
        <f>N39*VLOOKUP('Données projet'!$B$9,Paramètres!$A$1:$I$89,3,0)*VLOOKUP('Données projet'!$B$9,Paramètres!$A$1:$I$89,5,0)</f>
        <v>152.03314285714279</v>
      </c>
      <c r="P39" s="14">
        <f t="shared" si="33"/>
        <v>39.040261972349207</v>
      </c>
      <c r="Q39" s="22">
        <f t="shared" si="53"/>
        <v>332.78618007803192</v>
      </c>
      <c r="R39" s="62">
        <f t="shared" si="0"/>
        <v>626.11951341136523</v>
      </c>
      <c r="S39" s="62">
        <f ca="1">AVERAGE(OFFSET($R$3,0,0,'Données projet'!$E$9+1,1))-AVERAGE(OFFSET($H$3,0,0,'Données projet'!$E$9+1,1))</f>
        <v>273.21086764807194</v>
      </c>
      <c r="T39" s="62">
        <f t="shared" si="34"/>
        <v>259.3474218586631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5.8</v>
      </c>
      <c r="AI39" s="14">
        <f>IF('Données projet'!$A$62&gt;35,AI38+AH39-AQ38,IF(A39&lt;'Données projet'!$A$62,$AF$205^A39,IF(A39='Données projet'!$A$62,'Données projet'!$B$62,AI38+AH39-AQ38)))</f>
        <v>86.799999999999969</v>
      </c>
      <c r="AJ39" s="14">
        <f>AI39*VLOOKUP('Données projet'!$B$10,Paramètres!$A$1:$I$89,3,0)*VLOOKUP('Données projet'!$B$10,Paramètres!$A$1:$I$89,5,0)</f>
        <v>75.828479999999985</v>
      </c>
      <c r="AK39" s="14">
        <f t="shared" si="35"/>
        <v>21.114068675464956</v>
      </c>
      <c r="AL39" s="22">
        <f t="shared" si="4"/>
        <v>168.8416056097681</v>
      </c>
      <c r="AM39" s="62">
        <f t="shared" si="5"/>
        <v>462.17493894310144</v>
      </c>
      <c r="AN39" s="62">
        <f ca="1">AVERAGE(OFFSET($AM$3,0,0,'Données projet'!$E$10+1,1))-AVERAGE(OFFSET($H$3,0,0,'Données projet'!$E$10+1,1))</f>
        <v>121.79484266530449</v>
      </c>
      <c r="AO39" s="62">
        <f t="shared" si="36"/>
        <v>129.14577359424788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2.4174810322238827</v>
      </c>
      <c r="AW39" s="23">
        <f>EXP(-LN(2)/2)*AW38+(1-EXP(-LN(2)/2))/(LN(2)/2)*AQ39*AT39*VLOOKUP('Données projet'!$B$10,Paramètres!$A$1:$I$89,3,0)*0.475*44/12</f>
        <v>0.44728480926899661</v>
      </c>
      <c r="AX39" s="23">
        <f t="shared" si="6"/>
        <v>2.8647658414928792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5.4</v>
      </c>
      <c r="BD39" s="13">
        <f>IF('Données projet'!$A$88&gt;35,BD38+BC39-BL38,IF(A39&lt;'Données projet'!$A$88,$BA$205^A39,IF(A39='Données projet'!$A$88,'Données projet'!$B$88,BD38+BC39-BL38)))</f>
        <v>71.399999999999991</v>
      </c>
      <c r="BE39" s="14">
        <f>BD39*VLOOKUP('Données projet'!$B$11,Paramètres!$A$1:$I$89,3,0)*VLOOKUP('Données projet'!$B$11,Paramètres!$A$1:$I$89,5,0)</f>
        <v>72.399599999999992</v>
      </c>
      <c r="BF39" s="14">
        <f t="shared" si="37"/>
        <v>20.268188832715463</v>
      </c>
      <c r="BG39" s="22">
        <f t="shared" si="7"/>
        <v>161.3963988836461</v>
      </c>
      <c r="BH39" s="62">
        <f t="shared" si="8"/>
        <v>454.72973221697941</v>
      </c>
      <c r="BI39" s="62">
        <f ca="1">AVERAGE(OFFSET($BH$3,0,0,'Données projet'!$E$11+1,1))-AVERAGE(OFFSET($H$3,0,0,'Données projet'!$E$11+1,1))</f>
        <v>201.65575435598231</v>
      </c>
      <c r="BJ39" s="62">
        <f t="shared" si="38"/>
        <v>103.75701796419935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12.4</v>
      </c>
      <c r="BY39" s="13">
        <f>IF('Données projet'!$A$114&gt;35,BY38+BX39-CG38,IF(A39&lt;'Données projet'!$A$114,$BV$205^A39,IF(A39='Données projet'!$A$114,'Données projet'!$B$114,BY38+BX39-CG38)))</f>
        <v>158.4</v>
      </c>
      <c r="BZ39" s="14">
        <f>BY39*VLOOKUP('Données projet'!$B$12,Paramètres!$A$1:$I$89,3,0)*VLOOKUP('Données projet'!$B$12,Paramètres!$A$1:$I$89,5,0)</f>
        <v>94.723200000000006</v>
      </c>
      <c r="CA39" s="14">
        <f t="shared" si="39"/>
        <v>25.700933959119112</v>
      </c>
      <c r="CB39" s="22">
        <f t="shared" si="10"/>
        <v>209.7386999787991</v>
      </c>
      <c r="CC39" s="62">
        <f t="shared" si="11"/>
        <v>503.07203331213242</v>
      </c>
      <c r="CD39" s="62">
        <f ca="1">AVERAGE(OFFSET($CC$3,0,0,'Données projet'!$E$12+1,1))-AVERAGE(OFFSET($H$3,0,0,'Données projet'!$E$12+1,1))</f>
        <v>222.32495275055498</v>
      </c>
      <c r="CE39" s="62">
        <f t="shared" si="40"/>
        <v>156.39259018918381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0.78280726050665028</v>
      </c>
      <c r="CM39" s="23">
        <f>EXP(-LN(2)/2)*CM38+(1-EXP(-LN(2)/2))/(LN(2)/2)*CG39*CJ39*VLOOKUP('Données projet'!$B$12,Paramètres!$A$1:$I$89,3,0)*0.475*44/12</f>
        <v>1.3290388846639951</v>
      </c>
      <c r="CN39" s="24">
        <f t="shared" si="12"/>
        <v>2.1118461451706452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30.014399999999988</v>
      </c>
      <c r="D40" s="12">
        <f t="shared" si="32"/>
        <v>9.3093757052690744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303.5519528126033</v>
      </c>
      <c r="H40" s="70">
        <f t="shared" si="1"/>
        <v>325.1555760200103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9.0238095238095237</v>
      </c>
      <c r="N40" s="14">
        <f>IF('Données projet'!$A$36&gt;35,N39+M40-V39,IF(A40&lt;'Données projet'!$A$36,$K$205^A40,IF(A40='Données projet'!$A$36,'Données projet'!$B$36,N39+M40-V39)))</f>
        <v>333.88095238095224</v>
      </c>
      <c r="O40" s="14">
        <f>N40*VLOOKUP('Données projet'!$B$9,Paramètres!$A$1:$I$89,3,0)*VLOOKUP('Données projet'!$B$9,Paramètres!$A$1:$I$89,5,0)</f>
        <v>156.25628571428567</v>
      </c>
      <c r="P40" s="14">
        <f t="shared" si="33"/>
        <v>39.99695017060872</v>
      </c>
      <c r="Q40" s="22">
        <f t="shared" si="53"/>
        <v>341.80771916619102</v>
      </c>
      <c r="R40" s="62">
        <f t="shared" si="0"/>
        <v>635.14105249952433</v>
      </c>
      <c r="S40" s="62">
        <f ca="1">AVERAGE(OFFSET($R$3,0,0,'Données projet'!$E$9+1,1))-AVERAGE(OFFSET($H$3,0,0,'Données projet'!$E$9+1,1))</f>
        <v>273.21086764807194</v>
      </c>
      <c r="T40" s="62">
        <f t="shared" si="34"/>
        <v>259.3474218586631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5.8</v>
      </c>
      <c r="AI40" s="14">
        <f>IF('Données projet'!$A$62&gt;35,AI39+AH40-AQ39,IF(A40&lt;'Données projet'!$A$62,$AF$205^A40,IF(A40='Données projet'!$A$62,'Données projet'!$B$62,AI39+AH40-AQ39)))</f>
        <v>92.599999999999966</v>
      </c>
      <c r="AJ40" s="14">
        <f>AI40*VLOOKUP('Données projet'!$B$10,Paramètres!$A$1:$I$89,3,0)*VLOOKUP('Données projet'!$B$10,Paramètres!$A$1:$I$89,5,0)</f>
        <v>80.895359999999982</v>
      </c>
      <c r="AK40" s="14">
        <f t="shared" si="35"/>
        <v>22.355962294793134</v>
      </c>
      <c r="AL40" s="22">
        <f t="shared" si="4"/>
        <v>179.829386330098</v>
      </c>
      <c r="AM40" s="62">
        <f t="shared" si="5"/>
        <v>473.16271966343129</v>
      </c>
      <c r="AN40" s="62">
        <f ca="1">AVERAGE(OFFSET($AM$3,0,0,'Données projet'!$E$10+1,1))-AVERAGE(OFFSET($H$3,0,0,'Données projet'!$E$10+1,1))</f>
        <v>121.79484266530449</v>
      </c>
      <c r="AO40" s="62">
        <f t="shared" si="36"/>
        <v>129.14577359424788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2.3513748862679185</v>
      </c>
      <c r="AW40" s="23">
        <f>EXP(-LN(2)/2)*AW39+(1-EXP(-LN(2)/2))/(LN(2)/2)*AQ40*AT40*VLOOKUP('Données projet'!$B$10,Paramètres!$A$1:$I$89,3,0)*0.475*44/12</f>
        <v>0.31627812175583903</v>
      </c>
      <c r="AX40" s="23">
        <f t="shared" si="6"/>
        <v>2.6676530080237573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5.4</v>
      </c>
      <c r="BD40" s="13">
        <f>IF('Données projet'!$A$88&gt;35,BD39+BC40-BL39,IF(A40&lt;'Données projet'!$A$88,$BA$205^A40,IF(A40='Données projet'!$A$88,'Données projet'!$B$88,BD39+BC40-BL39)))</f>
        <v>76.8</v>
      </c>
      <c r="BE40" s="14">
        <f>BD40*VLOOKUP('Données projet'!$B$11,Paramètres!$A$1:$I$89,3,0)*VLOOKUP('Données projet'!$B$11,Paramètres!$A$1:$I$89,5,0)</f>
        <v>77.875200000000007</v>
      </c>
      <c r="BF40" s="14">
        <f t="shared" si="37"/>
        <v>21.616848354491538</v>
      </c>
      <c r="BG40" s="22">
        <f t="shared" si="7"/>
        <v>173.28198421740612</v>
      </c>
      <c r="BH40" s="62">
        <f t="shared" si="8"/>
        <v>466.61531755073941</v>
      </c>
      <c r="BI40" s="62">
        <f ca="1">AVERAGE(OFFSET($BH$3,0,0,'Données projet'!$E$11+1,1))-AVERAGE(OFFSET($H$3,0,0,'Données projet'!$E$11+1,1))</f>
        <v>201.65575435598231</v>
      </c>
      <c r="BJ40" s="62">
        <f t="shared" si="38"/>
        <v>103.75701796419935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12.4</v>
      </c>
      <c r="BY40" s="13">
        <f>IF('Données projet'!$A$114&gt;35,BY39+BX40-CG39,IF(A40&lt;'Données projet'!$A$114,$BV$205^A40,IF(A40='Données projet'!$A$114,'Données projet'!$B$114,BY39+BX40-CG39)))</f>
        <v>170.8</v>
      </c>
      <c r="BZ40" s="14">
        <f>BY40*VLOOKUP('Données projet'!$B$12,Paramètres!$A$1:$I$89,3,0)*VLOOKUP('Données projet'!$B$12,Paramètres!$A$1:$I$89,5,0)</f>
        <v>102.13840000000002</v>
      </c>
      <c r="CA40" s="14">
        <f t="shared" si="39"/>
        <v>27.470812821300004</v>
      </c>
      <c r="CB40" s="22">
        <f t="shared" si="10"/>
        <v>225.7360456637642</v>
      </c>
      <c r="CC40" s="62">
        <f t="shared" si="11"/>
        <v>519.06937899709749</v>
      </c>
      <c r="CD40" s="62">
        <f ca="1">AVERAGE(OFFSET($CC$3,0,0,'Données projet'!$E$12+1,1))-AVERAGE(OFFSET($H$3,0,0,'Données projet'!$E$12+1,1))</f>
        <v>222.32495275055498</v>
      </c>
      <c r="CE40" s="62">
        <f t="shared" si="40"/>
        <v>156.39259018918381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0.76140135480205118</v>
      </c>
      <c r="CM40" s="23">
        <f>EXP(-LN(2)/2)*CM39+(1-EXP(-LN(2)/2))/(LN(2)/2)*CG40*CJ40*VLOOKUP('Données projet'!$B$12,Paramètres!$A$1:$I$89,3,0)*0.475*44/12</f>
        <v>0.93977240780651683</v>
      </c>
      <c r="CN40" s="24">
        <f t="shared" si="12"/>
        <v>1.7011737626085681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30.825599999999987</v>
      </c>
      <c r="D41" s="12">
        <f t="shared" si="32"/>
        <v>9.5313474288652547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311.52731348597729</v>
      </c>
      <c r="H41" s="70">
        <f t="shared" si="1"/>
        <v>326.95501677194028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9.0238095238095237</v>
      </c>
      <c r="N41" s="14">
        <f>IF('Données projet'!$A$36&gt;35,N40+M41-V40,IF(A41&lt;'Données projet'!$A$36,$K$205^A41,IF(A41='Données projet'!$A$36,'Données projet'!$B$36,N40+M41-V40)))</f>
        <v>342.90476190476176</v>
      </c>
      <c r="O41" s="14">
        <f>N41*VLOOKUP('Données projet'!$B$9,Paramètres!$A$1:$I$89,3,0)*VLOOKUP('Données projet'!$B$9,Paramètres!$A$1:$I$89,5,0)</f>
        <v>160.47942857142851</v>
      </c>
      <c r="P41" s="14">
        <f t="shared" si="33"/>
        <v>40.950633022073781</v>
      </c>
      <c r="Q41" s="22">
        <f t="shared" si="53"/>
        <v>350.82402394201648</v>
      </c>
      <c r="R41" s="62">
        <f t="shared" si="0"/>
        <v>644.1573572753498</v>
      </c>
      <c r="S41" s="62">
        <f ca="1">AVERAGE(OFFSET($R$3,0,0,'Données projet'!$E$9+1,1))-AVERAGE(OFFSET($H$3,0,0,'Données projet'!$E$9+1,1))</f>
        <v>273.21086764807194</v>
      </c>
      <c r="T41" s="62">
        <f t="shared" si="34"/>
        <v>259.3474218586631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5.8</v>
      </c>
      <c r="AI41" s="14">
        <f>IF('Données projet'!$A$62&gt;35,AI40+AH41-AQ40,IF(A41&lt;'Données projet'!$A$62,$AF$205^A41,IF(A41='Données projet'!$A$62,'Données projet'!$B$62,AI40+AH41-AQ40)))</f>
        <v>98.399999999999963</v>
      </c>
      <c r="AJ41" s="14">
        <f>AI41*VLOOKUP('Données projet'!$B$10,Paramètres!$A$1:$I$89,3,0)*VLOOKUP('Données projet'!$B$10,Paramètres!$A$1:$I$89,5,0)</f>
        <v>85.96223999999998</v>
      </c>
      <c r="AK41" s="14">
        <f t="shared" si="35"/>
        <v>23.588828321049387</v>
      </c>
      <c r="AL41" s="22">
        <f t="shared" si="4"/>
        <v>190.80144399249431</v>
      </c>
      <c r="AM41" s="62">
        <f t="shared" si="5"/>
        <v>484.1347773258276</v>
      </c>
      <c r="AN41" s="62">
        <f ca="1">AVERAGE(OFFSET($AM$3,0,0,'Données projet'!$E$10+1,1))-AVERAGE(OFFSET($H$3,0,0,'Données projet'!$E$10+1,1))</f>
        <v>121.79484266530449</v>
      </c>
      <c r="AO41" s="62">
        <f t="shared" si="36"/>
        <v>129.14577359424788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2.2870764163494912</v>
      </c>
      <c r="AW41" s="23">
        <f>EXP(-LN(2)/2)*AW40+(1-EXP(-LN(2)/2))/(LN(2)/2)*AQ41*AT41*VLOOKUP('Données projet'!$B$10,Paramètres!$A$1:$I$89,3,0)*0.475*44/12</f>
        <v>0.2236424046344983</v>
      </c>
      <c r="AX41" s="23">
        <f t="shared" si="6"/>
        <v>2.5107188209839895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5.4</v>
      </c>
      <c r="BD41" s="13">
        <f>IF('Données projet'!$A$88&gt;35,BD40+BC41-BL40,IF(A41&lt;'Données projet'!$A$88,$BA$205^A41,IF(A41='Données projet'!$A$88,'Données projet'!$B$88,BD40+BC41-BL40)))</f>
        <v>82.2</v>
      </c>
      <c r="BE41" s="14">
        <f>BD41*VLOOKUP('Données projet'!$B$11,Paramètres!$A$1:$I$89,3,0)*VLOOKUP('Données projet'!$B$11,Paramètres!$A$1:$I$89,5,0)</f>
        <v>83.350800000000007</v>
      </c>
      <c r="BF41" s="14">
        <f t="shared" si="37"/>
        <v>22.954505421678146</v>
      </c>
      <c r="BG41" s="22">
        <f t="shared" si="7"/>
        <v>185.14840694275611</v>
      </c>
      <c r="BH41" s="62">
        <f t="shared" si="8"/>
        <v>478.48174027608945</v>
      </c>
      <c r="BI41" s="62">
        <f ca="1">AVERAGE(OFFSET($BH$3,0,0,'Données projet'!$E$11+1,1))-AVERAGE(OFFSET($H$3,0,0,'Données projet'!$E$11+1,1))</f>
        <v>201.65575435598231</v>
      </c>
      <c r="BJ41" s="62">
        <f t="shared" si="38"/>
        <v>103.75701796419935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12.4</v>
      </c>
      <c r="BY41" s="13">
        <f>IF('Données projet'!$A$114&gt;35,BY40+BX41-CG40,IF(A41&lt;'Données projet'!$A$114,$BV$205^A41,IF(A41='Données projet'!$A$114,'Données projet'!$B$114,BY40+BX41-CG40)))</f>
        <v>183.20000000000002</v>
      </c>
      <c r="BZ41" s="14">
        <f>BY41*VLOOKUP('Données projet'!$B$12,Paramètres!$A$1:$I$89,3,0)*VLOOKUP('Données projet'!$B$12,Paramètres!$A$1:$I$89,5,0)</f>
        <v>109.55360000000002</v>
      </c>
      <c r="CA41" s="14">
        <f t="shared" si="39"/>
        <v>29.225784372214765</v>
      </c>
      <c r="CB41" s="22">
        <f t="shared" si="10"/>
        <v>241.70742778160744</v>
      </c>
      <c r="CC41" s="62">
        <f t="shared" si="11"/>
        <v>535.04076111494078</v>
      </c>
      <c r="CD41" s="62">
        <f ca="1">AVERAGE(OFFSET($CC$3,0,0,'Données projet'!$E$12+1,1))-AVERAGE(OFFSET($H$3,0,0,'Données projet'!$E$12+1,1))</f>
        <v>222.32495275055498</v>
      </c>
      <c r="CE41" s="62">
        <f t="shared" si="40"/>
        <v>156.39259018918381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0.74058079471463201</v>
      </c>
      <c r="CM41" s="23">
        <f>EXP(-LN(2)/2)*CM40+(1-EXP(-LN(2)/2))/(LN(2)/2)*CG41*CJ41*VLOOKUP('Données projet'!$B$12,Paramètres!$A$1:$I$89,3,0)*0.475*44/12</f>
        <v>0.66451944233199767</v>
      </c>
      <c r="CN41" s="24">
        <f t="shared" si="12"/>
        <v>1.4051002370466297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31.636799999999987</v>
      </c>
      <c r="D42" s="12">
        <f t="shared" si="32"/>
        <v>9.7526401755191188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319.4974329338317</v>
      </c>
      <c r="H42" s="70">
        <f t="shared" si="1"/>
        <v>328.75327497236242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9.0238095238095237</v>
      </c>
      <c r="N42" s="14">
        <f>IF('Données projet'!$A$36&gt;35,N41+M42-V41,IF(A42&lt;'Données projet'!$A$36,$K$205^A42,IF(A42='Données projet'!$A$36,'Données projet'!$B$36,N41+M42-V41)))</f>
        <v>351.92857142857127</v>
      </c>
      <c r="O42" s="14">
        <f>N42*VLOOKUP('Données projet'!$B$9,Paramètres!$A$1:$I$89,3,0)*VLOOKUP('Données projet'!$B$9,Paramètres!$A$1:$I$89,5,0)</f>
        <v>164.70257142857136</v>
      </c>
      <c r="P42" s="14">
        <f t="shared" si="33"/>
        <v>41.901398706181055</v>
      </c>
      <c r="Q42" s="22">
        <f t="shared" si="53"/>
        <v>359.83524798469381</v>
      </c>
      <c r="R42" s="62">
        <f t="shared" si="0"/>
        <v>653.16858131802712</v>
      </c>
      <c r="S42" s="62">
        <f ca="1">AVERAGE(OFFSET($R$3,0,0,'Données projet'!$E$9+1,1))-AVERAGE(OFFSET($H$3,0,0,'Données projet'!$E$9+1,1))</f>
        <v>273.21086764807194</v>
      </c>
      <c r="T42" s="62">
        <f t="shared" si="34"/>
        <v>259.3474218586631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5.8</v>
      </c>
      <c r="AI42" s="14">
        <f>IF('Données projet'!$A$62&gt;35,AI41+AH42-AQ41,IF(A42&lt;'Données projet'!$A$62,$AF$205^A42,IF(A42='Données projet'!$A$62,'Données projet'!$B$62,AI41+AH42-AQ41)))</f>
        <v>104.19999999999996</v>
      </c>
      <c r="AJ42" s="14">
        <f>AI42*VLOOKUP('Données projet'!$B$10,Paramètres!$A$1:$I$89,3,0)*VLOOKUP('Données projet'!$B$10,Paramètres!$A$1:$I$89,5,0)</f>
        <v>91.029119999999978</v>
      </c>
      <c r="AK42" s="14">
        <f t="shared" si="35"/>
        <v>24.813259479575787</v>
      </c>
      <c r="AL42" s="22">
        <f t="shared" si="4"/>
        <v>201.75881092692779</v>
      </c>
      <c r="AM42" s="62">
        <f t="shared" si="5"/>
        <v>495.09214426026108</v>
      </c>
      <c r="AN42" s="62">
        <f ca="1">AVERAGE(OFFSET($AM$3,0,0,'Données projet'!$E$10+1,1))-AVERAGE(OFFSET($H$3,0,0,'Données projet'!$E$10+1,1))</f>
        <v>121.79484266530449</v>
      </c>
      <c r="AO42" s="62">
        <f t="shared" si="36"/>
        <v>129.14577359424788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2.2245361914722928</v>
      </c>
      <c r="AW42" s="23">
        <f>EXP(-LN(2)/2)*AW41+(1-EXP(-LN(2)/2))/(LN(2)/2)*AQ42*AT42*VLOOKUP('Données projet'!$B$10,Paramètres!$A$1:$I$89,3,0)*0.475*44/12</f>
        <v>0.15813906087791951</v>
      </c>
      <c r="AX42" s="23">
        <f t="shared" si="6"/>
        <v>2.3826752523502122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5.4</v>
      </c>
      <c r="BD42" s="13">
        <f>IF('Données projet'!$A$88&gt;35,BD41+BC42-BL41,IF(A42&lt;'Données projet'!$A$88,$BA$205^A42,IF(A42='Données projet'!$A$88,'Données projet'!$B$88,BD41+BC42-BL41)))</f>
        <v>87.600000000000009</v>
      </c>
      <c r="BE42" s="14">
        <f>BD42*VLOOKUP('Données projet'!$B$11,Paramètres!$A$1:$I$89,3,0)*VLOOKUP('Données projet'!$B$11,Paramètres!$A$1:$I$89,5,0)</f>
        <v>88.826400000000007</v>
      </c>
      <c r="BF42" s="14">
        <f t="shared" si="37"/>
        <v>24.28196507443278</v>
      </c>
      <c r="BG42" s="22">
        <f t="shared" si="7"/>
        <v>196.99706917130376</v>
      </c>
      <c r="BH42" s="62">
        <f t="shared" si="8"/>
        <v>490.33040250463705</v>
      </c>
      <c r="BI42" s="62">
        <f ca="1">AVERAGE(OFFSET($BH$3,0,0,'Données projet'!$E$11+1,1))-AVERAGE(OFFSET($H$3,0,0,'Données projet'!$E$11+1,1))</f>
        <v>201.65575435598231</v>
      </c>
      <c r="BJ42" s="62">
        <f t="shared" si="38"/>
        <v>103.75701796419935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12.4</v>
      </c>
      <c r="BY42" s="13">
        <f>IF('Données projet'!$A$114&gt;35,BY41+BX42-CG41,IF(A42&lt;'Données projet'!$A$114,$BV$205^A42,IF(A42='Données projet'!$A$114,'Données projet'!$B$114,BY41+BX42-CG41)))</f>
        <v>195.60000000000002</v>
      </c>
      <c r="BZ42" s="14">
        <f>BY42*VLOOKUP('Données projet'!$B$12,Paramètres!$A$1:$I$89,3,0)*VLOOKUP('Données projet'!$B$12,Paramètres!$A$1:$I$89,5,0)</f>
        <v>116.96880000000002</v>
      </c>
      <c r="CA42" s="14">
        <f t="shared" si="39"/>
        <v>30.966972418998537</v>
      </c>
      <c r="CB42" s="22">
        <f t="shared" si="10"/>
        <v>257.6548036297558</v>
      </c>
      <c r="CC42" s="62">
        <f t="shared" si="11"/>
        <v>550.98813696308912</v>
      </c>
      <c r="CD42" s="62">
        <f ca="1">AVERAGE(OFFSET($CC$3,0,0,'Données projet'!$E$12+1,1))-AVERAGE(OFFSET($H$3,0,0,'Données projet'!$E$12+1,1))</f>
        <v>222.32495275055498</v>
      </c>
      <c r="CE42" s="62">
        <f t="shared" si="40"/>
        <v>156.39259018918381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0.72032957393770902</v>
      </c>
      <c r="CM42" s="23">
        <f>EXP(-LN(2)/2)*CM41+(1-EXP(-LN(2)/2))/(LN(2)/2)*CG42*CJ42*VLOOKUP('Données projet'!$B$12,Paramètres!$A$1:$I$89,3,0)*0.475*44/12</f>
        <v>0.46988620390325847</v>
      </c>
      <c r="CN42" s="24">
        <f t="shared" si="12"/>
        <v>1.1902157778409674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32.447999999999986</v>
      </c>
      <c r="D43" s="12">
        <f t="shared" si="32"/>
        <v>9.9732733567093845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327.4624609991601</v>
      </c>
      <c r="H43" s="70">
        <f t="shared" si="1"/>
        <v>330.55038442960216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9.0238095238095237</v>
      </c>
      <c r="N43" s="14">
        <f>IF('Données projet'!$A$36&gt;35,N42+M43-V42,IF(A43&lt;'Données projet'!$A$36,$K$205^A43,IF(A43='Données projet'!$A$36,'Données projet'!$B$36,N42+M43-V42)))</f>
        <v>360.95238095238079</v>
      </c>
      <c r="O43" s="14">
        <f>N43*VLOOKUP('Données projet'!$B$9,Paramètres!$A$1:$I$89,3,0)*VLOOKUP('Données projet'!$B$9,Paramètres!$A$1:$I$89,5,0)</f>
        <v>168.92571428571424</v>
      </c>
      <c r="P43" s="14">
        <f t="shared" si="33"/>
        <v>42.849330622717098</v>
      </c>
      <c r="Q43" s="22">
        <f t="shared" si="53"/>
        <v>368.84153654885125</v>
      </c>
      <c r="R43" s="62">
        <f t="shared" si="0"/>
        <v>662.17486988218457</v>
      </c>
      <c r="S43" s="62">
        <f ca="1">AVERAGE(OFFSET($R$3,0,0,'Données projet'!$E$9+1,1))-AVERAGE(OFFSET($H$3,0,0,'Données projet'!$E$9+1,1))</f>
        <v>273.21086764807194</v>
      </c>
      <c r="T43" s="62">
        <f t="shared" si="34"/>
        <v>259.3474218586631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110</v>
      </c>
      <c r="AG43" s="13">
        <f>VLOOKUP(A43,'Données projet'!$A$61:$I$81,9,0)</f>
        <v>5.8</v>
      </c>
      <c r="AH43" s="13">
        <f t="array" ref="AH43">INDEX(AG:AG,MIN(IF(ISNUMBER(AG43:AG239),ROW(AG43:AG239),"")))</f>
        <v>5.8</v>
      </c>
      <c r="AI43" s="14">
        <f>IF('Données projet'!$A$62&gt;35,AI42+AH43-AQ42,IF(A43&lt;'Données projet'!$A$62,$AF$205^A43,IF(A43='Données projet'!$A$62,'Données projet'!$B$62,AI42+AH43-AQ42)))</f>
        <v>109.99999999999996</v>
      </c>
      <c r="AJ43" s="14">
        <f>AI43*VLOOKUP('Données projet'!$B$10,Paramètres!$A$1:$I$89,3,0)*VLOOKUP('Données projet'!$B$10,Paramètres!$A$1:$I$89,5,0)</f>
        <v>96.095999999999975</v>
      </c>
      <c r="AK43" s="14">
        <f t="shared" si="35"/>
        <v>26.029778784173352</v>
      </c>
      <c r="AL43" s="22">
        <f t="shared" si="4"/>
        <v>212.70239804910184</v>
      </c>
      <c r="AM43" s="62">
        <f t="shared" si="5"/>
        <v>506.03573138243519</v>
      </c>
      <c r="AN43" s="62">
        <f ca="1">AVERAGE(OFFSET($AM$3,0,0,'Données projet'!$E$10+1,1))-AVERAGE(OFFSET($H$3,0,0,'Données projet'!$E$10+1,1))</f>
        <v>121.79484266530449</v>
      </c>
      <c r="AO43" s="62">
        <f t="shared" si="36"/>
        <v>129.14577359424788</v>
      </c>
      <c r="AP43" s="16">
        <f>IF(ISNA(VLOOKUP(A43,'Données projet'!$A$61:$I$81,3,0)),0,VLOOKUP(A43,'Données projet'!$A$61:$I$81,3,0))</f>
        <v>5</v>
      </c>
      <c r="AQ43" s="16">
        <f>IF(ISNA(VLOOKUP(A43,'Données projet'!$A$61:$I$81,4,0)),0,VLOOKUP(A43,'Données projet'!$A$61:$I$81,4,0))</f>
        <v>14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2.1637061323332087</v>
      </c>
      <c r="AW43" s="23">
        <f>EXP(-LN(2)/2)*AW42+(1-EXP(-LN(2)/2))/(LN(2)/2)*AQ43*AT43*VLOOKUP('Données projet'!$B$10,Paramètres!$A$1:$I$89,3,0)*0.475*44/12</f>
        <v>0.11182120231724915</v>
      </c>
      <c r="AX43" s="23">
        <f t="shared" si="6"/>
        <v>2.2755273346504579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93</v>
      </c>
      <c r="BB43" s="13">
        <f>VLOOKUP(A43,'Données projet'!$A$87:$I$107,9,0)</f>
        <v>5.4</v>
      </c>
      <c r="BC43" s="13">
        <f t="array" ref="BC43">INDEX(BB:BB,MIN(IF(ISNUMBER(BB43:BB239),ROW(BB43:BB239),"")))</f>
        <v>5.4</v>
      </c>
      <c r="BD43" s="13">
        <f>IF('Données projet'!$A$88&gt;35,BD42+BC43-BL42,IF(A43&lt;'Données projet'!$A$88,$BA$205^A43,IF(A43='Données projet'!$A$88,'Données projet'!$B$88,BD42+BC43-BL42)))</f>
        <v>93.000000000000014</v>
      </c>
      <c r="BE43" s="14">
        <f>BD43*VLOOKUP('Données projet'!$B$11,Paramètres!$A$1:$I$89,3,0)*VLOOKUP('Données projet'!$B$11,Paramètres!$A$1:$I$89,5,0)</f>
        <v>94.302000000000021</v>
      </c>
      <c r="BF43" s="14">
        <f t="shared" si="37"/>
        <v>25.599927492506424</v>
      </c>
      <c r="BG43" s="22">
        <f t="shared" si="7"/>
        <v>208.82919038278203</v>
      </c>
      <c r="BH43" s="62">
        <f t="shared" si="8"/>
        <v>502.16252371611534</v>
      </c>
      <c r="BI43" s="62">
        <f ca="1">AVERAGE(OFFSET($BH$3,0,0,'Données projet'!$E$11+1,1))-AVERAGE(OFFSET($H$3,0,0,'Données projet'!$E$11+1,1))</f>
        <v>201.65575435598231</v>
      </c>
      <c r="BJ43" s="62">
        <f t="shared" si="38"/>
        <v>103.75701796419935</v>
      </c>
      <c r="BK43" s="16">
        <f>IF(ISNA(VLOOKUP(A43,'Données projet'!$A$87:$I$107,3,0)),0,VLOOKUP(A43,'Données projet'!$A$87:$I$107,3,0))</f>
        <v>4</v>
      </c>
      <c r="BL43" s="16">
        <f>IF(ISNA(VLOOKUP(A43,'Données projet'!$A$87:$I$107,4,0)),0,VLOOKUP(A43,'Données projet'!$A$87:$I$107,4,0))</f>
        <v>14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208</v>
      </c>
      <c r="BW43" s="13">
        <f>VLOOKUP(A43,'Données projet'!$A$113:$I$133,9,0)</f>
        <v>12.4</v>
      </c>
      <c r="BX43" s="13">
        <f t="array" ref="BX43">INDEX(BW:BW,MIN(IF(ISNUMBER(BW43:BW239),ROW(BW43:BW239),"")))</f>
        <v>12.4</v>
      </c>
      <c r="BY43" s="13">
        <f>IF('Données projet'!$A$114&gt;35,BY42+BX43-CG42,IF(A43&lt;'Données projet'!$A$114,$BV$205^A43,IF(A43='Données projet'!$A$114,'Données projet'!$B$114,BY42+BX43-CG42)))</f>
        <v>208.00000000000003</v>
      </c>
      <c r="BZ43" s="14">
        <f>BY43*VLOOKUP('Données projet'!$B$12,Paramètres!$A$1:$I$89,3,0)*VLOOKUP('Données projet'!$B$12,Paramètres!$A$1:$I$89,5,0)</f>
        <v>124.38400000000003</v>
      </c>
      <c r="CA43" s="14">
        <f t="shared" si="39"/>
        <v>32.695350227217695</v>
      </c>
      <c r="CB43" s="22">
        <f t="shared" si="10"/>
        <v>273.57986831240419</v>
      </c>
      <c r="CC43" s="62">
        <f t="shared" si="11"/>
        <v>566.91320164573744</v>
      </c>
      <c r="CD43" s="62">
        <f ca="1">AVERAGE(OFFSET($CC$3,0,0,'Données projet'!$E$12+1,1))-AVERAGE(OFFSET($H$3,0,0,'Données projet'!$E$12+1,1))</f>
        <v>222.32495275055498</v>
      </c>
      <c r="CE43" s="62">
        <f t="shared" si="40"/>
        <v>156.39259018918381</v>
      </c>
      <c r="CF43" s="16">
        <f>IF(ISNA(VLOOKUP(A43,'Données projet'!$A$113:$I$133,3,0)),0,VLOOKUP(A43,'Données projet'!$A$113:$I$133,3,0))</f>
        <v>4</v>
      </c>
      <c r="CG43" s="16">
        <f>IF(ISNA(VLOOKUP(A43,'Données projet'!$A$113:$I$133,4,0)),0,VLOOKUP(A43,'Données projet'!$A$113:$I$133,4,0))</f>
        <v>34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0.70063212385789642</v>
      </c>
      <c r="CM43" s="23">
        <f>EXP(-LN(2)/2)*CM42+(1-EXP(-LN(2)/2))/(LN(2)/2)*CG43*CJ43*VLOOKUP('Données projet'!$B$12,Paramètres!$A$1:$I$89,3,0)*0.475*44/12</f>
        <v>0.33225972116599889</v>
      </c>
      <c r="CN43" s="24">
        <f t="shared" si="12"/>
        <v>1.0328918450238953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33.259199999999986</v>
      </c>
      <c r="D44" s="12">
        <f t="shared" si="32"/>
        <v>10.193265358024181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335.42253960580064</v>
      </c>
      <c r="H44" s="70">
        <f t="shared" si="1"/>
        <v>332.34637716522548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9.0238095238095237</v>
      </c>
      <c r="N44" s="14">
        <f>IF('Données projet'!$A$36&gt;35,N43+M44-V43,IF(A44&lt;'Données projet'!$A$36,$K$205^A44,IF(A44='Données projet'!$A$36,'Données projet'!$B$36,N43+M44-V43)))</f>
        <v>369.97619047619031</v>
      </c>
      <c r="O44" s="14">
        <f>N44*VLOOKUP('Données projet'!$B$9,Paramètres!$A$1:$I$89,3,0)*VLOOKUP('Données projet'!$B$9,Paramètres!$A$1:$I$89,5,0)</f>
        <v>173.14885714285705</v>
      </c>
      <c r="P44" s="14">
        <f t="shared" si="33"/>
        <v>43.794507763815865</v>
      </c>
      <c r="Q44" s="22">
        <f t="shared" si="53"/>
        <v>377.8430272124553</v>
      </c>
      <c r="R44" s="62">
        <f t="shared" si="0"/>
        <v>671.17636054578861</v>
      </c>
      <c r="S44" s="62">
        <f ca="1">AVERAGE(OFFSET($R$3,0,0,'Données projet'!$E$9+1,1))-AVERAGE(OFFSET($H$3,0,0,'Données projet'!$E$9+1,1))</f>
        <v>273.21086764807194</v>
      </c>
      <c r="T44" s="62">
        <f t="shared" si="34"/>
        <v>259.3474218586631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4.8</v>
      </c>
      <c r="AI44" s="14">
        <f>IF('Données projet'!$A$62&gt;35,AI43+AH44-AQ43,IF(A44&lt;'Données projet'!$A$62,$AF$205^A44,IF(A44='Données projet'!$A$62,'Données projet'!$B$62,AI43+AH44-AQ43)))</f>
        <v>100.79999999999995</v>
      </c>
      <c r="AJ44" s="14">
        <f>AI44*VLOOKUP('Données projet'!$B$10,Paramètres!$A$1:$I$89,3,0)*VLOOKUP('Données projet'!$B$10,Paramètres!$A$1:$I$89,5,0)</f>
        <v>88.058879999999974</v>
      </c>
      <c r="AK44" s="14">
        <f t="shared" si="35"/>
        <v>24.096481170231179</v>
      </c>
      <c r="AL44" s="22">
        <f t="shared" si="4"/>
        <v>195.33725403815257</v>
      </c>
      <c r="AM44" s="62">
        <f t="shared" si="5"/>
        <v>488.67058737148591</v>
      </c>
      <c r="AN44" s="62">
        <f ca="1">AVERAGE(OFFSET($AM$3,0,0,'Données projet'!$E$10+1,1))-AVERAGE(OFFSET($H$3,0,0,'Données projet'!$E$10+1,1))</f>
        <v>121.79484266530449</v>
      </c>
      <c r="AO44" s="62">
        <f t="shared" si="36"/>
        <v>129.14577359424788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2.1045394743601968</v>
      </c>
      <c r="AW44" s="23">
        <f>EXP(-LN(2)/2)*AW43+(1-EXP(-LN(2)/2))/(LN(2)/2)*AQ44*AT44*VLOOKUP('Données projet'!$B$10,Paramètres!$A$1:$I$89,3,0)*0.475*44/12</f>
        <v>7.9069530438959756E-2</v>
      </c>
      <c r="AX44" s="23">
        <f t="shared" si="6"/>
        <v>2.1836090047991568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5.6</v>
      </c>
      <c r="BD44" s="13">
        <f>IF('Données projet'!$A$88&gt;35,BD43+BC44-BL43,IF(A44&lt;'Données projet'!$A$88,$BA$205^A44,IF(A44='Données projet'!$A$88,'Données projet'!$B$88,BD43+BC44-BL43)))</f>
        <v>84.600000000000009</v>
      </c>
      <c r="BE44" s="14">
        <f>BD44*VLOOKUP('Données projet'!$B$11,Paramètres!$A$1:$I$89,3,0)*VLOOKUP('Données projet'!$B$11,Paramètres!$A$1:$I$89,5,0)</f>
        <v>85.784400000000019</v>
      </c>
      <c r="BF44" s="14">
        <f t="shared" si="37"/>
        <v>23.545702623664209</v>
      </c>
      <c r="BG44" s="22">
        <f t="shared" si="7"/>
        <v>190.41659540288185</v>
      </c>
      <c r="BH44" s="62">
        <f t="shared" si="8"/>
        <v>483.74992873621517</v>
      </c>
      <c r="BI44" s="62">
        <f ca="1">AVERAGE(OFFSET($BH$3,0,0,'Données projet'!$E$11+1,1))-AVERAGE(OFFSET($H$3,0,0,'Données projet'!$E$11+1,1))</f>
        <v>201.65575435598231</v>
      </c>
      <c r="BJ44" s="62">
        <f t="shared" si="38"/>
        <v>103.75701796419935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14.1</v>
      </c>
      <c r="BY44" s="13">
        <f>IF('Données projet'!$A$114&gt;35,BY43+BX44-CG43,IF(A44&lt;'Données projet'!$A$114,$BV$205^A44,IF(A44='Données projet'!$A$114,'Données projet'!$B$114,BY43+BX44-CG43)))</f>
        <v>188.10000000000002</v>
      </c>
      <c r="BZ44" s="14">
        <f>BY44*VLOOKUP('Données projet'!$B$12,Paramètres!$A$1:$I$89,3,0)*VLOOKUP('Données projet'!$B$12,Paramètres!$A$1:$I$89,5,0)</f>
        <v>112.48380000000002</v>
      </c>
      <c r="CA44" s="14">
        <f t="shared" si="39"/>
        <v>29.915424563902814</v>
      </c>
      <c r="CB44" s="22">
        <f t="shared" si="10"/>
        <v>248.01198278213079</v>
      </c>
      <c r="CC44" s="62">
        <f t="shared" si="11"/>
        <v>541.34531611546413</v>
      </c>
      <c r="CD44" s="62">
        <f ca="1">AVERAGE(OFFSET($CC$3,0,0,'Données projet'!$E$12+1,1))-AVERAGE(OFFSET($H$3,0,0,'Données projet'!$E$12+1,1))</f>
        <v>222.32495275055498</v>
      </c>
      <c r="CE44" s="62">
        <f t="shared" si="40"/>
        <v>156.39259018918381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0.68147330158636021</v>
      </c>
      <c r="CM44" s="23">
        <f>EXP(-LN(2)/2)*CM43+(1-EXP(-LN(2)/2))/(LN(2)/2)*CG44*CJ44*VLOOKUP('Données projet'!$B$12,Paramètres!$A$1:$I$89,3,0)*0.475*44/12</f>
        <v>0.23494310195162929</v>
      </c>
      <c r="CN44" s="24">
        <f t="shared" si="12"/>
        <v>0.91641640353798948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34.070399999999985</v>
      </c>
      <c r="D45" s="12">
        <f t="shared" si="32"/>
        <v>10.41263361705931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343.37780335975594</v>
      </c>
      <c r="H45" s="70">
        <f t="shared" si="1"/>
        <v>334.1412835497116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>
        <f>VLOOKUP(A45,'Données projet'!$A$35:$I$55,2,0)</f>
        <v>379</v>
      </c>
      <c r="L45" s="13">
        <f>VLOOKUP(A45,'Données projet'!$A$35:$I$55,9,0)</f>
        <v>9.0238095238095237</v>
      </c>
      <c r="M45" s="13">
        <f t="array" ref="M45">INDEX(L:L,MIN(IF(ISNUMBER(L45:L241),ROW(L45:L241),"")))</f>
        <v>9.0238095238095237</v>
      </c>
      <c r="N45" s="14">
        <f>IF('Données projet'!$A$36&gt;35,N44+M45-V44,IF(A45&lt;'Données projet'!$A$36,$K$205^A45,IF(A45='Données projet'!$A$36,'Données projet'!$B$36,N44+M45-V44)))</f>
        <v>378.99999999999983</v>
      </c>
      <c r="O45" s="14">
        <f>N45*VLOOKUP('Données projet'!$B$9,Paramètres!$A$1:$I$89,3,0)*VLOOKUP('Données projet'!$B$9,Paramètres!$A$1:$I$89,5,0)</f>
        <v>177.37199999999993</v>
      </c>
      <c r="P45" s="14">
        <f t="shared" si="33"/>
        <v>44.737005048641883</v>
      </c>
      <c r="Q45" s="22">
        <f t="shared" si="53"/>
        <v>386.83985045971781</v>
      </c>
      <c r="R45" s="62">
        <f t="shared" si="0"/>
        <v>680.17318379305107</v>
      </c>
      <c r="S45" s="62">
        <f ca="1">AVERAGE(OFFSET($R$3,0,0,'Données projet'!$E$9+1,1))-AVERAGE(OFFSET($H$3,0,0,'Données projet'!$E$9+1,1))</f>
        <v>273.21086764807194</v>
      </c>
      <c r="T45" s="62">
        <f t="shared" si="34"/>
        <v>259.3474218586631</v>
      </c>
      <c r="U45" s="16">
        <f>IF(ISNA(VLOOKUP(A45,'Données projet'!$A$35:$I$55,3,0)),0,VLOOKUP(A45,'Données projet'!$A$35:$I$55,3,0))</f>
        <v>1</v>
      </c>
      <c r="V45" s="16">
        <f>IF(ISNA(VLOOKUP(A45,'Données projet'!$A$35:$I$55,4,0)),0,VLOOKUP(A45,'Données projet'!$A$35:$I$55,4,0))</f>
        <v>110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4.8</v>
      </c>
      <c r="AI45" s="14">
        <f>IF('Données projet'!$A$62&gt;35,AI44+AH45-AQ44,IF(A45&lt;'Données projet'!$A$62,$AF$205^A45,IF(A45='Données projet'!$A$62,'Données projet'!$B$62,AI44+AH45-AQ44)))</f>
        <v>105.59999999999995</v>
      </c>
      <c r="AJ45" s="14">
        <f>AI45*VLOOKUP('Données projet'!$B$10,Paramètres!$A$1:$I$89,3,0)*VLOOKUP('Données projet'!$B$10,Paramètres!$A$1:$I$89,5,0)</f>
        <v>92.252159999999975</v>
      </c>
      <c r="AK45" s="14">
        <f t="shared" si="35"/>
        <v>25.107607958259965</v>
      </c>
      <c r="AL45" s="22">
        <f t="shared" si="4"/>
        <v>204.40159586063604</v>
      </c>
      <c r="AM45" s="62">
        <f t="shared" si="5"/>
        <v>497.73492919396938</v>
      </c>
      <c r="AN45" s="62">
        <f ca="1">AVERAGE(OFFSET($AM$3,0,0,'Données projet'!$E$10+1,1))-AVERAGE(OFFSET($H$3,0,0,'Données projet'!$E$10+1,1))</f>
        <v>121.79484266530449</v>
      </c>
      <c r="AO45" s="62">
        <f t="shared" si="36"/>
        <v>129.14577359424788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2.0469907317608964</v>
      </c>
      <c r="AW45" s="23">
        <f>EXP(-LN(2)/2)*AW44+(1-EXP(-LN(2)/2))/(LN(2)/2)*AQ45*AT45*VLOOKUP('Données projet'!$B$10,Paramètres!$A$1:$I$89,3,0)*0.475*44/12</f>
        <v>5.5910601158624576E-2</v>
      </c>
      <c r="AX45" s="23">
        <f t="shared" si="6"/>
        <v>2.102901332919521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5.6</v>
      </c>
      <c r="BD45" s="13">
        <f>IF('Données projet'!$A$88&gt;35,BD44+BC45-BL44,IF(A45&lt;'Données projet'!$A$88,$BA$205^A45,IF(A45='Données projet'!$A$88,'Données projet'!$B$88,BD44+BC45-BL44)))</f>
        <v>90.2</v>
      </c>
      <c r="BE45" s="14">
        <f>BD45*VLOOKUP('Données projet'!$B$11,Paramètres!$A$1:$I$89,3,0)*VLOOKUP('Données projet'!$B$11,Paramètres!$A$1:$I$89,5,0)</f>
        <v>91.462800000000001</v>
      </c>
      <c r="BF45" s="14">
        <f t="shared" si="37"/>
        <v>24.917685409456144</v>
      </c>
      <c r="BG45" s="22">
        <f t="shared" si="7"/>
        <v>202.69601208813609</v>
      </c>
      <c r="BH45" s="62">
        <f t="shared" si="8"/>
        <v>496.02934542146943</v>
      </c>
      <c r="BI45" s="62">
        <f ca="1">AVERAGE(OFFSET($BH$3,0,0,'Données projet'!$E$11+1,1))-AVERAGE(OFFSET($H$3,0,0,'Données projet'!$E$11+1,1))</f>
        <v>201.65575435598231</v>
      </c>
      <c r="BJ45" s="62">
        <f t="shared" si="38"/>
        <v>103.75701796419935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14.1</v>
      </c>
      <c r="BY45" s="13">
        <f>IF('Données projet'!$A$114&gt;35,BY44+BX45-CG44,IF(A45&lt;'Données projet'!$A$114,$BV$205^A45,IF(A45='Données projet'!$A$114,'Données projet'!$B$114,BY44+BX45-CG44)))</f>
        <v>202.20000000000002</v>
      </c>
      <c r="BZ45" s="14">
        <f>BY45*VLOOKUP('Données projet'!$B$12,Paramètres!$A$1:$I$89,3,0)*VLOOKUP('Données projet'!$B$12,Paramètres!$A$1:$I$89,5,0)</f>
        <v>120.91560000000003</v>
      </c>
      <c r="CA45" s="14">
        <f t="shared" si="39"/>
        <v>31.888453396738488</v>
      </c>
      <c r="CB45" s="22">
        <f t="shared" si="10"/>
        <v>266.13372633265288</v>
      </c>
      <c r="CC45" s="62">
        <f t="shared" si="11"/>
        <v>559.4670596659862</v>
      </c>
      <c r="CD45" s="62">
        <f ca="1">AVERAGE(OFFSET($CC$3,0,0,'Données projet'!$E$12+1,1))-AVERAGE(OFFSET($H$3,0,0,'Données projet'!$E$12+1,1))</f>
        <v>222.32495275055498</v>
      </c>
      <c r="CE45" s="62">
        <f t="shared" si="40"/>
        <v>156.39259018918381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0.66283837831735781</v>
      </c>
      <c r="CM45" s="23">
        <f>EXP(-LN(2)/2)*CM44+(1-EXP(-LN(2)/2))/(LN(2)/2)*CG45*CJ45*VLOOKUP('Données projet'!$B$12,Paramètres!$A$1:$I$89,3,0)*0.475*44/12</f>
        <v>0.16612986058299947</v>
      </c>
      <c r="CN45" s="24">
        <f t="shared" si="12"/>
        <v>0.82896823890035731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34.881599999999985</v>
      </c>
      <c r="D46" s="12">
        <f t="shared" si="32"/>
        <v>10.631394693688584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351.32838009163106</v>
      </c>
      <c r="H46" s="70">
        <f t="shared" si="1"/>
        <v>335.93513242484096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20.333333333333332</v>
      </c>
      <c r="N46" s="14">
        <f>IF('Données projet'!$A$36&gt;35,N45+M46-V45,IF(A46&lt;'Données projet'!$A$36,$K$205^A46,IF(A46='Données projet'!$A$36,'Données projet'!$B$36,N45+M46-V45)))</f>
        <v>289.33333333333314</v>
      </c>
      <c r="O46" s="14">
        <f>N46*VLOOKUP('Données projet'!$B$9,Paramètres!$A$1:$I$89,3,0)*VLOOKUP('Données projet'!$B$9,Paramètres!$A$1:$I$89,5,0)</f>
        <v>135.4079999999999</v>
      </c>
      <c r="P46" s="14">
        <f t="shared" si="33"/>
        <v>35.243009677478696</v>
      </c>
      <c r="Q46" s="22">
        <f t="shared" si="53"/>
        <v>297.21717518827523</v>
      </c>
      <c r="R46" s="62">
        <f t="shared" si="0"/>
        <v>590.55050852160855</v>
      </c>
      <c r="S46" s="62">
        <f ca="1">AVERAGE(OFFSET($R$3,0,0,'Données projet'!$E$9+1,1))-AVERAGE(OFFSET($H$3,0,0,'Données projet'!$E$9+1,1))</f>
        <v>273.21086764807194</v>
      </c>
      <c r="T46" s="62">
        <f t="shared" si="34"/>
        <v>259.3474218586631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4.8</v>
      </c>
      <c r="AI46" s="14">
        <f>IF('Données projet'!$A$62&gt;35,AI45+AH46-AQ45,IF(A46&lt;'Données projet'!$A$62,$AF$205^A46,IF(A46='Données projet'!$A$62,'Données projet'!$B$62,AI45+AH46-AQ45)))</f>
        <v>110.39999999999995</v>
      </c>
      <c r="AJ46" s="14">
        <f>AI46*VLOOKUP('Données projet'!$B$10,Paramètres!$A$1:$I$89,3,0)*VLOOKUP('Données projet'!$B$10,Paramètres!$A$1:$I$89,5,0)</f>
        <v>96.445439999999962</v>
      </c>
      <c r="AK46" s="14">
        <f t="shared" si="35"/>
        <v>26.113397153228323</v>
      </c>
      <c r="AL46" s="22">
        <f t="shared" si="4"/>
        <v>213.45664137520589</v>
      </c>
      <c r="AM46" s="62">
        <f t="shared" si="5"/>
        <v>506.78997470853921</v>
      </c>
      <c r="AN46" s="62">
        <f ca="1">AVERAGE(OFFSET($AM$3,0,0,'Données projet'!$E$10+1,1))-AVERAGE(OFFSET($H$3,0,0,'Données projet'!$E$10+1,1))</f>
        <v>121.79484266530449</v>
      </c>
      <c r="AO46" s="62">
        <f t="shared" si="36"/>
        <v>129.14577359424788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1.9910156625543305</v>
      </c>
      <c r="AW46" s="23">
        <f>EXP(-LN(2)/2)*AW45+(1-EXP(-LN(2)/2))/(LN(2)/2)*AQ46*AT46*VLOOKUP('Données projet'!$B$10,Paramètres!$A$1:$I$89,3,0)*0.475*44/12</f>
        <v>3.9534765219479878E-2</v>
      </c>
      <c r="AX46" s="23">
        <f t="shared" si="6"/>
        <v>2.0305504277738105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5.6</v>
      </c>
      <c r="BD46" s="13">
        <f>IF('Données projet'!$A$88&gt;35,BD45+BC46-BL45,IF(A46&lt;'Données projet'!$A$88,$BA$205^A46,IF(A46='Données projet'!$A$88,'Données projet'!$B$88,BD45+BC46-BL45)))</f>
        <v>95.8</v>
      </c>
      <c r="BE46" s="14">
        <f>BD46*VLOOKUP('Données projet'!$B$11,Paramètres!$A$1:$I$89,3,0)*VLOOKUP('Données projet'!$B$11,Paramètres!$A$1:$I$89,5,0)</f>
        <v>97.141200000000012</v>
      </c>
      <c r="BF46" s="14">
        <f t="shared" si="37"/>
        <v>26.279782450761708</v>
      </c>
      <c r="BG46" s="22">
        <f t="shared" si="7"/>
        <v>214.95821110174333</v>
      </c>
      <c r="BH46" s="62">
        <f t="shared" si="8"/>
        <v>508.29154443507662</v>
      </c>
      <c r="BI46" s="62">
        <f ca="1">AVERAGE(OFFSET($BH$3,0,0,'Données projet'!$E$11+1,1))-AVERAGE(OFFSET($H$3,0,0,'Données projet'!$E$11+1,1))</f>
        <v>201.65575435598231</v>
      </c>
      <c r="BJ46" s="62">
        <f t="shared" si="38"/>
        <v>103.75701796419935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14.1</v>
      </c>
      <c r="BY46" s="13">
        <f>IF('Données projet'!$A$114&gt;35,BY45+BX46-CG45,IF(A46&lt;'Données projet'!$A$114,$BV$205^A46,IF(A46='Données projet'!$A$114,'Données projet'!$B$114,BY45+BX46-CG45)))</f>
        <v>216.3</v>
      </c>
      <c r="BZ46" s="14">
        <f>BY46*VLOOKUP('Données projet'!$B$12,Paramètres!$A$1:$I$89,3,0)*VLOOKUP('Données projet'!$B$12,Paramètres!$A$1:$I$89,5,0)</f>
        <v>129.34740000000002</v>
      </c>
      <c r="CA46" s="14">
        <f t="shared" si="39"/>
        <v>33.845518493267228</v>
      </c>
      <c r="CB46" s="22">
        <f t="shared" si="10"/>
        <v>284.22766637577377</v>
      </c>
      <c r="CC46" s="62">
        <f t="shared" si="11"/>
        <v>577.56099970910714</v>
      </c>
      <c r="CD46" s="62">
        <f ca="1">AVERAGE(OFFSET($CC$3,0,0,'Données projet'!$E$12+1,1))-AVERAGE(OFFSET($H$3,0,0,'Données projet'!$E$12+1,1))</f>
        <v>222.32495275055498</v>
      </c>
      <c r="CE46" s="62">
        <f t="shared" si="40"/>
        <v>156.39259018918381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0.64471302800511432</v>
      </c>
      <c r="CM46" s="23">
        <f>EXP(-LN(2)/2)*CM45+(1-EXP(-LN(2)/2))/(LN(2)/2)*CG46*CJ46*VLOOKUP('Données projet'!$B$12,Paramètres!$A$1:$I$89,3,0)*0.475*44/12</f>
        <v>0.11747155097581466</v>
      </c>
      <c r="CN46" s="24">
        <f t="shared" si="12"/>
        <v>0.76218457898092895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35.692799999999984</v>
      </c>
      <c r="D47" s="12">
        <f t="shared" si="32"/>
        <v>10.849564333613259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359.27439134718998</v>
      </c>
      <c r="H47" s="70">
        <f t="shared" si="1"/>
        <v>337.72795121437639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20.333333333333332</v>
      </c>
      <c r="N47" s="14">
        <f>IF('Données projet'!$A$36&gt;35,N46+M47-V46,IF(A47&lt;'Données projet'!$A$36,$K$205^A47,IF(A47='Données projet'!$A$36,'Données projet'!$B$36,N46+M47-V46)))</f>
        <v>309.66666666666646</v>
      </c>
      <c r="O47" s="14">
        <f>N47*VLOOKUP('Données projet'!$B$9,Paramètres!$A$1:$I$89,3,0)*VLOOKUP('Données projet'!$B$9,Paramètres!$A$1:$I$89,5,0)</f>
        <v>144.92399999999989</v>
      </c>
      <c r="P47" s="14">
        <f t="shared" si="33"/>
        <v>37.422745391578168</v>
      </c>
      <c r="Q47" s="22">
        <f t="shared" si="53"/>
        <v>317.58724822366509</v>
      </c>
      <c r="R47" s="62">
        <f t="shared" si="0"/>
        <v>610.9205815569984</v>
      </c>
      <c r="S47" s="62">
        <f ca="1">AVERAGE(OFFSET($R$3,0,0,'Données projet'!$E$9+1,1))-AVERAGE(OFFSET($H$3,0,0,'Données projet'!$E$9+1,1))</f>
        <v>273.21086764807194</v>
      </c>
      <c r="T47" s="62">
        <f t="shared" si="34"/>
        <v>259.3474218586631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4.8</v>
      </c>
      <c r="AI47" s="14">
        <f>IF('Données projet'!$A$62&gt;35,AI46+AH47-AQ46,IF(A47&lt;'Données projet'!$A$62,$AF$205^A47,IF(A47='Données projet'!$A$62,'Données projet'!$B$62,AI46+AH47-AQ46)))</f>
        <v>115.19999999999995</v>
      </c>
      <c r="AJ47" s="14">
        <f>AI47*VLOOKUP('Données projet'!$B$10,Paramètres!$A$1:$I$89,3,0)*VLOOKUP('Données projet'!$B$10,Paramètres!$A$1:$I$89,5,0)</f>
        <v>100.63871999999996</v>
      </c>
      <c r="AK47" s="14">
        <f t="shared" si="35"/>
        <v>27.114107349094599</v>
      </c>
      <c r="AL47" s="22">
        <f t="shared" si="4"/>
        <v>222.50284096633968</v>
      </c>
      <c r="AM47" s="62">
        <f t="shared" si="5"/>
        <v>515.83617429967296</v>
      </c>
      <c r="AN47" s="62">
        <f ca="1">AVERAGE(OFFSET($AM$3,0,0,'Données projet'!$E$10+1,1))-AVERAGE(OFFSET($H$3,0,0,'Données projet'!$E$10+1,1))</f>
        <v>121.79484266530449</v>
      </c>
      <c r="AO47" s="62">
        <f t="shared" si="36"/>
        <v>129.14577359424788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1.9365712345588191</v>
      </c>
      <c r="AW47" s="23">
        <f>EXP(-LN(2)/2)*AW46+(1-EXP(-LN(2)/2))/(LN(2)/2)*AQ47*AT47*VLOOKUP('Données projet'!$B$10,Paramètres!$A$1:$I$89,3,0)*0.475*44/12</f>
        <v>2.7955300579312288E-2</v>
      </c>
      <c r="AX47" s="23">
        <f t="shared" si="6"/>
        <v>1.9645265351381314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5.6</v>
      </c>
      <c r="BD47" s="13">
        <f>IF('Données projet'!$A$88&gt;35,BD46+BC47-BL46,IF(A47&lt;'Données projet'!$A$88,$BA$205^A47,IF(A47='Données projet'!$A$88,'Données projet'!$B$88,BD46+BC47-BL46)))</f>
        <v>101.39999999999999</v>
      </c>
      <c r="BE47" s="14">
        <f>BD47*VLOOKUP('Données projet'!$B$11,Paramètres!$A$1:$I$89,3,0)*VLOOKUP('Données projet'!$B$11,Paramètres!$A$1:$I$89,5,0)</f>
        <v>102.81959999999999</v>
      </c>
      <c r="BF47" s="14">
        <f t="shared" si="37"/>
        <v>27.632637448562328</v>
      </c>
      <c r="BG47" s="22">
        <f t="shared" si="7"/>
        <v>227.20431355624603</v>
      </c>
      <c r="BH47" s="62">
        <f t="shared" si="8"/>
        <v>520.53764688957938</v>
      </c>
      <c r="BI47" s="62">
        <f ca="1">AVERAGE(OFFSET($BH$3,0,0,'Données projet'!$E$11+1,1))-AVERAGE(OFFSET($H$3,0,0,'Données projet'!$E$11+1,1))</f>
        <v>201.65575435598231</v>
      </c>
      <c r="BJ47" s="62">
        <f t="shared" si="38"/>
        <v>103.75701796419935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14.1</v>
      </c>
      <c r="BY47" s="13">
        <f>IF('Données projet'!$A$114&gt;35,BY46+BX47-CG46,IF(A47&lt;'Données projet'!$A$114,$BV$205^A47,IF(A47='Données projet'!$A$114,'Données projet'!$B$114,BY46+BX47-CG46)))</f>
        <v>230.4</v>
      </c>
      <c r="BZ47" s="14">
        <f>BY47*VLOOKUP('Données projet'!$B$12,Paramètres!$A$1:$I$89,3,0)*VLOOKUP('Données projet'!$B$12,Paramètres!$A$1:$I$89,5,0)</f>
        <v>137.7792</v>
      </c>
      <c r="CA47" s="14">
        <f t="shared" si="39"/>
        <v>35.787778913287674</v>
      </c>
      <c r="CB47" s="22">
        <f t="shared" si="10"/>
        <v>302.29582160730934</v>
      </c>
      <c r="CC47" s="62">
        <f t="shared" si="11"/>
        <v>595.62915494064259</v>
      </c>
      <c r="CD47" s="62">
        <f ca="1">AVERAGE(OFFSET($CC$3,0,0,'Données projet'!$E$12+1,1))-AVERAGE(OFFSET($H$3,0,0,'Données projet'!$E$12+1,1))</f>
        <v>222.32495275055498</v>
      </c>
      <c r="CE47" s="62">
        <f t="shared" si="40"/>
        <v>156.39259018918381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0.62708331635032988</v>
      </c>
      <c r="CM47" s="23">
        <f>EXP(-LN(2)/2)*CM46+(1-EXP(-LN(2)/2))/(LN(2)/2)*CG47*CJ47*VLOOKUP('Données projet'!$B$12,Paramètres!$A$1:$I$89,3,0)*0.475*44/12</f>
        <v>8.306493029149975E-2</v>
      </c>
      <c r="CN47" s="24">
        <f t="shared" si="12"/>
        <v>0.71014824664182963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36.503999999999984</v>
      </c>
      <c r="D48" s="12">
        <f t="shared" si="32"/>
        <v>11.067157525971371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367.21595283205966</v>
      </c>
      <c r="H48" s="70">
        <f t="shared" si="1"/>
        <v>339.51976602440016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20.333333333333332</v>
      </c>
      <c r="N48" s="14">
        <f>IF('Données projet'!$A$36&gt;35,N47+M48-V47,IF(A48&lt;'Données projet'!$A$36,$K$205^A48,IF(A48='Données projet'!$A$36,'Données projet'!$B$36,N47+M48-V47)))</f>
        <v>329.99999999999977</v>
      </c>
      <c r="O48" s="14">
        <f>N48*VLOOKUP('Données projet'!$B$9,Paramètres!$A$1:$I$89,3,0)*VLOOKUP('Données projet'!$B$9,Paramètres!$A$1:$I$89,5,0)</f>
        <v>154.43999999999988</v>
      </c>
      <c r="P48" s="14">
        <f t="shared" si="33"/>
        <v>39.585872170955454</v>
      </c>
      <c r="Q48" s="22">
        <f t="shared" si="53"/>
        <v>337.92839403108047</v>
      </c>
      <c r="R48" s="62">
        <f t="shared" si="0"/>
        <v>631.26172736441379</v>
      </c>
      <c r="S48" s="62">
        <f ca="1">AVERAGE(OFFSET($R$3,0,0,'Données projet'!$E$9+1,1))-AVERAGE(OFFSET($H$3,0,0,'Données projet'!$E$9+1,1))</f>
        <v>273.21086764807194</v>
      </c>
      <c r="T48" s="62">
        <f t="shared" si="34"/>
        <v>259.3474218586631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120</v>
      </c>
      <c r="AG48" s="13">
        <f>VLOOKUP(A48,'Données projet'!$A$61:$I$81,9,0)</f>
        <v>4.8</v>
      </c>
      <c r="AH48" s="13">
        <f t="array" ref="AH48">INDEX(AG:AG,MIN(IF(ISNUMBER(AG48:AG244),ROW(AG48:AG244),"")))</f>
        <v>4.8</v>
      </c>
      <c r="AI48" s="14">
        <f>IF('Données projet'!$A$62&gt;35,AI47+AH48-AQ47,IF(A48&lt;'Données projet'!$A$62,$AF$205^A48,IF(A48='Données projet'!$A$62,'Données projet'!$B$62,AI47+AH48-AQ47)))</f>
        <v>119.99999999999994</v>
      </c>
      <c r="AJ48" s="14">
        <f>AI48*VLOOKUP('Données projet'!$B$10,Paramètres!$A$1:$I$89,3,0)*VLOOKUP('Données projet'!$B$10,Paramètres!$A$1:$I$89,5,0)</f>
        <v>104.83199999999997</v>
      </c>
      <c r="AK48" s="14">
        <f t="shared" si="35"/>
        <v>28.109974371137692</v>
      </c>
      <c r="AL48" s="22">
        <f t="shared" si="4"/>
        <v>231.54060536306474</v>
      </c>
      <c r="AM48" s="62">
        <f t="shared" si="5"/>
        <v>524.873938696398</v>
      </c>
      <c r="AN48" s="62">
        <f ca="1">AVERAGE(OFFSET($AM$3,0,0,'Données projet'!$E$10+1,1))-AVERAGE(OFFSET($H$3,0,0,'Données projet'!$E$10+1,1))</f>
        <v>121.79484266530449</v>
      </c>
      <c r="AO48" s="62">
        <f t="shared" si="36"/>
        <v>129.14577359424788</v>
      </c>
      <c r="AP48" s="16">
        <f>IF(ISNA(VLOOKUP(A48,'Données projet'!$A$61:$I$81,3,0)),0,VLOOKUP(A48,'Données projet'!$A$61:$I$81,3,0))</f>
        <v>6</v>
      </c>
      <c r="AQ48" s="16">
        <f>IF(ISNA(VLOOKUP(A48,'Données projet'!$A$61:$I$81,4,0)),0,VLOOKUP(A48,'Données projet'!$A$61:$I$81,4,0))</f>
        <v>14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1.8836155923099531</v>
      </c>
      <c r="AW48" s="23">
        <f>EXP(-LN(2)/2)*AW47+(1-EXP(-LN(2)/2))/(LN(2)/2)*AQ48*AT48*VLOOKUP('Données projet'!$B$10,Paramètres!$A$1:$I$89,3,0)*0.475*44/12</f>
        <v>1.9767382609739939E-2</v>
      </c>
      <c r="AX48" s="23">
        <f t="shared" si="6"/>
        <v>1.9033829749196931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107</v>
      </c>
      <c r="BB48" s="13">
        <f>VLOOKUP(A48,'Données projet'!$A$87:$I$107,9,0)</f>
        <v>5.6</v>
      </c>
      <c r="BC48" s="13">
        <f t="array" ref="BC48">INDEX(BB:BB,MIN(IF(ISNUMBER(BB48:BB244),ROW(BB48:BB244),"")))</f>
        <v>5.6</v>
      </c>
      <c r="BD48" s="13">
        <f>IF('Données projet'!$A$88&gt;35,BD47+BC48-BL47,IF(A48&lt;'Données projet'!$A$88,$BA$205^A48,IF(A48='Données projet'!$A$88,'Données projet'!$B$88,BD47+BC48-BL47)))</f>
        <v>106.99999999999999</v>
      </c>
      <c r="BE48" s="14">
        <f>BD48*VLOOKUP('Données projet'!$B$11,Paramètres!$A$1:$I$89,3,0)*VLOOKUP('Données projet'!$B$11,Paramètres!$A$1:$I$89,5,0)</f>
        <v>108.498</v>
      </c>
      <c r="BF48" s="14">
        <f t="shared" si="37"/>
        <v>28.976818989145283</v>
      </c>
      <c r="BG48" s="22">
        <f t="shared" si="7"/>
        <v>239.43530973942802</v>
      </c>
      <c r="BH48" s="62">
        <f t="shared" si="8"/>
        <v>532.76864307276128</v>
      </c>
      <c r="BI48" s="62">
        <f ca="1">AVERAGE(OFFSET($BH$3,0,0,'Données projet'!$E$11+1,1))-AVERAGE(OFFSET($H$3,0,0,'Données projet'!$E$11+1,1))</f>
        <v>201.65575435598231</v>
      </c>
      <c r="BJ48" s="62">
        <f t="shared" si="38"/>
        <v>103.75701796419935</v>
      </c>
      <c r="BK48" s="16">
        <f>IF(ISNA(VLOOKUP(A48,'Données projet'!$A$87:$I$107,3,0)),0,VLOOKUP(A48,'Données projet'!$A$87:$I$107,3,0))</f>
        <v>5</v>
      </c>
      <c r="BL48" s="16">
        <f>IF(ISNA(VLOOKUP(A48,'Données projet'!$A$87:$I$107,4,0)),0,VLOOKUP(A48,'Données projet'!$A$87:$I$107,4,0))</f>
        <v>14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14.1</v>
      </c>
      <c r="BY48" s="13">
        <f>IF('Données projet'!$A$114&gt;35,BY47+BX48-CG47,IF(A48&lt;'Données projet'!$A$114,$BV$205^A48,IF(A48='Données projet'!$A$114,'Données projet'!$B$114,BY47+BX48-CG47)))</f>
        <v>244.5</v>
      </c>
      <c r="BZ48" s="14">
        <f>BY48*VLOOKUP('Données projet'!$B$12,Paramètres!$A$1:$I$89,3,0)*VLOOKUP('Données projet'!$B$12,Paramètres!$A$1:$I$89,5,0)</f>
        <v>146.21100000000001</v>
      </c>
      <c r="CA48" s="14">
        <f t="shared" si="39"/>
        <v>37.71624383608448</v>
      </c>
      <c r="CB48" s="22">
        <f t="shared" si="10"/>
        <v>320.33994968118049</v>
      </c>
      <c r="CC48" s="62">
        <f t="shared" si="11"/>
        <v>613.6732830145138</v>
      </c>
      <c r="CD48" s="62">
        <f ca="1">AVERAGE(OFFSET($CC$3,0,0,'Données projet'!$E$12+1,1))-AVERAGE(OFFSET($H$3,0,0,'Données projet'!$E$12+1,1))</f>
        <v>222.32495275055498</v>
      </c>
      <c r="CE48" s="62">
        <f t="shared" si="40"/>
        <v>156.39259018918381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0.60993569008785176</v>
      </c>
      <c r="CM48" s="23">
        <f>EXP(-LN(2)/2)*CM47+(1-EXP(-LN(2)/2))/(LN(2)/2)*CG48*CJ48*VLOOKUP('Données projet'!$B$12,Paramètres!$A$1:$I$89,3,0)*0.475*44/12</f>
        <v>5.8735775487907343E-2</v>
      </c>
      <c r="CN48" s="24">
        <f t="shared" si="12"/>
        <v>0.66867146557575907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37.315199999999983</v>
      </c>
      <c r="D49" s="12">
        <f t="shared" si="32"/>
        <v>11.284188555681862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375.15317481578967</v>
      </c>
      <c r="H49" s="70">
        <f t="shared" si="1"/>
        <v>341.31060173447923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20.333333333333332</v>
      </c>
      <c r="N49" s="14">
        <f>IF('Données projet'!$A$36&gt;35,N48+M49-V48,IF(A49&lt;'Données projet'!$A$36,$K$205^A49,IF(A49='Données projet'!$A$36,'Données projet'!$B$36,N48+M49-V48)))</f>
        <v>350.33333333333309</v>
      </c>
      <c r="O49" s="14">
        <f>N49*VLOOKUP('Données projet'!$B$9,Paramètres!$A$1:$I$89,3,0)*VLOOKUP('Données projet'!$B$9,Paramètres!$A$1:$I$89,5,0)</f>
        <v>163.95599999999988</v>
      </c>
      <c r="P49" s="14">
        <f t="shared" si="33"/>
        <v>41.733529914742526</v>
      </c>
      <c r="Q49" s="22">
        <f t="shared" si="53"/>
        <v>358.24259793484299</v>
      </c>
      <c r="R49" s="62">
        <f t="shared" si="0"/>
        <v>651.5759312681763</v>
      </c>
      <c r="S49" s="62">
        <f ca="1">AVERAGE(OFFSET($R$3,0,0,'Données projet'!$E$9+1,1))-AVERAGE(OFFSET($H$3,0,0,'Données projet'!$E$9+1,1))</f>
        <v>273.21086764807194</v>
      </c>
      <c r="T49" s="62">
        <f t="shared" si="34"/>
        <v>259.3474218586631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4.2</v>
      </c>
      <c r="AI49" s="14">
        <f>IF('Données projet'!$A$62&gt;35,AI48+AH49-AQ48,IF(A49&lt;'Données projet'!$A$62,$AF$205^A49,IF(A49='Données projet'!$A$62,'Données projet'!$B$62,AI48+AH49-AQ48)))</f>
        <v>110.19999999999995</v>
      </c>
      <c r="AJ49" s="14">
        <f>AI49*VLOOKUP('Données projet'!$B$10,Paramètres!$A$1:$I$89,3,0)*VLOOKUP('Données projet'!$B$10,Paramètres!$A$1:$I$89,5,0)</f>
        <v>96.270719999999969</v>
      </c>
      <c r="AK49" s="14">
        <f t="shared" si="35"/>
        <v>26.071592384845928</v>
      </c>
      <c r="AL49" s="22">
        <f t="shared" si="4"/>
        <v>213.07952740360659</v>
      </c>
      <c r="AM49" s="62">
        <f t="shared" si="5"/>
        <v>506.41286073693993</v>
      </c>
      <c r="AN49" s="62">
        <f ca="1">AVERAGE(OFFSET($AM$3,0,0,'Données projet'!$E$10+1,1))-AVERAGE(OFFSET($H$3,0,0,'Données projet'!$E$10+1,1))</f>
        <v>121.79484266530449</v>
      </c>
      <c r="AO49" s="62">
        <f t="shared" si="36"/>
        <v>129.14577359424788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1.8321080248831985</v>
      </c>
      <c r="AW49" s="23">
        <f>EXP(-LN(2)/2)*AW48+(1-EXP(-LN(2)/2))/(LN(2)/2)*AQ49*AT49*VLOOKUP('Données projet'!$B$10,Paramètres!$A$1:$I$89,3,0)*0.475*44/12</f>
        <v>1.3977650289656144E-2</v>
      </c>
      <c r="AX49" s="23">
        <f t="shared" si="6"/>
        <v>1.8460856751728547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5.6</v>
      </c>
      <c r="BD49" s="13">
        <f>IF('Données projet'!$A$88&gt;35,BD48+BC49-BL48,IF(A49&lt;'Données projet'!$A$88,$BA$205^A49,IF(A49='Données projet'!$A$88,'Données projet'!$B$88,BD48+BC49-BL48)))</f>
        <v>98.59999999999998</v>
      </c>
      <c r="BE49" s="14">
        <f>BD49*VLOOKUP('Données projet'!$B$11,Paramètres!$A$1:$I$89,3,0)*VLOOKUP('Données projet'!$B$11,Paramètres!$A$1:$I$89,5,0)</f>
        <v>99.980399999999989</v>
      </c>
      <c r="BF49" s="14">
        <f t="shared" si="37"/>
        <v>26.957328065359373</v>
      </c>
      <c r="BG49" s="22">
        <f t="shared" si="7"/>
        <v>221.08320971383421</v>
      </c>
      <c r="BH49" s="62">
        <f t="shared" si="8"/>
        <v>514.41654304716758</v>
      </c>
      <c r="BI49" s="62">
        <f ca="1">AVERAGE(OFFSET($BH$3,0,0,'Données projet'!$E$11+1,1))-AVERAGE(OFFSET($H$3,0,0,'Données projet'!$E$11+1,1))</f>
        <v>201.65575435598231</v>
      </c>
      <c r="BJ49" s="62">
        <f t="shared" si="38"/>
        <v>103.75701796419935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14.1</v>
      </c>
      <c r="BY49" s="13">
        <f>IF('Données projet'!$A$114&gt;35,BY48+BX49-CG48,IF(A49&lt;'Données projet'!$A$114,$BV$205^A49,IF(A49='Données projet'!$A$114,'Données projet'!$B$114,BY48+BX49-CG48)))</f>
        <v>258.60000000000002</v>
      </c>
      <c r="BZ49" s="14">
        <f>BY49*VLOOKUP('Données projet'!$B$12,Paramètres!$A$1:$I$89,3,0)*VLOOKUP('Données projet'!$B$12,Paramètres!$A$1:$I$89,5,0)</f>
        <v>154.64280000000002</v>
      </c>
      <c r="CA49" s="14">
        <f t="shared" si="39"/>
        <v>39.631799470164985</v>
      </c>
      <c r="CB49" s="22">
        <f t="shared" si="10"/>
        <v>338.36159407720407</v>
      </c>
      <c r="CC49" s="62">
        <f t="shared" si="11"/>
        <v>631.69492741053739</v>
      </c>
      <c r="CD49" s="62">
        <f ca="1">AVERAGE(OFFSET($CC$3,0,0,'Données projet'!$E$12+1,1))-AVERAGE(OFFSET($H$3,0,0,'Données projet'!$E$12+1,1))</f>
        <v>222.32495275055498</v>
      </c>
      <c r="CE49" s="62">
        <f t="shared" si="40"/>
        <v>156.39259018918381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0.59325696656727556</v>
      </c>
      <c r="CM49" s="23">
        <f>EXP(-LN(2)/2)*CM48+(1-EXP(-LN(2)/2))/(LN(2)/2)*CG49*CJ49*VLOOKUP('Données projet'!$B$12,Paramètres!$A$1:$I$89,3,0)*0.475*44/12</f>
        <v>4.1532465145749882E-2</v>
      </c>
      <c r="CN49" s="24">
        <f t="shared" si="12"/>
        <v>0.63478943171302549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38.126399999999983</v>
      </c>
      <c r="D50" s="12">
        <f t="shared" si="32"/>
        <v>11.500671051108629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383.08616249978581</v>
      </c>
      <c r="H50" s="70">
        <f t="shared" si="1"/>
        <v>343.10048208068088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20.333333333333332</v>
      </c>
      <c r="N50" s="14">
        <f>IF('Données projet'!$A$36&gt;35,N49+M50-V49,IF(A50&lt;'Données projet'!$A$36,$K$205^A50,IF(A50='Données projet'!$A$36,'Données projet'!$B$36,N49+M50-V49)))</f>
        <v>370.6666666666664</v>
      </c>
      <c r="O50" s="14">
        <f>N50*VLOOKUP('Données projet'!$B$9,Paramètres!$A$1:$I$89,3,0)*VLOOKUP('Données projet'!$B$9,Paramètres!$A$1:$I$89,5,0)</f>
        <v>173.47199999999989</v>
      </c>
      <c r="P50" s="14">
        <f t="shared" si="33"/>
        <v>43.866718728383532</v>
      </c>
      <c r="Q50" s="22">
        <f t="shared" si="53"/>
        <v>378.53160178526781</v>
      </c>
      <c r="R50" s="62">
        <f t="shared" si="0"/>
        <v>671.86493511860112</v>
      </c>
      <c r="S50" s="62">
        <f ca="1">AVERAGE(OFFSET($R$3,0,0,'Données projet'!$E$9+1,1))-AVERAGE(OFFSET($H$3,0,0,'Données projet'!$E$9+1,1))</f>
        <v>273.21086764807194</v>
      </c>
      <c r="T50" s="62">
        <f t="shared" si="34"/>
        <v>259.3474218586631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4.2</v>
      </c>
      <c r="AI50" s="14">
        <f>IF('Données projet'!$A$62&gt;35,AI49+AH50-AQ49,IF(A50&lt;'Données projet'!$A$62,$AF$205^A50,IF(A50='Données projet'!$A$62,'Données projet'!$B$62,AI49+AH50-AQ49)))</f>
        <v>114.39999999999995</v>
      </c>
      <c r="AJ50" s="14">
        <f>AI50*VLOOKUP('Données projet'!$B$10,Paramètres!$A$1:$I$89,3,0)*VLOOKUP('Données projet'!$B$10,Paramètres!$A$1:$I$89,5,0)</f>
        <v>99.939839999999975</v>
      </c>
      <c r="AK50" s="14">
        <f t="shared" si="35"/>
        <v>26.947664756006503</v>
      </c>
      <c r="AL50" s="22">
        <f t="shared" si="4"/>
        <v>220.99573745004457</v>
      </c>
      <c r="AM50" s="62">
        <f t="shared" si="5"/>
        <v>514.32907078337792</v>
      </c>
      <c r="AN50" s="62">
        <f ca="1">AVERAGE(OFFSET($AM$3,0,0,'Données projet'!$E$10+1,1))-AVERAGE(OFFSET($H$3,0,0,'Données projet'!$E$10+1,1))</f>
        <v>121.79484266530449</v>
      </c>
      <c r="AO50" s="62">
        <f t="shared" si="36"/>
        <v>129.14577359424788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1.7820089345963936</v>
      </c>
      <c r="AW50" s="23">
        <f>EXP(-LN(2)/2)*AW49+(1-EXP(-LN(2)/2))/(LN(2)/2)*AQ50*AT50*VLOOKUP('Données projet'!$B$10,Paramètres!$A$1:$I$89,3,0)*0.475*44/12</f>
        <v>9.8836913048699696E-3</v>
      </c>
      <c r="AX50" s="23">
        <f t="shared" si="6"/>
        <v>1.7918926259012635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5.6</v>
      </c>
      <c r="BD50" s="13">
        <f>IF('Données projet'!$A$88&gt;35,BD49+BC50-BL49,IF(A50&lt;'Données projet'!$A$88,$BA$205^A50,IF(A50='Données projet'!$A$88,'Données projet'!$B$88,BD49+BC50-BL49)))</f>
        <v>104.19999999999997</v>
      </c>
      <c r="BE50" s="14">
        <f>BD50*VLOOKUP('Données projet'!$B$11,Paramètres!$A$1:$I$89,3,0)*VLOOKUP('Données projet'!$B$11,Paramètres!$A$1:$I$89,5,0)</f>
        <v>105.65879999999999</v>
      </c>
      <c r="BF50" s="14">
        <f t="shared" si="37"/>
        <v>28.305779445097851</v>
      </c>
      <c r="BG50" s="22">
        <f t="shared" si="7"/>
        <v>233.32164253354537</v>
      </c>
      <c r="BH50" s="62">
        <f t="shared" si="8"/>
        <v>526.65497586687866</v>
      </c>
      <c r="BI50" s="62">
        <f ca="1">AVERAGE(OFFSET($BH$3,0,0,'Données projet'!$E$11+1,1))-AVERAGE(OFFSET($H$3,0,0,'Données projet'!$E$11+1,1))</f>
        <v>201.65575435598231</v>
      </c>
      <c r="BJ50" s="62">
        <f t="shared" si="38"/>
        <v>103.75701796419935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14.1</v>
      </c>
      <c r="BY50" s="13">
        <f>IF('Données projet'!$A$114&gt;35,BY49+BX50-CG49,IF(A50&lt;'Données projet'!$A$114,$BV$205^A50,IF(A50='Données projet'!$A$114,'Données projet'!$B$114,BY49+BX50-CG49)))</f>
        <v>272.70000000000005</v>
      </c>
      <c r="BZ50" s="14">
        <f>BY50*VLOOKUP('Données projet'!$B$12,Paramètres!$A$1:$I$89,3,0)*VLOOKUP('Données projet'!$B$12,Paramètres!$A$1:$I$89,5,0)</f>
        <v>163.07460000000003</v>
      </c>
      <c r="CA50" s="14">
        <f t="shared" si="39"/>
        <v>41.535229926099966</v>
      </c>
      <c r="CB50" s="22">
        <f t="shared" si="10"/>
        <v>356.36212045462412</v>
      </c>
      <c r="CC50" s="62">
        <f t="shared" si="11"/>
        <v>649.69545378795738</v>
      </c>
      <c r="CD50" s="62">
        <f ca="1">AVERAGE(OFFSET($CC$3,0,0,'Données projet'!$E$12+1,1))-AVERAGE(OFFSET($H$3,0,0,'Données projet'!$E$12+1,1))</f>
        <v>222.32495275055498</v>
      </c>
      <c r="CE50" s="62">
        <f t="shared" si="40"/>
        <v>156.39259018918381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0.57703432361846541</v>
      </c>
      <c r="CM50" s="23">
        <f>EXP(-LN(2)/2)*CM49+(1-EXP(-LN(2)/2))/(LN(2)/2)*CG50*CJ50*VLOOKUP('Données projet'!$B$12,Paramètres!$A$1:$I$89,3,0)*0.475*44/12</f>
        <v>2.9367887743953675E-2</v>
      </c>
      <c r="CN50" s="24">
        <f t="shared" si="12"/>
        <v>0.60640221136241912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38.937599999999982</v>
      </c>
      <c r="D51" s="12">
        <f t="shared" si="32"/>
        <v>11.716618027553629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391.01501635304544</v>
      </c>
      <c r="H51" s="70">
        <f t="shared" si="1"/>
        <v>344.88942973132254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>
        <f>VLOOKUP(A51,'Données projet'!$A$35:$I$55,2,0)</f>
        <v>391</v>
      </c>
      <c r="L51" s="13">
        <f>VLOOKUP(A51,'Données projet'!$A$35:$I$55,9,0)</f>
        <v>20.333333333333332</v>
      </c>
      <c r="M51" s="13">
        <f t="array" ref="M51">INDEX(L:L,MIN(IF(ISNUMBER(L51:L247),ROW(L51:L247),"")))</f>
        <v>20.333333333333332</v>
      </c>
      <c r="N51" s="14">
        <f>IF('Données projet'!$A$36&gt;35,N50+M51-V50,IF(A51&lt;'Données projet'!$A$36,$K$205^A51,IF(A51='Données projet'!$A$36,'Données projet'!$B$36,N50+M51-V50)))</f>
        <v>390.99999999999972</v>
      </c>
      <c r="O51" s="14">
        <f>N51*VLOOKUP('Données projet'!$B$9,Paramètres!$A$1:$I$89,3,0)*VLOOKUP('Données projet'!$B$9,Paramètres!$A$1:$I$89,5,0)</f>
        <v>182.98799999999989</v>
      </c>
      <c r="P51" s="14">
        <f t="shared" si="33"/>
        <v>45.986322796524831</v>
      </c>
      <c r="Q51" s="22">
        <f t="shared" si="53"/>
        <v>398.79694553728058</v>
      </c>
      <c r="R51" s="62">
        <f t="shared" si="0"/>
        <v>692.13027887061389</v>
      </c>
      <c r="S51" s="62">
        <f ca="1">AVERAGE(OFFSET($R$3,0,0,'Données projet'!$E$9+1,1))-AVERAGE(OFFSET($H$3,0,0,'Données projet'!$E$9+1,1))</f>
        <v>273.21086764807194</v>
      </c>
      <c r="T51" s="62">
        <f t="shared" si="34"/>
        <v>259.3474218586631</v>
      </c>
      <c r="U51" s="16">
        <f>IF(ISNA(VLOOKUP(A51,'Données projet'!$A$35:$I$55,3,0)),0,VLOOKUP(A51,'Données projet'!$A$35:$I$55,3,0))</f>
        <v>2</v>
      </c>
      <c r="V51" s="16">
        <f>IF(ISNA(VLOOKUP(A51,'Données projet'!$A$35:$I$55,4,0)),0,VLOOKUP(A51,'Données projet'!$A$35:$I$55,4,0))</f>
        <v>78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4.2</v>
      </c>
      <c r="AI51" s="14">
        <f>IF('Données projet'!$A$62&gt;35,AI50+AH51-AQ50,IF(A51&lt;'Données projet'!$A$62,$AF$205^A51,IF(A51='Données projet'!$A$62,'Données projet'!$B$62,AI50+AH51-AQ50)))</f>
        <v>118.59999999999995</v>
      </c>
      <c r="AJ51" s="14">
        <f>AI51*VLOOKUP('Données projet'!$B$10,Paramètres!$A$1:$I$89,3,0)*VLOOKUP('Données projet'!$B$10,Paramètres!$A$1:$I$89,5,0)</f>
        <v>103.60895999999998</v>
      </c>
      <c r="AK51" s="14">
        <f t="shared" si="35"/>
        <v>27.820000397643376</v>
      </c>
      <c r="AL51" s="22">
        <f t="shared" si="4"/>
        <v>228.90543935922884</v>
      </c>
      <c r="AM51" s="62">
        <f t="shared" si="5"/>
        <v>522.23877269256218</v>
      </c>
      <c r="AN51" s="62">
        <f ca="1">AVERAGE(OFFSET($AM$3,0,0,'Données projet'!$E$10+1,1))-AVERAGE(OFFSET($H$3,0,0,'Données projet'!$E$10+1,1))</f>
        <v>121.79484266530449</v>
      </c>
      <c r="AO51" s="62">
        <f t="shared" si="36"/>
        <v>129.14577359424788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1.7332798065680781</v>
      </c>
      <c r="AW51" s="23">
        <f>EXP(-LN(2)/2)*AW50+(1-EXP(-LN(2)/2))/(LN(2)/2)*AQ51*AT51*VLOOKUP('Données projet'!$B$10,Paramètres!$A$1:$I$89,3,0)*0.475*44/12</f>
        <v>6.988825144828072E-3</v>
      </c>
      <c r="AX51" s="23">
        <f t="shared" si="6"/>
        <v>1.7402686317129061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5.6</v>
      </c>
      <c r="BD51" s="13">
        <f>IF('Données projet'!$A$88&gt;35,BD50+BC51-BL50,IF(A51&lt;'Données projet'!$A$88,$BA$205^A51,IF(A51='Données projet'!$A$88,'Données projet'!$B$88,BD50+BC51-BL50)))</f>
        <v>109.79999999999997</v>
      </c>
      <c r="BE51" s="14">
        <f>BD51*VLOOKUP('Données projet'!$B$11,Paramètres!$A$1:$I$89,3,0)*VLOOKUP('Données projet'!$B$11,Paramètres!$A$1:$I$89,5,0)</f>
        <v>111.33719999999997</v>
      </c>
      <c r="BF51" s="14">
        <f t="shared" si="37"/>
        <v>29.645817422905317</v>
      </c>
      <c r="BG51" s="22">
        <f t="shared" si="7"/>
        <v>245.54542201156005</v>
      </c>
      <c r="BH51" s="62">
        <f t="shared" si="8"/>
        <v>538.87875534489331</v>
      </c>
      <c r="BI51" s="62">
        <f ca="1">AVERAGE(OFFSET($BH$3,0,0,'Données projet'!$E$11+1,1))-AVERAGE(OFFSET($H$3,0,0,'Données projet'!$E$11+1,1))</f>
        <v>201.65575435598231</v>
      </c>
      <c r="BJ51" s="62">
        <f t="shared" si="38"/>
        <v>103.75701796419935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14.1</v>
      </c>
      <c r="BY51" s="13">
        <f>IF('Données projet'!$A$114&gt;35,BY50+BX51-CG50,IF(A51&lt;'Données projet'!$A$114,$BV$205^A51,IF(A51='Données projet'!$A$114,'Données projet'!$B$114,BY50+BX51-CG50)))</f>
        <v>286.80000000000007</v>
      </c>
      <c r="BZ51" s="14">
        <f>BY51*VLOOKUP('Données projet'!$B$12,Paramètres!$A$1:$I$89,3,0)*VLOOKUP('Données projet'!$B$12,Paramètres!$A$1:$I$89,5,0)</f>
        <v>171.50640000000004</v>
      </c>
      <c r="CA51" s="14">
        <f t="shared" si="39"/>
        <v>43.427233649451665</v>
      </c>
      <c r="CB51" s="22">
        <f t="shared" si="10"/>
        <v>374.34274527279507</v>
      </c>
      <c r="CC51" s="62">
        <f t="shared" si="11"/>
        <v>667.67607860612839</v>
      </c>
      <c r="CD51" s="62">
        <f ca="1">AVERAGE(OFFSET($CC$3,0,0,'Données projet'!$E$12+1,1))-AVERAGE(OFFSET($H$3,0,0,'Données projet'!$E$12+1,1))</f>
        <v>222.32495275055498</v>
      </c>
      <c r="CE51" s="62">
        <f t="shared" si="40"/>
        <v>156.39259018918381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0.56125528969420224</v>
      </c>
      <c r="CM51" s="23">
        <f>EXP(-LN(2)/2)*CM50+(1-EXP(-LN(2)/2))/(LN(2)/2)*CG51*CJ51*VLOOKUP('Données projet'!$B$12,Paramètres!$A$1:$I$89,3,0)*0.475*44/12</f>
        <v>2.0766232572874944E-2</v>
      </c>
      <c r="CN51" s="24">
        <f t="shared" si="12"/>
        <v>0.58202152226707715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39.748799999999981</v>
      </c>
      <c r="D52" s="12">
        <f t="shared" si="32"/>
        <v>11.93204192702321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398.93983241912639</v>
      </c>
      <c r="H52" s="70">
        <f t="shared" si="1"/>
        <v>346.67746635623206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20.5</v>
      </c>
      <c r="N52" s="14">
        <f>IF('Données projet'!$A$36&gt;35,N51+M52-V51,IF(A52&lt;'Données projet'!$A$36,$K$205^A52,IF(A52='Données projet'!$A$36,'Données projet'!$B$36,N51+M52-V51)))</f>
        <v>333.49999999999972</v>
      </c>
      <c r="O52" s="14">
        <f>N52*VLOOKUP('Données projet'!$B$9,Paramètres!$A$1:$I$89,3,0)*VLOOKUP('Données projet'!$B$9,Paramètres!$A$1:$I$89,5,0)</f>
        <v>156.07799999999986</v>
      </c>
      <c r="P52" s="14">
        <f t="shared" si="33"/>
        <v>39.956623674978431</v>
      </c>
      <c r="Q52" s="22">
        <f t="shared" si="53"/>
        <v>341.42696956725382</v>
      </c>
      <c r="R52" s="62">
        <f t="shared" si="0"/>
        <v>634.76030290058713</v>
      </c>
      <c r="S52" s="62">
        <f ca="1">AVERAGE(OFFSET($R$3,0,0,'Données projet'!$E$9+1,1))-AVERAGE(OFFSET($H$3,0,0,'Données projet'!$E$9+1,1))</f>
        <v>273.21086764807194</v>
      </c>
      <c r="T52" s="62">
        <f t="shared" si="34"/>
        <v>259.3474218586631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4.2</v>
      </c>
      <c r="AI52" s="14">
        <f>IF('Données projet'!$A$62&gt;35,AI51+AH52-AQ51,IF(A52&lt;'Données projet'!$A$62,$AF$205^A52,IF(A52='Données projet'!$A$62,'Données projet'!$B$62,AI51+AH52-AQ51)))</f>
        <v>122.79999999999995</v>
      </c>
      <c r="AJ52" s="14">
        <f>AI52*VLOOKUP('Données projet'!$B$10,Paramètres!$A$1:$I$89,3,0)*VLOOKUP('Données projet'!$B$10,Paramètres!$A$1:$I$89,5,0)</f>
        <v>107.27807999999999</v>
      </c>
      <c r="AK52" s="14">
        <f t="shared" si="35"/>
        <v>28.688746800886673</v>
      </c>
      <c r="AL52" s="22">
        <f t="shared" si="4"/>
        <v>236.80889001154424</v>
      </c>
      <c r="AM52" s="62">
        <f t="shared" si="5"/>
        <v>530.14222334487749</v>
      </c>
      <c r="AN52" s="62">
        <f ca="1">AVERAGE(OFFSET($AM$3,0,0,'Données projet'!$E$10+1,1))-AVERAGE(OFFSET($H$3,0,0,'Données projet'!$E$10+1,1))</f>
        <v>121.79484266530449</v>
      </c>
      <c r="AO52" s="62">
        <f t="shared" si="36"/>
        <v>129.14577359424788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1.6858831791082505</v>
      </c>
      <c r="AW52" s="23">
        <f>EXP(-LN(2)/2)*AW51+(1-EXP(-LN(2)/2))/(LN(2)/2)*AQ52*AT52*VLOOKUP('Données projet'!$B$10,Paramètres!$A$1:$I$89,3,0)*0.475*44/12</f>
        <v>4.9418456524349848E-3</v>
      </c>
      <c r="AX52" s="23">
        <f t="shared" si="6"/>
        <v>1.6908250247606855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5.6</v>
      </c>
      <c r="BD52" s="13">
        <f>IF('Données projet'!$A$88&gt;35,BD51+BC52-BL51,IF(A52&lt;'Données projet'!$A$88,$BA$205^A52,IF(A52='Données projet'!$A$88,'Données projet'!$B$88,BD51+BC52-BL51)))</f>
        <v>115.39999999999996</v>
      </c>
      <c r="BE52" s="14">
        <f>BD52*VLOOKUP('Données projet'!$B$11,Paramètres!$A$1:$I$89,3,0)*VLOOKUP('Données projet'!$B$11,Paramètres!$A$1:$I$89,5,0)</f>
        <v>117.01559999999996</v>
      </c>
      <c r="BF52" s="14">
        <f t="shared" si="37"/>
        <v>30.977920050269788</v>
      </c>
      <c r="BG52" s="22">
        <f t="shared" si="7"/>
        <v>257.7553807542198</v>
      </c>
      <c r="BH52" s="62">
        <f t="shared" si="8"/>
        <v>551.08871408755317</v>
      </c>
      <c r="BI52" s="62">
        <f ca="1">AVERAGE(OFFSET($BH$3,0,0,'Données projet'!$E$11+1,1))-AVERAGE(OFFSET($H$3,0,0,'Données projet'!$E$11+1,1))</f>
        <v>201.65575435598231</v>
      </c>
      <c r="BJ52" s="62">
        <f t="shared" si="38"/>
        <v>103.75701796419935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14.1</v>
      </c>
      <c r="BY52" s="13">
        <f>IF('Données projet'!$A$114&gt;35,BY51+BX52-CG51,IF(A52&lt;'Données projet'!$A$114,$BV$205^A52,IF(A52='Données projet'!$A$114,'Données projet'!$B$114,BY51+BX52-CG51)))</f>
        <v>300.90000000000009</v>
      </c>
      <c r="BZ52" s="14">
        <f>BY52*VLOOKUP('Données projet'!$B$12,Paramètres!$A$1:$I$89,3,0)*VLOOKUP('Données projet'!$B$12,Paramètres!$A$1:$I$89,5,0)</f>
        <v>179.93820000000005</v>
      </c>
      <c r="CA52" s="14">
        <f t="shared" si="39"/>
        <v>45.308436530386629</v>
      </c>
      <c r="CB52" s="22">
        <f t="shared" si="10"/>
        <v>392.30455862375675</v>
      </c>
      <c r="CC52" s="62">
        <f t="shared" si="11"/>
        <v>685.63789195709001</v>
      </c>
      <c r="CD52" s="62">
        <f ca="1">AVERAGE(OFFSET($CC$3,0,0,'Données projet'!$E$12+1,1))-AVERAGE(OFFSET($H$3,0,0,'Données projet'!$E$12+1,1))</f>
        <v>222.32495275055498</v>
      </c>
      <c r="CE52" s="62">
        <f t="shared" si="40"/>
        <v>156.39259018918381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0.54590773428238137</v>
      </c>
      <c r="CM52" s="23">
        <f>EXP(-LN(2)/2)*CM51+(1-EXP(-LN(2)/2))/(LN(2)/2)*CG52*CJ52*VLOOKUP('Données projet'!$B$12,Paramètres!$A$1:$I$89,3,0)*0.475*44/12</f>
        <v>1.4683943871976839E-2</v>
      </c>
      <c r="CN52" s="24">
        <f t="shared" si="12"/>
        <v>0.56059167815435818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40.559999999999981</v>
      </c>
      <c r="D53" s="12">
        <f t="shared" si="32"/>
        <v>12.146954654656575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406.86070259734885</v>
      </c>
      <c r="H53" s="70">
        <f t="shared" si="1"/>
        <v>348.46461269019352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20.5</v>
      </c>
      <c r="N53" s="14">
        <f>IF('Données projet'!$A$36&gt;35,N52+M53-V52,IF(A53&lt;'Données projet'!$A$36,$K$205^A53,IF(A53='Données projet'!$A$36,'Données projet'!$B$36,N52+M53-V52)))</f>
        <v>353.99999999999972</v>
      </c>
      <c r="O53" s="14">
        <f>N53*VLOOKUP('Données projet'!$B$9,Paramètres!$A$1:$I$89,3,0)*VLOOKUP('Données projet'!$B$9,Paramètres!$A$1:$I$89,5,0)</f>
        <v>165.67199999999988</v>
      </c>
      <c r="P53" s="14">
        <f t="shared" si="33"/>
        <v>42.119245508815517</v>
      </c>
      <c r="Q53" s="22">
        <f t="shared" si="53"/>
        <v>361.90308592785345</v>
      </c>
      <c r="R53" s="62">
        <f t="shared" si="0"/>
        <v>655.23641926118671</v>
      </c>
      <c r="S53" s="62">
        <f ca="1">AVERAGE(OFFSET($R$3,0,0,'Données projet'!$E$9+1,1))-AVERAGE(OFFSET($H$3,0,0,'Données projet'!$E$9+1,1))</f>
        <v>273.21086764807194</v>
      </c>
      <c r="T53" s="62">
        <f t="shared" si="34"/>
        <v>259.3474218586631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127</v>
      </c>
      <c r="AG53" s="13">
        <f>VLOOKUP(A53,'Données projet'!$A$61:$I$81,9,0)</f>
        <v>4.2</v>
      </c>
      <c r="AH53" s="13">
        <f t="array" ref="AH53">INDEX(AG:AG,MIN(IF(ISNUMBER(AG53:AG249),ROW(AG53:AG249),"")))</f>
        <v>4.2</v>
      </c>
      <c r="AI53" s="14">
        <f>IF('Données projet'!$A$62&gt;35,AI52+AH53-AQ52,IF(A53&lt;'Données projet'!$A$62,$AF$205^A53,IF(A53='Données projet'!$A$62,'Données projet'!$B$62,AI52+AH53-AQ52)))</f>
        <v>126.99999999999996</v>
      </c>
      <c r="AJ53" s="14">
        <f>AI53*VLOOKUP('Données projet'!$B$10,Paramètres!$A$1:$I$89,3,0)*VLOOKUP('Données projet'!$B$10,Paramètres!$A$1:$I$89,5,0)</f>
        <v>110.94719999999997</v>
      </c>
      <c r="AK53" s="14">
        <f t="shared" si="35"/>
        <v>29.554040795615606</v>
      </c>
      <c r="AL53" s="22">
        <f t="shared" si="4"/>
        <v>244.70632771903044</v>
      </c>
      <c r="AM53" s="62">
        <f t="shared" si="5"/>
        <v>538.03966105236373</v>
      </c>
      <c r="AN53" s="62">
        <f ca="1">AVERAGE(OFFSET($AM$3,0,0,'Données projet'!$E$10+1,1))-AVERAGE(OFFSET($H$3,0,0,'Données projet'!$E$10+1,1))</f>
        <v>121.79484266530449</v>
      </c>
      <c r="AO53" s="62">
        <f t="shared" si="36"/>
        <v>129.14577359424788</v>
      </c>
      <c r="AP53" s="16">
        <f>IF(ISNA(VLOOKUP(A53,'Données projet'!$A$61:$I$81,3,0)),0,VLOOKUP(A53,'Données projet'!$A$61:$I$81,3,0))</f>
        <v>7</v>
      </c>
      <c r="AQ53" s="16">
        <f>IF(ISNA(VLOOKUP(A53,'Données projet'!$A$61:$I$81,4,0)),0,VLOOKUP(A53,'Données projet'!$A$61:$I$81,4,0))</f>
        <v>11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1.6397826149187922</v>
      </c>
      <c r="AW53" s="23">
        <f>EXP(-LN(2)/2)*AW52+(1-EXP(-LN(2)/2))/(LN(2)/2)*AQ53*AT53*VLOOKUP('Données projet'!$B$10,Paramètres!$A$1:$I$89,3,0)*0.475*44/12</f>
        <v>3.494412572414036E-3</v>
      </c>
      <c r="AX53" s="23">
        <f t="shared" si="6"/>
        <v>1.6432770274912063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121</v>
      </c>
      <c r="BB53" s="13">
        <f>VLOOKUP(A53,'Données projet'!$A$87:$I$107,9,0)</f>
        <v>5.6</v>
      </c>
      <c r="BC53" s="13">
        <f t="array" ref="BC53">INDEX(BB:BB,MIN(IF(ISNUMBER(BB53:BB249),ROW(BB53:BB249),"")))</f>
        <v>5.6</v>
      </c>
      <c r="BD53" s="13">
        <f>IF('Données projet'!$A$88&gt;35,BD52+BC53-BL52,IF(A53&lt;'Données projet'!$A$88,$BA$205^A53,IF(A53='Données projet'!$A$88,'Données projet'!$B$88,BD52+BC53-BL52)))</f>
        <v>120.99999999999996</v>
      </c>
      <c r="BE53" s="14">
        <f>BD53*VLOOKUP('Données projet'!$B$11,Paramètres!$A$1:$I$89,3,0)*VLOOKUP('Données projet'!$B$11,Paramètres!$A$1:$I$89,5,0)</f>
        <v>122.69399999999997</v>
      </c>
      <c r="BF53" s="14">
        <f t="shared" si="37"/>
        <v>32.302516360650685</v>
      </c>
      <c r="BG53" s="22">
        <f t="shared" si="7"/>
        <v>269.95226599479992</v>
      </c>
      <c r="BH53" s="62">
        <f t="shared" si="8"/>
        <v>563.28559932813323</v>
      </c>
      <c r="BI53" s="62">
        <f ca="1">AVERAGE(OFFSET($BH$3,0,0,'Données projet'!$E$11+1,1))-AVERAGE(OFFSET($H$3,0,0,'Données projet'!$E$11+1,1))</f>
        <v>201.65575435598231</v>
      </c>
      <c r="BJ53" s="62">
        <f t="shared" si="38"/>
        <v>103.75701796419935</v>
      </c>
      <c r="BK53" s="16">
        <f>IF(ISNA(VLOOKUP(A53,'Données projet'!$A$87:$I$107,3,0)),0,VLOOKUP(A53,'Données projet'!$A$87:$I$107,3,0))</f>
        <v>6</v>
      </c>
      <c r="BL53" s="16">
        <f>IF(ISNA(VLOOKUP(A53,'Données projet'!$A$87:$I$107,4,0)),0,VLOOKUP(A53,'Données projet'!$A$87:$I$107,4,0))</f>
        <v>14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315</v>
      </c>
      <c r="BW53" s="13">
        <f>VLOOKUP(A53,'Données projet'!$A$113:$I$133,9,0)</f>
        <v>14.1</v>
      </c>
      <c r="BX53" s="13">
        <f t="array" ref="BX53">INDEX(BW:BW,MIN(IF(ISNUMBER(BW53:BW249),ROW(BW53:BW249),"")))</f>
        <v>14.1</v>
      </c>
      <c r="BY53" s="13">
        <f>IF('Données projet'!$A$114&gt;35,BY52+BX53-CG52,IF(A53&lt;'Données projet'!$A$114,$BV$205^A53,IF(A53='Données projet'!$A$114,'Données projet'!$B$114,BY52+BX53-CG52)))</f>
        <v>315.00000000000011</v>
      </c>
      <c r="BZ53" s="14">
        <f>BY53*VLOOKUP('Données projet'!$B$12,Paramètres!$A$1:$I$89,3,0)*VLOOKUP('Données projet'!$B$12,Paramètres!$A$1:$I$89,5,0)</f>
        <v>188.37000000000009</v>
      </c>
      <c r="CA53" s="14">
        <f t="shared" si="39"/>
        <v>47.179402486491341</v>
      </c>
      <c r="CB53" s="22">
        <f t="shared" si="10"/>
        <v>410.24854266397256</v>
      </c>
      <c r="CC53" s="62">
        <f t="shared" si="11"/>
        <v>703.58187599730581</v>
      </c>
      <c r="CD53" s="62">
        <f ca="1">AVERAGE(OFFSET($CC$3,0,0,'Données projet'!$E$12+1,1))-AVERAGE(OFFSET($H$3,0,0,'Données projet'!$E$12+1,1))</f>
        <v>222.32495275055498</v>
      </c>
      <c r="CE53" s="62">
        <f t="shared" si="40"/>
        <v>156.39259018918381</v>
      </c>
      <c r="CF53" s="16">
        <f>IF(ISNA(VLOOKUP(A53,'Données projet'!$A$113:$I$133,3,0)),0,VLOOKUP(A53,'Données projet'!$A$113:$I$133,3,0))</f>
        <v>5</v>
      </c>
      <c r="CG53" s="16">
        <f>IF(ISNA(VLOOKUP(A53,'Données projet'!$A$113:$I$133,4,0)),0,VLOOKUP(A53,'Données projet'!$A$113:$I$133,4,0))</f>
        <v>79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0.53097985858038965</v>
      </c>
      <c r="CM53" s="23">
        <f>EXP(-LN(2)/2)*CM52+(1-EXP(-LN(2)/2))/(LN(2)/2)*CG53*CJ53*VLOOKUP('Données projet'!$B$12,Paramètres!$A$1:$I$89,3,0)*0.475*44/12</f>
        <v>1.0383116286437472E-2</v>
      </c>
      <c r="CN53" s="24">
        <f t="shared" si="12"/>
        <v>0.54136297486682716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41.37119999999998</v>
      </c>
      <c r="D54" s="12">
        <f t="shared" si="32"/>
        <v>12.361367612157633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414.77771490086576</v>
      </c>
      <c r="H54" s="70">
        <f t="shared" si="1"/>
        <v>350.25088859117449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20.5</v>
      </c>
      <c r="N54" s="14">
        <f>IF('Données projet'!$A$36&gt;35,N53+M54-V53,IF(A54&lt;'Données projet'!$A$36,$K$205^A54,IF(A54='Données projet'!$A$36,'Données projet'!$B$36,N53+M54-V53)))</f>
        <v>374.49999999999972</v>
      </c>
      <c r="O54" s="14">
        <f>N54*VLOOKUP('Données projet'!$B$9,Paramètres!$A$1:$I$89,3,0)*VLOOKUP('Données projet'!$B$9,Paramètres!$A$1:$I$89,5,0)</f>
        <v>175.26599999999985</v>
      </c>
      <c r="P54" s="14">
        <f t="shared" si="33"/>
        <v>44.267330250356274</v>
      </c>
      <c r="Q54" s="22">
        <f t="shared" si="53"/>
        <v>382.35388351937019</v>
      </c>
      <c r="R54" s="62">
        <f t="shared" si="0"/>
        <v>675.6872168527035</v>
      </c>
      <c r="S54" s="62">
        <f ca="1">AVERAGE(OFFSET($R$3,0,0,'Données projet'!$E$9+1,1))-AVERAGE(OFFSET($H$3,0,0,'Données projet'!$E$9+1,1))</f>
        <v>273.21086764807194</v>
      </c>
      <c r="T54" s="62">
        <f t="shared" si="34"/>
        <v>259.3474218586631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3.6</v>
      </c>
      <c r="AI54" s="14">
        <f>IF('Données projet'!$A$62&gt;35,AI53+AH54-AQ53,IF(A54&lt;'Données projet'!$A$62,$AF$205^A54,IF(A54='Données projet'!$A$62,'Données projet'!$B$62,AI53+AH54-AQ53)))</f>
        <v>119.59999999999997</v>
      </c>
      <c r="AJ54" s="14">
        <f>AI54*VLOOKUP('Données projet'!$B$10,Paramètres!$A$1:$I$89,3,0)*VLOOKUP('Données projet'!$B$10,Paramètres!$A$1:$I$89,5,0)</f>
        <v>104.48255999999998</v>
      </c>
      <c r="AK54" s="14">
        <f t="shared" si="35"/>
        <v>28.02716504477474</v>
      </c>
      <c r="AL54" s="22">
        <f t="shared" si="4"/>
        <v>230.78777111964928</v>
      </c>
      <c r="AM54" s="62">
        <f t="shared" si="5"/>
        <v>524.12110445298254</v>
      </c>
      <c r="AN54" s="62">
        <f ca="1">AVERAGE(OFFSET($AM$3,0,0,'Données projet'!$E$10+1,1))-AVERAGE(OFFSET($H$3,0,0,'Données projet'!$E$10+1,1))</f>
        <v>121.79484266530449</v>
      </c>
      <c r="AO54" s="62">
        <f t="shared" si="36"/>
        <v>129.14577359424788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1.5949426730814178</v>
      </c>
      <c r="AW54" s="23">
        <f>EXP(-LN(2)/2)*AW53+(1-EXP(-LN(2)/2))/(LN(2)/2)*AQ54*AT54*VLOOKUP('Données projet'!$B$10,Paramètres!$A$1:$I$89,3,0)*0.475*44/12</f>
        <v>2.4709228262174924E-3</v>
      </c>
      <c r="AX54" s="23">
        <f t="shared" si="6"/>
        <v>1.5974135959076352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5.6</v>
      </c>
      <c r="BD54" s="13">
        <f>IF('Données projet'!$A$88&gt;35,BD53+BC54-BL53,IF(A54&lt;'Données projet'!$A$88,$BA$205^A54,IF(A54='Données projet'!$A$88,'Données projet'!$B$88,BD53+BC54-BL53)))</f>
        <v>112.59999999999995</v>
      </c>
      <c r="BE54" s="14">
        <f>BD54*VLOOKUP('Données projet'!$B$11,Paramètres!$A$1:$I$89,3,0)*VLOOKUP('Données projet'!$B$11,Paramètres!$A$1:$I$89,5,0)</f>
        <v>114.17639999999996</v>
      </c>
      <c r="BF54" s="14">
        <f t="shared" si="37"/>
        <v>30.312832781759997</v>
      </c>
      <c r="BG54" s="22">
        <f t="shared" si="7"/>
        <v>251.65208042823193</v>
      </c>
      <c r="BH54" s="62">
        <f t="shared" si="8"/>
        <v>544.98541376156527</v>
      </c>
      <c r="BI54" s="62">
        <f ca="1">AVERAGE(OFFSET($BH$3,0,0,'Données projet'!$E$11+1,1))-AVERAGE(OFFSET($H$3,0,0,'Données projet'!$E$11+1,1))</f>
        <v>201.65575435598231</v>
      </c>
      <c r="BJ54" s="62">
        <f t="shared" si="38"/>
        <v>103.75701796419935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15.7</v>
      </c>
      <c r="BY54" s="13">
        <f>IF('Données projet'!$A$114&gt;35,BY53+BX54-CG53,IF(A54&lt;'Données projet'!$A$114,$BV$205^A54,IF(A54='Données projet'!$A$114,'Données projet'!$B$114,BY53+BX54-CG53)))</f>
        <v>251.7000000000001</v>
      </c>
      <c r="BZ54" s="14">
        <f>BY54*VLOOKUP('Données projet'!$B$12,Paramètres!$A$1:$I$89,3,0)*VLOOKUP('Données projet'!$B$12,Paramètres!$A$1:$I$89,5,0)</f>
        <v>150.51660000000007</v>
      </c>
      <c r="CA54" s="14">
        <f t="shared" si="39"/>
        <v>38.695961323116059</v>
      </c>
      <c r="CB54" s="22">
        <f t="shared" si="10"/>
        <v>329.54521097109392</v>
      </c>
      <c r="CC54" s="62">
        <f t="shared" si="11"/>
        <v>622.87854430442724</v>
      </c>
      <c r="CD54" s="62">
        <f ca="1">AVERAGE(OFFSET($CC$3,0,0,'Données projet'!$E$12+1,1))-AVERAGE(OFFSET($H$3,0,0,'Données projet'!$E$12+1,1))</f>
        <v>222.32495275055498</v>
      </c>
      <c r="CE54" s="62">
        <f t="shared" si="40"/>
        <v>156.39259018918381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0.51646018642449165</v>
      </c>
      <c r="CM54" s="23">
        <f>EXP(-LN(2)/2)*CM53+(1-EXP(-LN(2)/2))/(LN(2)/2)*CG54*CJ54*VLOOKUP('Données projet'!$B$12,Paramètres!$A$1:$I$89,3,0)*0.475*44/12</f>
        <v>7.3419719359884197E-3</v>
      </c>
      <c r="CN54" s="24">
        <f t="shared" si="12"/>
        <v>0.52380215836048005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42.18239999999998</v>
      </c>
      <c r="D55" s="12">
        <f t="shared" si="32"/>
        <v>12.575291728530665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422.69095369392079</v>
      </c>
      <c r="H55" s="70">
        <f t="shared" si="1"/>
        <v>352.03631309385759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20.5</v>
      </c>
      <c r="N55" s="14">
        <f>IF('Données projet'!$A$36&gt;35,N54+M55-V54,IF(A55&lt;'Données projet'!$A$36,$K$205^A55,IF(A55='Données projet'!$A$36,'Données projet'!$B$36,N54+M55-V54)))</f>
        <v>394.99999999999972</v>
      </c>
      <c r="O55" s="14">
        <f>N55*VLOOKUP('Données projet'!$B$9,Paramètres!$A$1:$I$89,3,0)*VLOOKUP('Données projet'!$B$9,Paramètres!$A$1:$I$89,5,0)</f>
        <v>184.85999999999987</v>
      </c>
      <c r="P55" s="14">
        <f t="shared" si="33"/>
        <v>46.401764365641043</v>
      </c>
      <c r="Q55" s="22">
        <f t="shared" si="53"/>
        <v>402.78090627015791</v>
      </c>
      <c r="R55" s="62">
        <f t="shared" si="0"/>
        <v>696.11423960349123</v>
      </c>
      <c r="S55" s="62">
        <f ca="1">AVERAGE(OFFSET($R$3,0,0,'Données projet'!$E$9+1,1))-AVERAGE(OFFSET($H$3,0,0,'Données projet'!$E$9+1,1))</f>
        <v>273.21086764807194</v>
      </c>
      <c r="T55" s="62">
        <f t="shared" si="34"/>
        <v>259.3474218586631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3.6</v>
      </c>
      <c r="AI55" s="14">
        <f>IF('Données projet'!$A$62&gt;35,AI54+AH55-AQ54,IF(A55&lt;'Données projet'!$A$62,$AF$205^A55,IF(A55='Données projet'!$A$62,'Données projet'!$B$62,AI54+AH55-AQ54)))</f>
        <v>123.19999999999996</v>
      </c>
      <c r="AJ55" s="14">
        <f>AI55*VLOOKUP('Données projet'!$B$10,Paramètres!$A$1:$I$89,3,0)*VLOOKUP('Données projet'!$B$10,Paramètres!$A$1:$I$89,5,0)</f>
        <v>107.62751999999999</v>
      </c>
      <c r="AK55" s="14">
        <f t="shared" si="35"/>
        <v>28.771302425776422</v>
      </c>
      <c r="AL55" s="22">
        <f t="shared" si="4"/>
        <v>237.56128239156058</v>
      </c>
      <c r="AM55" s="62">
        <f t="shared" si="5"/>
        <v>530.89461572489392</v>
      </c>
      <c r="AN55" s="62">
        <f ca="1">AVERAGE(OFFSET($AM$3,0,0,'Données projet'!$E$10+1,1))-AVERAGE(OFFSET($H$3,0,0,'Données projet'!$E$10+1,1))</f>
        <v>121.79484266530449</v>
      </c>
      <c r="AO55" s="62">
        <f t="shared" si="36"/>
        <v>129.14577359424788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1.5513288818116164</v>
      </c>
      <c r="AW55" s="23">
        <f>EXP(-LN(2)/2)*AW54+(1-EXP(-LN(2)/2))/(LN(2)/2)*AQ55*AT55*VLOOKUP('Données projet'!$B$10,Paramètres!$A$1:$I$89,3,0)*0.475*44/12</f>
        <v>1.747206286207018E-3</v>
      </c>
      <c r="AX55" s="23">
        <f t="shared" si="6"/>
        <v>1.5530760880978234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5.6</v>
      </c>
      <c r="BD55" s="13">
        <f>IF('Données projet'!$A$88&gt;35,BD54+BC55-BL54,IF(A55&lt;'Données projet'!$A$88,$BA$205^A55,IF(A55='Données projet'!$A$88,'Données projet'!$B$88,BD54+BC55-BL54)))</f>
        <v>118.19999999999995</v>
      </c>
      <c r="BE55" s="14">
        <f>BD55*VLOOKUP('Données projet'!$B$11,Paramètres!$A$1:$I$89,3,0)*VLOOKUP('Données projet'!$B$11,Paramètres!$A$1:$I$89,5,0)</f>
        <v>119.85479999999995</v>
      </c>
      <c r="BF55" s="14">
        <f t="shared" si="37"/>
        <v>31.641131392625841</v>
      </c>
      <c r="BG55" s="22">
        <f t="shared" si="7"/>
        <v>263.85541384215657</v>
      </c>
      <c r="BH55" s="62">
        <f t="shared" si="8"/>
        <v>557.18874717548988</v>
      </c>
      <c r="BI55" s="62">
        <f ca="1">AVERAGE(OFFSET($BH$3,0,0,'Données projet'!$E$11+1,1))-AVERAGE(OFFSET($H$3,0,0,'Données projet'!$E$11+1,1))</f>
        <v>201.65575435598231</v>
      </c>
      <c r="BJ55" s="62">
        <f t="shared" si="38"/>
        <v>103.75701796419935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15.7</v>
      </c>
      <c r="BY55" s="13">
        <f>IF('Données projet'!$A$114&gt;35,BY54+BX55-CG54,IF(A55&lt;'Données projet'!$A$114,$BV$205^A55,IF(A55='Données projet'!$A$114,'Données projet'!$B$114,BY54+BX55-CG54)))</f>
        <v>267.40000000000009</v>
      </c>
      <c r="BZ55" s="14">
        <f>BY55*VLOOKUP('Données projet'!$B$12,Paramètres!$A$1:$I$89,3,0)*VLOOKUP('Données projet'!$B$12,Paramètres!$A$1:$I$89,5,0)</f>
        <v>159.90520000000006</v>
      </c>
      <c r="CA55" s="14">
        <f t="shared" si="39"/>
        <v>40.821132264574658</v>
      </c>
      <c r="CB55" s="22">
        <f t="shared" si="10"/>
        <v>349.59836202746766</v>
      </c>
      <c r="CC55" s="62">
        <f t="shared" si="11"/>
        <v>642.93169536080097</v>
      </c>
      <c r="CD55" s="62">
        <f ca="1">AVERAGE(OFFSET($CC$3,0,0,'Données projet'!$E$12+1,1))-AVERAGE(OFFSET($H$3,0,0,'Données projet'!$E$12+1,1))</f>
        <v>222.32495275055498</v>
      </c>
      <c r="CE55" s="62">
        <f t="shared" si="40"/>
        <v>156.39259018918381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0.50233755546725312</v>
      </c>
      <c r="CM55" s="23">
        <f>EXP(-LN(2)/2)*CM54+(1-EXP(-LN(2)/2))/(LN(2)/2)*CG55*CJ55*VLOOKUP('Données projet'!$B$12,Paramètres!$A$1:$I$89,3,0)*0.475*44/12</f>
        <v>5.1915581432187361E-3</v>
      </c>
      <c r="CN55" s="24">
        <f t="shared" si="12"/>
        <v>0.50752911361047182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42.993599999999979</v>
      </c>
      <c r="D56" s="12">
        <f t="shared" si="32"/>
        <v>12.788737488384839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430.60049991033901</v>
      </c>
      <c r="H56" s="70">
        <f t="shared" si="1"/>
        <v>353.82090445893692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20.5</v>
      </c>
      <c r="N56" s="14">
        <f>IF('Données projet'!$A$36&gt;35,N55+M56-V55,IF(A56&lt;'Données projet'!$A$36,$K$205^A56,IF(A56='Données projet'!$A$36,'Données projet'!$B$36,N55+M56-V55)))</f>
        <v>415.49999999999972</v>
      </c>
      <c r="O56" s="14">
        <f>N56*VLOOKUP('Données projet'!$B$9,Paramètres!$A$1:$I$89,3,0)*VLOOKUP('Données projet'!$B$9,Paramètres!$A$1:$I$89,5,0)</f>
        <v>194.45399999999987</v>
      </c>
      <c r="P56" s="14">
        <f t="shared" si="33"/>
        <v>48.523337110742148</v>
      </c>
      <c r="Q56" s="22">
        <f t="shared" si="53"/>
        <v>423.18552880120905</v>
      </c>
      <c r="R56" s="62">
        <f t="shared" si="0"/>
        <v>716.51886213454236</v>
      </c>
      <c r="S56" s="62">
        <f ca="1">AVERAGE(OFFSET($R$3,0,0,'Données projet'!$E$9+1,1))-AVERAGE(OFFSET($H$3,0,0,'Données projet'!$E$9+1,1))</f>
        <v>273.21086764807194</v>
      </c>
      <c r="T56" s="62">
        <f t="shared" si="34"/>
        <v>259.3474218586631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3.6</v>
      </c>
      <c r="AI56" s="14">
        <f>IF('Données projet'!$A$62&gt;35,AI55+AH56-AQ55,IF(A56&lt;'Données projet'!$A$62,$AF$205^A56,IF(A56='Données projet'!$A$62,'Données projet'!$B$62,AI55+AH56-AQ55)))</f>
        <v>126.79999999999995</v>
      </c>
      <c r="AJ56" s="14">
        <f>AI56*VLOOKUP('Données projet'!$B$10,Paramètres!$A$1:$I$89,3,0)*VLOOKUP('Données projet'!$B$10,Paramètres!$A$1:$I$89,5,0)</f>
        <v>110.77247999999997</v>
      </c>
      <c r="AK56" s="14">
        <f t="shared" si="35"/>
        <v>29.512912692801613</v>
      </c>
      <c r="AL56" s="22">
        <f t="shared" si="4"/>
        <v>244.3303922732961</v>
      </c>
      <c r="AM56" s="62">
        <f t="shared" si="5"/>
        <v>537.66372560662944</v>
      </c>
      <c r="AN56" s="62">
        <f ca="1">AVERAGE(OFFSET($AM$3,0,0,'Données projet'!$E$10+1,1))-AVERAGE(OFFSET($H$3,0,0,'Données projet'!$E$10+1,1))</f>
        <v>121.79484266530449</v>
      </c>
      <c r="AO56" s="62">
        <f t="shared" si="36"/>
        <v>129.14577359424788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1.5089077119576375</v>
      </c>
      <c r="AW56" s="23">
        <f>EXP(-LN(2)/2)*AW55+(1-EXP(-LN(2)/2))/(LN(2)/2)*AQ56*AT56*VLOOKUP('Données projet'!$B$10,Paramètres!$A$1:$I$89,3,0)*0.475*44/12</f>
        <v>1.2354614131087462E-3</v>
      </c>
      <c r="AX56" s="23">
        <f t="shared" si="6"/>
        <v>1.5101431733707462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5.6</v>
      </c>
      <c r="BD56" s="13">
        <f>IF('Données projet'!$A$88&gt;35,BD55+BC56-BL55,IF(A56&lt;'Données projet'!$A$88,$BA$205^A56,IF(A56='Données projet'!$A$88,'Données projet'!$B$88,BD55+BC56-BL55)))</f>
        <v>123.79999999999994</v>
      </c>
      <c r="BE56" s="14">
        <f>BD56*VLOOKUP('Données projet'!$B$11,Paramètres!$A$1:$I$89,3,0)*VLOOKUP('Données projet'!$B$11,Paramètres!$A$1:$I$89,5,0)</f>
        <v>125.53319999999997</v>
      </c>
      <c r="BF56" s="14">
        <f t="shared" si="37"/>
        <v>32.962122082003134</v>
      </c>
      <c r="BG56" s="22">
        <f t="shared" si="7"/>
        <v>276.046019292822</v>
      </c>
      <c r="BH56" s="62">
        <f t="shared" si="8"/>
        <v>569.37935262615531</v>
      </c>
      <c r="BI56" s="62">
        <f ca="1">AVERAGE(OFFSET($BH$3,0,0,'Données projet'!$E$11+1,1))-AVERAGE(OFFSET($H$3,0,0,'Données projet'!$E$11+1,1))</f>
        <v>201.65575435598231</v>
      </c>
      <c r="BJ56" s="62">
        <f t="shared" si="38"/>
        <v>103.75701796419935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15.7</v>
      </c>
      <c r="BY56" s="13">
        <f>IF('Données projet'!$A$114&gt;35,BY55+BX56-CG55,IF(A56&lt;'Données projet'!$A$114,$BV$205^A56,IF(A56='Données projet'!$A$114,'Données projet'!$B$114,BY55+BX56-CG55)))</f>
        <v>283.10000000000008</v>
      </c>
      <c r="BZ56" s="14">
        <f>BY56*VLOOKUP('Données projet'!$B$12,Paramètres!$A$1:$I$89,3,0)*VLOOKUP('Données projet'!$B$12,Paramètres!$A$1:$I$89,5,0)</f>
        <v>169.29380000000009</v>
      </c>
      <c r="CA56" s="14">
        <f t="shared" si="39"/>
        <v>42.931819978697277</v>
      </c>
      <c r="CB56" s="22">
        <f t="shared" si="10"/>
        <v>369.6262881295645</v>
      </c>
      <c r="CC56" s="62">
        <f t="shared" si="11"/>
        <v>662.95962146289776</v>
      </c>
      <c r="CD56" s="62">
        <f ca="1">AVERAGE(OFFSET($CC$3,0,0,'Données projet'!$E$12+1,1))-AVERAGE(OFFSET($H$3,0,0,'Données projet'!$E$12+1,1))</f>
        <v>222.32495275055498</v>
      </c>
      <c r="CE56" s="62">
        <f t="shared" si="40"/>
        <v>156.39259018918381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0.48860110859621714</v>
      </c>
      <c r="CM56" s="23">
        <f>EXP(-LN(2)/2)*CM55+(1-EXP(-LN(2)/2))/(LN(2)/2)*CG56*CJ56*VLOOKUP('Données projet'!$B$12,Paramètres!$A$1:$I$89,3,0)*0.475*44/12</f>
        <v>3.6709859679942098E-3</v>
      </c>
      <c r="CN56" s="24">
        <f t="shared" si="12"/>
        <v>0.49227209456421134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43.804799999999979</v>
      </c>
      <c r="D57" s="12">
        <f t="shared" si="32"/>
        <v>13.001714958042184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438.50643125506235</v>
      </c>
      <c r="H57" s="70">
        <f t="shared" si="1"/>
        <v>355.60468021859009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>
        <f>VLOOKUP(A57,'Données projet'!$A$35:$I$55,2,0)</f>
        <v>436</v>
      </c>
      <c r="L57" s="13">
        <f>VLOOKUP(A57,'Données projet'!$A$35:$I$55,9,0)</f>
        <v>20.5</v>
      </c>
      <c r="M57" s="13">
        <f t="array" ref="M57">INDEX(L:L,MIN(IF(ISNUMBER(L57:L253),ROW(L57:L253),"")))</f>
        <v>20.5</v>
      </c>
      <c r="N57" s="14">
        <f>IF('Données projet'!$A$36&gt;35,N56+M57-V56,IF(A57&lt;'Données projet'!$A$36,$K$205^A57,IF(A57='Données projet'!$A$36,'Données projet'!$B$36,N56+M57-V56)))</f>
        <v>435.99999999999972</v>
      </c>
      <c r="O57" s="14">
        <f>N57*VLOOKUP('Données projet'!$B$9,Paramètres!$A$1:$I$89,3,0)*VLOOKUP('Données projet'!$B$9,Paramètres!$A$1:$I$89,5,0)</f>
        <v>204.04799999999986</v>
      </c>
      <c r="P57" s="14">
        <f t="shared" si="33"/>
        <v>50.632755461121967</v>
      </c>
      <c r="Q57" s="22">
        <f t="shared" si="53"/>
        <v>443.56898242812048</v>
      </c>
      <c r="R57" s="62">
        <f t="shared" si="0"/>
        <v>736.90231576145379</v>
      </c>
      <c r="S57" s="62">
        <f ca="1">AVERAGE(OFFSET($R$3,0,0,'Données projet'!$E$9+1,1))-AVERAGE(OFFSET($H$3,0,0,'Données projet'!$E$9+1,1))</f>
        <v>273.21086764807194</v>
      </c>
      <c r="T57" s="62">
        <f t="shared" si="34"/>
        <v>259.3474218586631</v>
      </c>
      <c r="U57" s="16">
        <f>IF(ISNA(VLOOKUP(A57,'Données projet'!$A$35:$I$55,3,0)),0,VLOOKUP(A57,'Données projet'!$A$35:$I$55,3,0))</f>
        <v>3</v>
      </c>
      <c r="V57" s="16">
        <f>IF(ISNA(VLOOKUP(A57,'Données projet'!$A$35:$I$55,4,0)),0,VLOOKUP(A57,'Données projet'!$A$35:$I$55,4,0))</f>
        <v>86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3.6</v>
      </c>
      <c r="AI57" s="14">
        <f>IF('Données projet'!$A$62&gt;35,AI56+AH57-AQ56,IF(A57&lt;'Données projet'!$A$62,$AF$205^A57,IF(A57='Données projet'!$A$62,'Données projet'!$B$62,AI56+AH57-AQ56)))</f>
        <v>130.39999999999995</v>
      </c>
      <c r="AJ57" s="14">
        <f>AI57*VLOOKUP('Données projet'!$B$10,Paramètres!$A$1:$I$89,3,0)*VLOOKUP('Données projet'!$B$10,Paramètres!$A$1:$I$89,5,0)</f>
        <v>113.91743999999996</v>
      </c>
      <c r="AK57" s="14">
        <f t="shared" si="35"/>
        <v>30.252075834566813</v>
      </c>
      <c r="AL57" s="22">
        <f t="shared" si="4"/>
        <v>251.0952400785371</v>
      </c>
      <c r="AM57" s="62">
        <f t="shared" si="5"/>
        <v>544.42857341187039</v>
      </c>
      <c r="AN57" s="62">
        <f ca="1">AVERAGE(OFFSET($AM$3,0,0,'Données projet'!$E$10+1,1))-AVERAGE(OFFSET($H$3,0,0,'Données projet'!$E$10+1,1))</f>
        <v>121.79484266530449</v>
      </c>
      <c r="AO57" s="62">
        <f t="shared" si="36"/>
        <v>129.14577359424788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1.4676465512241479</v>
      </c>
      <c r="AW57" s="23">
        <f>EXP(-LN(2)/2)*AW56+(1-EXP(-LN(2)/2))/(LN(2)/2)*AQ57*AT57*VLOOKUP('Données projet'!$B$10,Paramètres!$A$1:$I$89,3,0)*0.475*44/12</f>
        <v>8.73603143103509E-4</v>
      </c>
      <c r="AX57" s="23">
        <f t="shared" si="6"/>
        <v>1.4685201543672515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5.6</v>
      </c>
      <c r="BD57" s="13">
        <f>IF('Données projet'!$A$88&gt;35,BD56+BC57-BL56,IF(A57&lt;'Données projet'!$A$88,$BA$205^A57,IF(A57='Données projet'!$A$88,'Données projet'!$B$88,BD56+BC57-BL56)))</f>
        <v>129.39999999999995</v>
      </c>
      <c r="BE57" s="14">
        <f>BD57*VLOOKUP('Données projet'!$B$11,Paramètres!$A$1:$I$89,3,0)*VLOOKUP('Données projet'!$B$11,Paramètres!$A$1:$I$89,5,0)</f>
        <v>131.21159999999995</v>
      </c>
      <c r="BF57" s="14">
        <f t="shared" si="37"/>
        <v>34.276173183172517</v>
      </c>
      <c r="BG57" s="22">
        <f t="shared" si="7"/>
        <v>288.22453829402536</v>
      </c>
      <c r="BH57" s="62">
        <f t="shared" si="8"/>
        <v>581.55787162735874</v>
      </c>
      <c r="BI57" s="62">
        <f ca="1">AVERAGE(OFFSET($BH$3,0,0,'Données projet'!$E$11+1,1))-AVERAGE(OFFSET($H$3,0,0,'Données projet'!$E$11+1,1))</f>
        <v>201.65575435598231</v>
      </c>
      <c r="BJ57" s="62">
        <f t="shared" si="38"/>
        <v>103.75701796419935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15.7</v>
      </c>
      <c r="BY57" s="13">
        <f>IF('Données projet'!$A$114&gt;35,BY56+BX57-CG56,IF(A57&lt;'Données projet'!$A$114,$BV$205^A57,IF(A57='Données projet'!$A$114,'Données projet'!$B$114,BY56+BX57-CG56)))</f>
        <v>298.80000000000007</v>
      </c>
      <c r="BZ57" s="14">
        <f>BY57*VLOOKUP('Données projet'!$B$12,Paramètres!$A$1:$I$89,3,0)*VLOOKUP('Données projet'!$B$12,Paramètres!$A$1:$I$89,5,0)</f>
        <v>178.68240000000006</v>
      </c>
      <c r="CA57" s="14">
        <f t="shared" si="39"/>
        <v>45.028919214980071</v>
      </c>
      <c r="CB57" s="22">
        <f t="shared" si="10"/>
        <v>389.63054763275704</v>
      </c>
      <c r="CC57" s="62">
        <f t="shared" si="11"/>
        <v>682.9638809660903</v>
      </c>
      <c r="CD57" s="62">
        <f ca="1">AVERAGE(OFFSET($CC$3,0,0,'Données projet'!$E$12+1,1))-AVERAGE(OFFSET($H$3,0,0,'Données projet'!$E$12+1,1))</f>
        <v>222.32495275055498</v>
      </c>
      <c r="CE57" s="62">
        <f t="shared" si="40"/>
        <v>156.39259018918381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0.47524028558723797</v>
      </c>
      <c r="CM57" s="23">
        <f>EXP(-LN(2)/2)*CM56+(1-EXP(-LN(2)/2))/(LN(2)/2)*CG57*CJ57*VLOOKUP('Données projet'!$B$12,Paramètres!$A$1:$I$89,3,0)*0.475*44/12</f>
        <v>2.5957790716093681E-3</v>
      </c>
      <c r="CN57" s="24">
        <f t="shared" si="12"/>
        <v>0.47783606465884731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44.615999999999978</v>
      </c>
      <c r="D58" s="12">
        <f t="shared" si="32"/>
        <v>13.214233809656902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446.40882239033385</v>
      </c>
      <c r="H58" s="70">
        <f t="shared" si="1"/>
        <v>357.38765721848574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19.833333333333332</v>
      </c>
      <c r="N58" s="14">
        <f>IF('Données projet'!$A$36&gt;35,N57+M58-V57,IF(A58&lt;'Données projet'!$A$36,$K$205^A58,IF(A58='Données projet'!$A$36,'Données projet'!$B$36,N57+M58-V57)))</f>
        <v>369.83333333333303</v>
      </c>
      <c r="O58" s="14">
        <f>N58*VLOOKUP('Données projet'!$B$9,Paramètres!$A$1:$I$89,3,0)*VLOOKUP('Données projet'!$B$9,Paramètres!$A$1:$I$89,5,0)</f>
        <v>173.08199999999985</v>
      </c>
      <c r="P58" s="14">
        <f t="shared" si="33"/>
        <v>43.77956560661174</v>
      </c>
      <c r="Q58" s="22">
        <f t="shared" si="53"/>
        <v>377.70056009818182</v>
      </c>
      <c r="R58" s="62">
        <f t="shared" si="0"/>
        <v>671.03389343151514</v>
      </c>
      <c r="S58" s="62">
        <f ca="1">AVERAGE(OFFSET($R$3,0,0,'Données projet'!$E$9+1,1))-AVERAGE(OFFSET($H$3,0,0,'Données projet'!$E$9+1,1))</f>
        <v>273.21086764807194</v>
      </c>
      <c r="T58" s="62">
        <f t="shared" si="34"/>
        <v>259.3474218586631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134</v>
      </c>
      <c r="AG58" s="13">
        <f>VLOOKUP(A58,'Données projet'!$A$61:$I$81,9,0)</f>
        <v>3.6</v>
      </c>
      <c r="AH58" s="13">
        <f t="array" ref="AH58">INDEX(AG:AG,MIN(IF(ISNUMBER(AG58:AG254),ROW(AG58:AG254),"")))</f>
        <v>3.6</v>
      </c>
      <c r="AI58" s="14">
        <f>IF('Données projet'!$A$62&gt;35,AI57+AH58-AQ57,IF(A58&lt;'Données projet'!$A$62,$AF$205^A58,IF(A58='Données projet'!$A$62,'Données projet'!$B$62,AI57+AH58-AQ57)))</f>
        <v>133.99999999999994</v>
      </c>
      <c r="AJ58" s="14">
        <f>AI58*VLOOKUP('Données projet'!$B$10,Paramètres!$A$1:$I$89,3,0)*VLOOKUP('Données projet'!$B$10,Paramètres!$A$1:$I$89,5,0)</f>
        <v>117.06239999999997</v>
      </c>
      <c r="AK58" s="14">
        <f t="shared" si="35"/>
        <v>30.988867171899123</v>
      </c>
      <c r="AL58" s="22">
        <f t="shared" si="4"/>
        <v>257.85595699105755</v>
      </c>
      <c r="AM58" s="62">
        <f t="shared" si="5"/>
        <v>551.18929032439087</v>
      </c>
      <c r="AN58" s="62">
        <f ca="1">AVERAGE(OFFSET($AM$3,0,0,'Données projet'!$E$10+1,1))-AVERAGE(OFFSET($H$3,0,0,'Données projet'!$E$10+1,1))</f>
        <v>121.79484266530449</v>
      </c>
      <c r="AO58" s="62">
        <f t="shared" si="36"/>
        <v>129.14577359424788</v>
      </c>
      <c r="AP58" s="16">
        <f>IF(ISNA(VLOOKUP(A58,'Données projet'!$A$61:$I$81,3,0)),0,VLOOKUP(A58,'Données projet'!$A$61:$I$81,3,0))</f>
        <v>8</v>
      </c>
      <c r="AQ58" s="16">
        <f>IF(ISNA(VLOOKUP(A58,'Données projet'!$A$61:$I$81,4,0)),0,VLOOKUP(A58,'Données projet'!$A$61:$I$81,4,0))</f>
        <v>9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1.4275136791007459</v>
      </c>
      <c r="AW58" s="23">
        <f>EXP(-LN(2)/2)*AW57+(1-EXP(-LN(2)/2))/(LN(2)/2)*AQ58*AT58*VLOOKUP('Données projet'!$B$10,Paramètres!$A$1:$I$89,3,0)*0.475*44/12</f>
        <v>6.177307065543731E-4</v>
      </c>
      <c r="AX58" s="23">
        <f t="shared" si="6"/>
        <v>1.4281314098073004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135</v>
      </c>
      <c r="BB58" s="13">
        <f>VLOOKUP(A58,'Données projet'!$A$87:$I$107,9,0)</f>
        <v>5.6</v>
      </c>
      <c r="BC58" s="13">
        <f t="array" ref="BC58">INDEX(BB:BB,MIN(IF(ISNUMBER(BB58:BB254),ROW(BB58:BB254),"")))</f>
        <v>5.6</v>
      </c>
      <c r="BD58" s="13">
        <f>IF('Données projet'!$A$88&gt;35,BD57+BC58-BL57,IF(A58&lt;'Données projet'!$A$88,$BA$205^A58,IF(A58='Données projet'!$A$88,'Données projet'!$B$88,BD57+BC58-BL57)))</f>
        <v>134.99999999999994</v>
      </c>
      <c r="BE58" s="14">
        <f>BD58*VLOOKUP('Données projet'!$B$11,Paramètres!$A$1:$I$89,3,0)*VLOOKUP('Données projet'!$B$11,Paramètres!$A$1:$I$89,5,0)</f>
        <v>136.88999999999996</v>
      </c>
      <c r="BF58" s="14">
        <f t="shared" si="37"/>
        <v>35.583619346017713</v>
      </c>
      <c r="BG58" s="22">
        <f t="shared" si="7"/>
        <v>300.3915536943141</v>
      </c>
      <c r="BH58" s="62">
        <f t="shared" si="8"/>
        <v>593.72488702764736</v>
      </c>
      <c r="BI58" s="62">
        <f ca="1">AVERAGE(OFFSET($BH$3,0,0,'Données projet'!$E$11+1,1))-AVERAGE(OFFSET($H$3,0,0,'Données projet'!$E$11+1,1))</f>
        <v>201.65575435598231</v>
      </c>
      <c r="BJ58" s="62">
        <f t="shared" si="38"/>
        <v>103.75701796419935</v>
      </c>
      <c r="BK58" s="16">
        <f>IF(ISNA(VLOOKUP(A58,'Données projet'!$A$87:$I$107,3,0)),0,VLOOKUP(A58,'Données projet'!$A$87:$I$107,3,0))</f>
        <v>7</v>
      </c>
      <c r="BL58" s="16">
        <f>IF(ISNA(VLOOKUP(A58,'Données projet'!$A$87:$I$107,4,0)),0,VLOOKUP(A58,'Données projet'!$A$87:$I$107,4,0))</f>
        <v>14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15.7</v>
      </c>
      <c r="BY58" s="13">
        <f>IF('Données projet'!$A$114&gt;35,BY57+BX58-CG57,IF(A58&lt;'Données projet'!$A$114,$BV$205^A58,IF(A58='Données projet'!$A$114,'Données projet'!$B$114,BY57+BX58-CG57)))</f>
        <v>314.50000000000006</v>
      </c>
      <c r="BZ58" s="14">
        <f>BY58*VLOOKUP('Données projet'!$B$12,Paramètres!$A$1:$I$89,3,0)*VLOOKUP('Données projet'!$B$12,Paramètres!$A$1:$I$89,5,0)</f>
        <v>188.07100000000005</v>
      </c>
      <c r="CA58" s="14">
        <f t="shared" si="39"/>
        <v>47.113225385753083</v>
      </c>
      <c r="CB58" s="22">
        <f t="shared" si="10"/>
        <v>409.61252588018669</v>
      </c>
      <c r="CC58" s="62">
        <f t="shared" si="11"/>
        <v>702.94585921351995</v>
      </c>
      <c r="CD58" s="62">
        <f ca="1">AVERAGE(OFFSET($CC$3,0,0,'Données projet'!$E$12+1,1))-AVERAGE(OFFSET($H$3,0,0,'Données projet'!$E$12+1,1))</f>
        <v>222.32495275055498</v>
      </c>
      <c r="CE58" s="62">
        <f t="shared" si="40"/>
        <v>156.39259018918381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0.46224481498605452</v>
      </c>
      <c r="CM58" s="23">
        <f>EXP(-LN(2)/2)*CM57+(1-EXP(-LN(2)/2))/(LN(2)/2)*CG58*CJ58*VLOOKUP('Données projet'!$B$12,Paramètres!$A$1:$I$89,3,0)*0.475*44/12</f>
        <v>1.8354929839971049E-3</v>
      </c>
      <c r="CN58" s="24">
        <f t="shared" si="12"/>
        <v>0.46408030797005162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45.427199999999978</v>
      </c>
      <c r="D59" s="12">
        <f t="shared" si="32"/>
        <v>13.426303343530915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454.30774510795777</v>
      </c>
      <c r="H59" s="70">
        <f t="shared" si="1"/>
        <v>359.16985165664966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19.833333333333332</v>
      </c>
      <c r="N59" s="14">
        <f>IF('Données projet'!$A$36&gt;35,N58+M59-V58,IF(A59&lt;'Données projet'!$A$36,$K$205^A59,IF(A59='Données projet'!$A$36,'Données projet'!$B$36,N58+M59-V58)))</f>
        <v>389.66666666666634</v>
      </c>
      <c r="O59" s="14">
        <f>N59*VLOOKUP('Données projet'!$B$9,Paramètres!$A$1:$I$89,3,0)*VLOOKUP('Données projet'!$B$9,Paramètres!$A$1:$I$89,5,0)</f>
        <v>182.36399999999986</v>
      </c>
      <c r="P59" s="14">
        <f t="shared" si="33"/>
        <v>45.84773255125662</v>
      </c>
      <c r="Q59" s="22">
        <f t="shared" si="53"/>
        <v>397.46876752677173</v>
      </c>
      <c r="R59" s="62">
        <f t="shared" si="0"/>
        <v>690.80210086010504</v>
      </c>
      <c r="S59" s="62">
        <f ca="1">AVERAGE(OFFSET($R$3,0,0,'Données projet'!$E$9+1,1))-AVERAGE(OFFSET($H$3,0,0,'Données projet'!$E$9+1,1))</f>
        <v>273.21086764807194</v>
      </c>
      <c r="T59" s="62">
        <f t="shared" si="34"/>
        <v>259.3474218586631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3</v>
      </c>
      <c r="AI59" s="14">
        <f>IF('Données projet'!$A$62&gt;35,AI58+AH59-AQ58,IF(A59&lt;'Données projet'!$A$62,$AF$205^A59,IF(A59='Données projet'!$A$62,'Données projet'!$B$62,AI58+AH59-AQ58)))</f>
        <v>127.99999999999994</v>
      </c>
      <c r="AJ59" s="14">
        <f>AI59*VLOOKUP('Données projet'!$B$10,Paramètres!$A$1:$I$89,3,0)*VLOOKUP('Données projet'!$B$10,Paramètres!$A$1:$I$89,5,0)</f>
        <v>111.82079999999998</v>
      </c>
      <c r="AK59" s="14">
        <f t="shared" si="35"/>
        <v>29.759568497877257</v>
      </c>
      <c r="AL59" s="22">
        <f t="shared" si="4"/>
        <v>246.58580846713619</v>
      </c>
      <c r="AM59" s="62">
        <f t="shared" si="5"/>
        <v>539.91914180046956</v>
      </c>
      <c r="AN59" s="62">
        <f ca="1">AVERAGE(OFFSET($AM$3,0,0,'Données projet'!$E$10+1,1))-AVERAGE(OFFSET($H$3,0,0,'Données projet'!$E$10+1,1))</f>
        <v>121.79484266530449</v>
      </c>
      <c r="AO59" s="62">
        <f t="shared" si="36"/>
        <v>129.14577359424788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1.3884782424760542</v>
      </c>
      <c r="AW59" s="23">
        <f>EXP(-LN(2)/2)*AW58+(1-EXP(-LN(2)/2))/(LN(2)/2)*AQ59*AT59*VLOOKUP('Données projet'!$B$10,Paramètres!$A$1:$I$89,3,0)*0.475*44/12</f>
        <v>4.368015715517545E-4</v>
      </c>
      <c r="AX59" s="23">
        <f t="shared" si="6"/>
        <v>1.3889150440476059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5.6</v>
      </c>
      <c r="BD59" s="13">
        <f>IF('Données projet'!$A$88&gt;35,BD58+BC59-BL58,IF(A59&lt;'Données projet'!$A$88,$BA$205^A59,IF(A59='Données projet'!$A$88,'Données projet'!$B$88,BD58+BC59-BL58)))</f>
        <v>126.59999999999994</v>
      </c>
      <c r="BE59" s="14">
        <f>BD59*VLOOKUP('Données projet'!$B$11,Paramètres!$A$1:$I$89,3,0)*VLOOKUP('Données projet'!$B$11,Paramètres!$A$1:$I$89,5,0)</f>
        <v>128.37239999999994</v>
      </c>
      <c r="BF59" s="14">
        <f t="shared" si="37"/>
        <v>33.61999343087701</v>
      </c>
      <c r="BG59" s="22">
        <f t="shared" si="7"/>
        <v>282.13675189211068</v>
      </c>
      <c r="BH59" s="62">
        <f t="shared" si="8"/>
        <v>575.470085225444</v>
      </c>
      <c r="BI59" s="62">
        <f ca="1">AVERAGE(OFFSET($BH$3,0,0,'Données projet'!$E$11+1,1))-AVERAGE(OFFSET($H$3,0,0,'Données projet'!$E$11+1,1))</f>
        <v>201.65575435598231</v>
      </c>
      <c r="BJ59" s="62">
        <f t="shared" si="38"/>
        <v>103.75701796419935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15.7</v>
      </c>
      <c r="BY59" s="13">
        <f>IF('Données projet'!$A$114&gt;35,BY58+BX59-CG58,IF(A59&lt;'Données projet'!$A$114,$BV$205^A59,IF(A59='Données projet'!$A$114,'Données projet'!$B$114,BY58+BX59-CG58)))</f>
        <v>330.20000000000005</v>
      </c>
      <c r="BZ59" s="14">
        <f>BY59*VLOOKUP('Données projet'!$B$12,Paramètres!$A$1:$I$89,3,0)*VLOOKUP('Données projet'!$B$12,Paramètres!$A$1:$I$89,5,0)</f>
        <v>197.45960000000005</v>
      </c>
      <c r="CA59" s="14">
        <f t="shared" si="39"/>
        <v>49.185450002435452</v>
      </c>
      <c r="CB59" s="22">
        <f t="shared" si="10"/>
        <v>429.57346208757514</v>
      </c>
      <c r="CC59" s="62">
        <f t="shared" si="11"/>
        <v>722.90679542090845</v>
      </c>
      <c r="CD59" s="62">
        <f ca="1">AVERAGE(OFFSET($CC$3,0,0,'Données projet'!$E$12+1,1))-AVERAGE(OFFSET($H$3,0,0,'Données projet'!$E$12+1,1))</f>
        <v>222.32495275055498</v>
      </c>
      <c r="CE59" s="62">
        <f t="shared" si="40"/>
        <v>156.39259018918381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0.44960470621186249</v>
      </c>
      <c r="CM59" s="23">
        <f>EXP(-LN(2)/2)*CM58+(1-EXP(-LN(2)/2))/(LN(2)/2)*CG59*CJ59*VLOOKUP('Données projet'!$B$12,Paramètres!$A$1:$I$89,3,0)*0.475*44/12</f>
        <v>1.297889535804684E-3</v>
      </c>
      <c r="CN59" s="24">
        <f t="shared" si="12"/>
        <v>0.45090259574766717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46.238399999999977</v>
      </c>
      <c r="D60" s="12">
        <f t="shared" si="32"/>
        <v>13.637932508790355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462.2032684889079</v>
      </c>
      <c r="H60" s="70">
        <f t="shared" si="1"/>
        <v>360.95127911947651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19.833333333333332</v>
      </c>
      <c r="N60" s="14">
        <f>IF('Données projet'!$A$36&gt;35,N59+M60-V59,IF(A60&lt;'Données projet'!$A$36,$K$205^A60,IF(A60='Données projet'!$A$36,'Données projet'!$B$36,N59+M60-V59)))</f>
        <v>409.49999999999966</v>
      </c>
      <c r="O60" s="14">
        <f>N60*VLOOKUP('Données projet'!$B$9,Paramètres!$A$1:$I$89,3,0)*VLOOKUP('Données projet'!$B$9,Paramètres!$A$1:$I$89,5,0)</f>
        <v>191.64599999999984</v>
      </c>
      <c r="P60" s="14">
        <f t="shared" si="33"/>
        <v>47.903677189291592</v>
      </c>
      <c r="Q60" s="22">
        <f t="shared" si="53"/>
        <v>417.21568777134922</v>
      </c>
      <c r="R60" s="62">
        <f t="shared" si="0"/>
        <v>710.54902110468254</v>
      </c>
      <c r="S60" s="62">
        <f ca="1">AVERAGE(OFFSET($R$3,0,0,'Données projet'!$E$9+1,1))-AVERAGE(OFFSET($H$3,0,0,'Données projet'!$E$9+1,1))</f>
        <v>273.21086764807194</v>
      </c>
      <c r="T60" s="62">
        <f t="shared" si="34"/>
        <v>259.3474218586631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3</v>
      </c>
      <c r="AI60" s="14">
        <f>IF('Données projet'!$A$62&gt;35,AI59+AH60-AQ59,IF(A60&lt;'Données projet'!$A$62,$AF$205^A60,IF(A60='Données projet'!$A$62,'Données projet'!$B$62,AI59+AH60-AQ59)))</f>
        <v>130.99999999999994</v>
      </c>
      <c r="AJ60" s="14">
        <f>AI60*VLOOKUP('Données projet'!$B$10,Paramètres!$A$1:$I$89,3,0)*VLOOKUP('Données projet'!$B$10,Paramètres!$A$1:$I$89,5,0)</f>
        <v>114.44159999999997</v>
      </c>
      <c r="AK60" s="14">
        <f t="shared" si="35"/>
        <v>30.375037129843719</v>
      </c>
      <c r="AL60" s="22">
        <f t="shared" si="4"/>
        <v>252.22230966781112</v>
      </c>
      <c r="AM60" s="62">
        <f t="shared" si="5"/>
        <v>545.5556430011444</v>
      </c>
      <c r="AN60" s="62">
        <f ca="1">AVERAGE(OFFSET($AM$3,0,0,'Données projet'!$E$10+1,1))-AVERAGE(OFFSET($H$3,0,0,'Données projet'!$E$10+1,1))</f>
        <v>121.79484266530449</v>
      </c>
      <c r="AO60" s="62">
        <f t="shared" si="36"/>
        <v>129.14577359424788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1.3505102319186491</v>
      </c>
      <c r="AW60" s="23">
        <f>EXP(-LN(2)/2)*AW59+(1-EXP(-LN(2)/2))/(LN(2)/2)*AQ60*AT60*VLOOKUP('Données projet'!$B$10,Paramètres!$A$1:$I$89,3,0)*0.475*44/12</f>
        <v>3.0886535327718655E-4</v>
      </c>
      <c r="AX60" s="23">
        <f t="shared" si="6"/>
        <v>1.3508190972719263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5.6</v>
      </c>
      <c r="BD60" s="13">
        <f>IF('Données projet'!$A$88&gt;35,BD59+BC60-BL59,IF(A60&lt;'Données projet'!$A$88,$BA$205^A60,IF(A60='Données projet'!$A$88,'Données projet'!$B$88,BD59+BC60-BL59)))</f>
        <v>132.19999999999993</v>
      </c>
      <c r="BE60" s="14">
        <f>BD60*VLOOKUP('Données projet'!$B$11,Paramètres!$A$1:$I$89,3,0)*VLOOKUP('Données projet'!$B$11,Paramètres!$A$1:$I$89,5,0)</f>
        <v>134.05079999999995</v>
      </c>
      <c r="BF60" s="14">
        <f t="shared" si="37"/>
        <v>34.930702157857986</v>
      </c>
      <c r="BG60" s="22">
        <f t="shared" si="7"/>
        <v>294.30944959160257</v>
      </c>
      <c r="BH60" s="62">
        <f t="shared" si="8"/>
        <v>587.64278292493589</v>
      </c>
      <c r="BI60" s="62">
        <f ca="1">AVERAGE(OFFSET($BH$3,0,0,'Données projet'!$E$11+1,1))-AVERAGE(OFFSET($H$3,0,0,'Données projet'!$E$11+1,1))</f>
        <v>201.65575435598231</v>
      </c>
      <c r="BJ60" s="62">
        <f t="shared" si="38"/>
        <v>103.75701796419935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15.7</v>
      </c>
      <c r="BY60" s="13">
        <f>IF('Données projet'!$A$114&gt;35,BY59+BX60-CG59,IF(A60&lt;'Données projet'!$A$114,$BV$205^A60,IF(A60='Données projet'!$A$114,'Données projet'!$B$114,BY59+BX60-CG59)))</f>
        <v>345.90000000000003</v>
      </c>
      <c r="BZ60" s="14">
        <f>BY60*VLOOKUP('Données projet'!$B$12,Paramètres!$A$1:$I$89,3,0)*VLOOKUP('Données projet'!$B$12,Paramètres!$A$1:$I$89,5,0)</f>
        <v>206.84820000000005</v>
      </c>
      <c r="CA60" s="14">
        <f t="shared" si="39"/>
        <v>51.246233092829954</v>
      </c>
      <c r="CB60" s="22">
        <f t="shared" si="10"/>
        <v>449.51447097001227</v>
      </c>
      <c r="CC60" s="62">
        <f t="shared" si="11"/>
        <v>742.84780430334558</v>
      </c>
      <c r="CD60" s="62">
        <f ca="1">AVERAGE(OFFSET($CC$3,0,0,'Données projet'!$E$12+1,1))-AVERAGE(OFFSET($H$3,0,0,'Données projet'!$E$12+1,1))</f>
        <v>222.32495275055498</v>
      </c>
      <c r="CE60" s="62">
        <f t="shared" si="40"/>
        <v>156.39259018918381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0.43731024187681522</v>
      </c>
      <c r="CM60" s="23">
        <f>EXP(-LN(2)/2)*CM59+(1-EXP(-LN(2)/2))/(LN(2)/2)*CG60*CJ60*VLOOKUP('Données projet'!$B$12,Paramètres!$A$1:$I$89,3,0)*0.475*44/12</f>
        <v>9.1774649199855246E-4</v>
      </c>
      <c r="CN60" s="24">
        <f t="shared" si="12"/>
        <v>0.43822798836881377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47.049599999999977</v>
      </c>
      <c r="D61" s="12">
        <f t="shared" si="32"/>
        <v>13.849129922569929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470.09545905141687</v>
      </c>
      <c r="H61" s="70">
        <f t="shared" si="1"/>
        <v>362.73195461514257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19.833333333333332</v>
      </c>
      <c r="N61" s="14">
        <f>IF('Données projet'!$A$36&gt;35,N60+M61-V60,IF(A61&lt;'Données projet'!$A$36,$K$205^A61,IF(A61='Données projet'!$A$36,'Données projet'!$B$36,N60+M61-V60)))</f>
        <v>429.33333333333297</v>
      </c>
      <c r="O61" s="14">
        <f>N61*VLOOKUP('Données projet'!$B$9,Paramètres!$A$1:$I$89,3,0)*VLOOKUP('Données projet'!$B$9,Paramètres!$A$1:$I$89,5,0)</f>
        <v>200.92799999999983</v>
      </c>
      <c r="P61" s="14">
        <f t="shared" si="33"/>
        <v>49.948059057188999</v>
      </c>
      <c r="Q61" s="22">
        <f t="shared" si="53"/>
        <v>436.94246952460384</v>
      </c>
      <c r="R61" s="62">
        <f t="shared" si="0"/>
        <v>730.27580285793715</v>
      </c>
      <c r="S61" s="62">
        <f ca="1">AVERAGE(OFFSET($R$3,0,0,'Données projet'!$E$9+1,1))-AVERAGE(OFFSET($H$3,0,0,'Données projet'!$E$9+1,1))</f>
        <v>273.21086764807194</v>
      </c>
      <c r="T61" s="62">
        <f t="shared" si="34"/>
        <v>259.3474218586631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3</v>
      </c>
      <c r="AI61" s="14">
        <f>IF('Données projet'!$A$62&gt;35,AI60+AH61-AQ60,IF(A61&lt;'Données projet'!$A$62,$AF$205^A61,IF(A61='Données projet'!$A$62,'Données projet'!$B$62,AI60+AH61-AQ60)))</f>
        <v>133.99999999999994</v>
      </c>
      <c r="AJ61" s="14">
        <f>AI61*VLOOKUP('Données projet'!$B$10,Paramètres!$A$1:$I$89,3,0)*VLOOKUP('Données projet'!$B$10,Paramètres!$A$1:$I$89,5,0)</f>
        <v>117.06239999999997</v>
      </c>
      <c r="AK61" s="14">
        <f t="shared" si="35"/>
        <v>30.988867171899123</v>
      </c>
      <c r="AL61" s="22">
        <f t="shared" si="4"/>
        <v>257.85595699105755</v>
      </c>
      <c r="AM61" s="62">
        <f t="shared" si="5"/>
        <v>551.18929032439087</v>
      </c>
      <c r="AN61" s="62">
        <f ca="1">AVERAGE(OFFSET($AM$3,0,0,'Données projet'!$E$10+1,1))-AVERAGE(OFFSET($H$3,0,0,'Données projet'!$E$10+1,1))</f>
        <v>121.79484266530449</v>
      </c>
      <c r="AO61" s="62">
        <f t="shared" si="36"/>
        <v>129.14577359424788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1.3135804586065871</v>
      </c>
      <c r="AW61" s="23">
        <f>EXP(-LN(2)/2)*AW60+(1-EXP(-LN(2)/2))/(LN(2)/2)*AQ61*AT61*VLOOKUP('Données projet'!$B$10,Paramètres!$A$1:$I$89,3,0)*0.475*44/12</f>
        <v>2.1840078577587725E-4</v>
      </c>
      <c r="AX61" s="23">
        <f t="shared" si="6"/>
        <v>1.3137988593923631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5.6</v>
      </c>
      <c r="BD61" s="13">
        <f>IF('Données projet'!$A$88&gt;35,BD60+BC61-BL60,IF(A61&lt;'Données projet'!$A$88,$BA$205^A61,IF(A61='Données projet'!$A$88,'Données projet'!$B$88,BD60+BC61-BL60)))</f>
        <v>137.79999999999993</v>
      </c>
      <c r="BE61" s="14">
        <f>BD61*VLOOKUP('Données projet'!$B$11,Paramètres!$A$1:$I$89,3,0)*VLOOKUP('Données projet'!$B$11,Paramètres!$A$1:$I$89,5,0)</f>
        <v>139.72919999999993</v>
      </c>
      <c r="BF61" s="14">
        <f t="shared" si="37"/>
        <v>36.234962028891381</v>
      </c>
      <c r="BG61" s="22">
        <f t="shared" si="7"/>
        <v>306.47091553365232</v>
      </c>
      <c r="BH61" s="62">
        <f t="shared" si="8"/>
        <v>599.80424886698563</v>
      </c>
      <c r="BI61" s="62">
        <f ca="1">AVERAGE(OFFSET($BH$3,0,0,'Données projet'!$E$11+1,1))-AVERAGE(OFFSET($H$3,0,0,'Données projet'!$E$11+1,1))</f>
        <v>201.65575435598231</v>
      </c>
      <c r="BJ61" s="62">
        <f t="shared" si="38"/>
        <v>103.75701796419935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15.7</v>
      </c>
      <c r="BY61" s="13">
        <f>IF('Données projet'!$A$114&gt;35,BY60+BX61-CG60,IF(A61&lt;'Données projet'!$A$114,$BV$205^A61,IF(A61='Données projet'!$A$114,'Données projet'!$B$114,BY60+BX61-CG60)))</f>
        <v>361.6</v>
      </c>
      <c r="BZ61" s="14">
        <f>BY61*VLOOKUP('Données projet'!$B$12,Paramètres!$A$1:$I$89,3,0)*VLOOKUP('Données projet'!$B$12,Paramètres!$A$1:$I$89,5,0)</f>
        <v>216.23680000000002</v>
      </c>
      <c r="CA61" s="14">
        <f t="shared" si="39"/>
        <v>53.296153300267918</v>
      </c>
      <c r="CB61" s="22">
        <f t="shared" si="10"/>
        <v>469.43656033129997</v>
      </c>
      <c r="CC61" s="62">
        <f t="shared" si="11"/>
        <v>762.76989366463329</v>
      </c>
      <c r="CD61" s="62">
        <f ca="1">AVERAGE(OFFSET($CC$3,0,0,'Données projet'!$E$12+1,1))-AVERAGE(OFFSET($H$3,0,0,'Données projet'!$E$12+1,1))</f>
        <v>222.32495275055498</v>
      </c>
      <c r="CE61" s="62">
        <f t="shared" si="40"/>
        <v>156.39259018918381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0.42535197031554756</v>
      </c>
      <c r="CM61" s="23">
        <f>EXP(-LN(2)/2)*CM60+(1-EXP(-LN(2)/2))/(LN(2)/2)*CG61*CJ61*VLOOKUP('Données projet'!$B$12,Paramètres!$A$1:$I$89,3,0)*0.475*44/12</f>
        <v>6.4894476790234201E-4</v>
      </c>
      <c r="CN61" s="24">
        <f t="shared" si="12"/>
        <v>0.42600091508344989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47.860799999999976</v>
      </c>
      <c r="D62" s="12">
        <f t="shared" si="32"/>
        <v>14.059903887836862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477.98438088856511</v>
      </c>
      <c r="H62" s="70">
        <f t="shared" si="1"/>
        <v>364.51189260464918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19.833333333333332</v>
      </c>
      <c r="N62" s="14">
        <f>IF('Données projet'!$A$36&gt;35,N61+M62-V61,IF(A62&lt;'Données projet'!$A$36,$K$205^A62,IF(A62='Données projet'!$A$36,'Données projet'!$B$36,N61+M62-V61)))</f>
        <v>449.16666666666629</v>
      </c>
      <c r="O62" s="14">
        <f>N62*VLOOKUP('Données projet'!$B$9,Paramètres!$A$1:$I$89,3,0)*VLOOKUP('Données projet'!$B$9,Paramètres!$A$1:$I$89,5,0)</f>
        <v>210.20999999999981</v>
      </c>
      <c r="P62" s="14">
        <f t="shared" si="33"/>
        <v>51.981473312002805</v>
      </c>
      <c r="Q62" s="22">
        <f t="shared" si="53"/>
        <v>456.65014935173781</v>
      </c>
      <c r="R62" s="62">
        <f t="shared" si="0"/>
        <v>749.98348268507107</v>
      </c>
      <c r="S62" s="62">
        <f ca="1">AVERAGE(OFFSET($R$3,0,0,'Données projet'!$E$9+1,1))-AVERAGE(OFFSET($H$3,0,0,'Données projet'!$E$9+1,1))</f>
        <v>273.21086764807194</v>
      </c>
      <c r="T62" s="62">
        <f t="shared" si="34"/>
        <v>259.3474218586631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3</v>
      </c>
      <c r="AI62" s="14">
        <f>IF('Données projet'!$A$62&gt;35,AI61+AH62-AQ61,IF(A62&lt;'Données projet'!$A$62,$AF$205^A62,IF(A62='Données projet'!$A$62,'Données projet'!$B$62,AI61+AH62-AQ61)))</f>
        <v>136.99999999999994</v>
      </c>
      <c r="AJ62" s="14">
        <f>AI62*VLOOKUP('Données projet'!$B$10,Paramètres!$A$1:$I$89,3,0)*VLOOKUP('Données projet'!$B$10,Paramètres!$A$1:$I$89,5,0)</f>
        <v>119.68319999999996</v>
      </c>
      <c r="AK62" s="14">
        <f t="shared" si="35"/>
        <v>31.601099532596166</v>
      </c>
      <c r="AL62" s="22">
        <f t="shared" si="4"/>
        <v>263.4868216859382</v>
      </c>
      <c r="AM62" s="62">
        <f t="shared" si="5"/>
        <v>556.82015501927151</v>
      </c>
      <c r="AN62" s="62">
        <f ca="1">AVERAGE(OFFSET($AM$3,0,0,'Données projet'!$E$10+1,1))-AVERAGE(OFFSET($H$3,0,0,'Données projet'!$E$10+1,1))</f>
        <v>121.79484266530449</v>
      </c>
      <c r="AO62" s="62">
        <f t="shared" si="36"/>
        <v>129.14577359424788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1.2776605318877958</v>
      </c>
      <c r="AW62" s="23">
        <f>EXP(-LN(2)/2)*AW61+(1-EXP(-LN(2)/2))/(LN(2)/2)*AQ62*AT62*VLOOKUP('Données projet'!$B$10,Paramètres!$A$1:$I$89,3,0)*0.475*44/12</f>
        <v>1.5443267663859327E-4</v>
      </c>
      <c r="AX62" s="23">
        <f t="shared" si="6"/>
        <v>1.2778149645644343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5.6</v>
      </c>
      <c r="BD62" s="13">
        <f>IF('Données projet'!$A$88&gt;35,BD61+BC62-BL61,IF(A62&lt;'Données projet'!$A$88,$BA$205^A62,IF(A62='Données projet'!$A$88,'Données projet'!$B$88,BD61+BC62-BL61)))</f>
        <v>143.39999999999992</v>
      </c>
      <c r="BE62" s="14">
        <f>BD62*VLOOKUP('Données projet'!$B$11,Paramètres!$A$1:$I$89,3,0)*VLOOKUP('Données projet'!$B$11,Paramètres!$A$1:$I$89,5,0)</f>
        <v>145.40759999999992</v>
      </c>
      <c r="BF62" s="14">
        <f t="shared" si="37"/>
        <v>37.533065094701904</v>
      </c>
      <c r="BG62" s="22">
        <f t="shared" si="7"/>
        <v>318.62165837327228</v>
      </c>
      <c r="BH62" s="62">
        <f t="shared" si="8"/>
        <v>611.9549917066056</v>
      </c>
      <c r="BI62" s="62">
        <f ca="1">AVERAGE(OFFSET($BH$3,0,0,'Données projet'!$E$11+1,1))-AVERAGE(OFFSET($H$3,0,0,'Données projet'!$E$11+1,1))</f>
        <v>201.65575435598231</v>
      </c>
      <c r="BJ62" s="62">
        <f t="shared" si="38"/>
        <v>103.75701796419935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15.7</v>
      </c>
      <c r="BY62" s="13">
        <f>IF('Données projet'!$A$114&gt;35,BY61+BX62-CG61,IF(A62&lt;'Données projet'!$A$114,$BV$205^A62,IF(A62='Données projet'!$A$114,'Données projet'!$B$114,BY61+BX62-CG61)))</f>
        <v>377.3</v>
      </c>
      <c r="BZ62" s="14">
        <f>BY62*VLOOKUP('Données projet'!$B$12,Paramètres!$A$1:$I$89,3,0)*VLOOKUP('Données projet'!$B$12,Paramètres!$A$1:$I$89,5,0)</f>
        <v>225.62540000000004</v>
      </c>
      <c r="CA62" s="14">
        <f t="shared" si="39"/>
        <v>55.335736179321074</v>
      </c>
      <c r="CB62" s="22">
        <f t="shared" si="10"/>
        <v>489.34064551231751</v>
      </c>
      <c r="CC62" s="62">
        <f t="shared" si="11"/>
        <v>782.67397884565082</v>
      </c>
      <c r="CD62" s="62">
        <f ca="1">AVERAGE(OFFSET($CC$3,0,0,'Données projet'!$E$12+1,1))-AVERAGE(OFFSET($H$3,0,0,'Données projet'!$E$12+1,1))</f>
        <v>222.32495275055498</v>
      </c>
      <c r="CE62" s="62">
        <f t="shared" si="40"/>
        <v>156.39259018918381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0.41372069831898095</v>
      </c>
      <c r="CM62" s="23">
        <f>EXP(-LN(2)/2)*CM61+(1-EXP(-LN(2)/2))/(LN(2)/2)*CG62*CJ62*VLOOKUP('Données projet'!$B$12,Paramètres!$A$1:$I$89,3,0)*0.475*44/12</f>
        <v>4.5887324599927623E-4</v>
      </c>
      <c r="CN62" s="24">
        <f t="shared" si="12"/>
        <v>0.41417957156498025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48.671999999999976</v>
      </c>
      <c r="D63" s="12">
        <f t="shared" si="32"/>
        <v>14.270262409972053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485.87009579627534</v>
      </c>
      <c r="H63" s="70">
        <f t="shared" si="1"/>
        <v>366.29110703070131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469</v>
      </c>
      <c r="L63" s="13">
        <f>VLOOKUP(A63,'Données projet'!$A$35:$I$55,9,0)</f>
        <v>19.833333333333332</v>
      </c>
      <c r="M63" s="13">
        <f t="array" ref="M63">INDEX(L:L,MIN(IF(ISNUMBER(L63:L259),ROW(L63:L259),"")))</f>
        <v>19.833333333333332</v>
      </c>
      <c r="N63" s="14">
        <f>IF('Données projet'!$A$36&gt;35,N62+M63-V62,IF(A63&lt;'Données projet'!$A$36,$K$205^A63,IF(A63='Données projet'!$A$36,'Données projet'!$B$36,N62+M63-V62)))</f>
        <v>468.9999999999996</v>
      </c>
      <c r="O63" s="14">
        <f>N63*VLOOKUP('Données projet'!$B$9,Paramètres!$A$1:$I$89,3,0)*VLOOKUP('Données projet'!$B$9,Paramètres!$A$1:$I$89,5,0)</f>
        <v>219.49199999999982</v>
      </c>
      <c r="P63" s="14">
        <f t="shared" si="33"/>
        <v>54.004459579686618</v>
      </c>
      <c r="Q63" s="22">
        <f t="shared" si="53"/>
        <v>476.3396671012872</v>
      </c>
      <c r="R63" s="62">
        <f t="shared" si="0"/>
        <v>769.67300043462046</v>
      </c>
      <c r="S63" s="62">
        <f ca="1">AVERAGE(OFFSET($R$3,0,0,'Données projet'!$E$9+1,1))-AVERAGE(OFFSET($H$3,0,0,'Données projet'!$E$9+1,1))</f>
        <v>273.21086764807194</v>
      </c>
      <c r="T63" s="62">
        <f t="shared" si="34"/>
        <v>259.3474218586631</v>
      </c>
      <c r="U63" s="16">
        <f>IF(ISNA(VLOOKUP(A63,'Données projet'!$A$35:$I$55,3,0)),0,VLOOKUP(A63,'Données projet'!$A$35:$I$55,3,0))</f>
        <v>4</v>
      </c>
      <c r="V63" s="16">
        <f>IF(ISNA(VLOOKUP(A63,'Données projet'!$A$35:$I$55,4,0)),0,VLOOKUP(A63,'Données projet'!$A$35:$I$55,4,0))</f>
        <v>84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140</v>
      </c>
      <c r="AG63" s="13">
        <f>VLOOKUP(A63,'Données projet'!$A$61:$I$81,9,0)</f>
        <v>3</v>
      </c>
      <c r="AH63" s="13">
        <f t="array" ref="AH63">INDEX(AG:AG,MIN(IF(ISNUMBER(AG63:AG259),ROW(AG63:AG259),"")))</f>
        <v>3</v>
      </c>
      <c r="AI63" s="14">
        <f>IF('Données projet'!$A$62&gt;35,AI62+AH63-AQ62,IF(A63&lt;'Données projet'!$A$62,$AF$205^A63,IF(A63='Données projet'!$A$62,'Données projet'!$B$62,AI62+AH63-AQ62)))</f>
        <v>139.99999999999994</v>
      </c>
      <c r="AJ63" s="14">
        <f>AI63*VLOOKUP('Données projet'!$B$10,Paramètres!$A$1:$I$89,3,0)*VLOOKUP('Données projet'!$B$10,Paramètres!$A$1:$I$89,5,0)</f>
        <v>122.30399999999997</v>
      </c>
      <c r="AK63" s="14">
        <f t="shared" si="35"/>
        <v>32.211773226559373</v>
      </c>
      <c r="AL63" s="22">
        <f t="shared" si="4"/>
        <v>269.11497170292421</v>
      </c>
      <c r="AM63" s="62">
        <f t="shared" si="5"/>
        <v>562.44830503625758</v>
      </c>
      <c r="AN63" s="62">
        <f ca="1">AVERAGE(OFFSET($AM$3,0,0,'Données projet'!$E$10+1,1))-AVERAGE(OFFSET($H$3,0,0,'Données projet'!$E$10+1,1))</f>
        <v>121.79484266530449</v>
      </c>
      <c r="AO63" s="62">
        <f t="shared" si="36"/>
        <v>129.14577359424788</v>
      </c>
      <c r="AP63" s="16">
        <f>IF(ISNA(VLOOKUP(A63,'Données projet'!$A$61:$I$81,3,0)),0,VLOOKUP(A63,'Données projet'!$A$61:$I$81,3,0))</f>
        <v>9</v>
      </c>
      <c r="AQ63" s="16">
        <f>IF(ISNA(VLOOKUP(A63,'Données projet'!$A$61:$I$81,4,0)),0,VLOOKUP(A63,'Données projet'!$A$61:$I$81,4,0))</f>
        <v>7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1.2427228374540769</v>
      </c>
      <c r="AW63" s="23">
        <f>EXP(-LN(2)/2)*AW62+(1-EXP(-LN(2)/2))/(LN(2)/2)*AQ63*AT63*VLOOKUP('Données projet'!$B$10,Paramètres!$A$1:$I$89,3,0)*0.475*44/12</f>
        <v>1.0920039288793863E-4</v>
      </c>
      <c r="AX63" s="23">
        <f t="shared" si="6"/>
        <v>1.2428320378469648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149</v>
      </c>
      <c r="BB63" s="13">
        <f>VLOOKUP(A63,'Données projet'!$A$87:$I$107,9,0)</f>
        <v>5.6</v>
      </c>
      <c r="BC63" s="13">
        <f t="array" ref="BC63">INDEX(BB:BB,MIN(IF(ISNUMBER(BB63:BB259),ROW(BB63:BB259),"")))</f>
        <v>5.6</v>
      </c>
      <c r="BD63" s="13">
        <f>IF('Données projet'!$A$88&gt;35,BD62+BC63-BL62,IF(A63&lt;'Données projet'!$A$88,$BA$205^A63,IF(A63='Données projet'!$A$88,'Données projet'!$B$88,BD62+BC63-BL62)))</f>
        <v>148.99999999999991</v>
      </c>
      <c r="BE63" s="14">
        <f>BD63*VLOOKUP('Données projet'!$B$11,Paramètres!$A$1:$I$89,3,0)*VLOOKUP('Données projet'!$B$11,Paramètres!$A$1:$I$89,5,0)</f>
        <v>151.08599999999993</v>
      </c>
      <c r="BF63" s="14">
        <f t="shared" si="37"/>
        <v>38.825279304404233</v>
      </c>
      <c r="BG63" s="22">
        <f t="shared" si="7"/>
        <v>330.76214478850392</v>
      </c>
      <c r="BH63" s="62">
        <f t="shared" si="8"/>
        <v>624.09547812183723</v>
      </c>
      <c r="BI63" s="62">
        <f ca="1">AVERAGE(OFFSET($BH$3,0,0,'Données projet'!$E$11+1,1))-AVERAGE(OFFSET($H$3,0,0,'Données projet'!$E$11+1,1))</f>
        <v>201.65575435598231</v>
      </c>
      <c r="BJ63" s="62">
        <f t="shared" si="38"/>
        <v>103.75701796419935</v>
      </c>
      <c r="BK63" s="16">
        <f>IF(ISNA(VLOOKUP(A63,'Données projet'!$A$87:$I$107,3,0)),0,VLOOKUP(A63,'Données projet'!$A$87:$I$107,3,0))</f>
        <v>8</v>
      </c>
      <c r="BL63" s="16">
        <f>IF(ISNA(VLOOKUP(A63,'Données projet'!$A$87:$I$107,4,0)),0,VLOOKUP(A63,'Données projet'!$A$87:$I$107,4,0))</f>
        <v>14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393</v>
      </c>
      <c r="BW63" s="13">
        <f>VLOOKUP(A63,'Données projet'!$A$113:$I$133,9,0)</f>
        <v>15.7</v>
      </c>
      <c r="BX63" s="13">
        <f t="array" ref="BX63">INDEX(BW:BW,MIN(IF(ISNUMBER(BW63:BW259),ROW(BW63:BW259),"")))</f>
        <v>15.7</v>
      </c>
      <c r="BY63" s="13">
        <f>IF('Données projet'!$A$114&gt;35,BY62+BX63-CG62,IF(A63&lt;'Données projet'!$A$114,$BV$205^A63,IF(A63='Données projet'!$A$114,'Données projet'!$B$114,BY62+BX63-CG62)))</f>
        <v>393</v>
      </c>
      <c r="BZ63" s="14">
        <f>BY63*VLOOKUP('Données projet'!$B$12,Paramètres!$A$1:$I$89,3,0)*VLOOKUP('Données projet'!$B$12,Paramètres!$A$1:$I$89,5,0)</f>
        <v>235.01400000000001</v>
      </c>
      <c r="CA63" s="14">
        <f t="shared" si="39"/>
        <v>57.365461071820548</v>
      </c>
      <c r="CB63" s="22">
        <f t="shared" si="10"/>
        <v>509.22756136675412</v>
      </c>
      <c r="CC63" s="62">
        <f t="shared" si="11"/>
        <v>802.56089470008737</v>
      </c>
      <c r="CD63" s="62">
        <f ca="1">AVERAGE(OFFSET($CC$3,0,0,'Données projet'!$E$12+1,1))-AVERAGE(OFFSET($H$3,0,0,'Données projet'!$E$12+1,1))</f>
        <v>222.32495275055498</v>
      </c>
      <c r="CE63" s="62">
        <f t="shared" si="40"/>
        <v>156.39259018918381</v>
      </c>
      <c r="CF63" s="16">
        <f>IF(ISNA(VLOOKUP(A63,'Données projet'!$A$113:$I$133,3,0)),0,VLOOKUP(A63,'Données projet'!$A$113:$I$133,3,0))</f>
        <v>6</v>
      </c>
      <c r="CG63" s="16">
        <f>IF(ISNA(VLOOKUP(A63,'Données projet'!$A$113:$I$133,4,0)),0,VLOOKUP(A63,'Données projet'!$A$113:$I$133,4,0))</f>
        <v>88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0.40240748406682247</v>
      </c>
      <c r="CM63" s="23">
        <f>EXP(-LN(2)/2)*CM62+(1-EXP(-LN(2)/2))/(LN(2)/2)*CG63*CJ63*VLOOKUP('Données projet'!$B$12,Paramètres!$A$1:$I$89,3,0)*0.475*44/12</f>
        <v>3.2447238395117101E-4</v>
      </c>
      <c r="CN63" s="24">
        <f t="shared" si="12"/>
        <v>0.40273195645077364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49.483199999999975</v>
      </c>
      <c r="D64" s="12">
        <f t="shared" si="32"/>
        <v>14.480213212214631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493.7526633925338</v>
      </c>
      <c r="H64" s="70">
        <f t="shared" si="1"/>
        <v>368.0696113446071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19.166666666666668</v>
      </c>
      <c r="N64" s="14">
        <f>IF('Données projet'!$A$36&gt;35,N63+M64-V63,IF(A64&lt;'Données projet'!$A$36,$K$205^A64,IF(A64='Données projet'!$A$36,'Données projet'!$B$36,N63+M64-V63)))</f>
        <v>404.16666666666629</v>
      </c>
      <c r="O64" s="14">
        <f>N64*VLOOKUP('Données projet'!$B$9,Paramètres!$A$1:$I$89,3,0)*VLOOKUP('Données projet'!$B$9,Paramètres!$A$1:$I$89,5,0)</f>
        <v>189.14999999999984</v>
      </c>
      <c r="P64" s="14">
        <f t="shared" si="33"/>
        <v>47.351980908861918</v>
      </c>
      <c r="Q64" s="22">
        <f t="shared" si="53"/>
        <v>411.90761674960089</v>
      </c>
      <c r="R64" s="62">
        <f t="shared" si="0"/>
        <v>705.24095008293421</v>
      </c>
      <c r="S64" s="62">
        <f ca="1">AVERAGE(OFFSET($R$3,0,0,'Données projet'!$E$9+1,1))-AVERAGE(OFFSET($H$3,0,0,'Données projet'!$E$9+1,1))</f>
        <v>273.21086764807194</v>
      </c>
      <c r="T64" s="62">
        <f t="shared" si="34"/>
        <v>259.3474218586631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2.6</v>
      </c>
      <c r="AI64" s="14">
        <f>IF('Données projet'!$A$62&gt;35,AI63+AH64-AQ63,IF(A64&lt;'Données projet'!$A$62,$AF$205^A64,IF(A64='Données projet'!$A$62,'Données projet'!$B$62,AI63+AH64-AQ63)))</f>
        <v>135.59999999999994</v>
      </c>
      <c r="AJ64" s="14">
        <f>AI64*VLOOKUP('Données projet'!$B$10,Paramètres!$A$1:$I$89,3,0)*VLOOKUP('Données projet'!$B$10,Paramètres!$A$1:$I$89,5,0)</f>
        <v>118.46015999999997</v>
      </c>
      <c r="AK64" s="14">
        <f t="shared" si="35"/>
        <v>31.315587396029674</v>
      </c>
      <c r="AL64" s="22">
        <f t="shared" si="4"/>
        <v>260.85942671475163</v>
      </c>
      <c r="AM64" s="62">
        <f t="shared" si="5"/>
        <v>554.19276004808489</v>
      </c>
      <c r="AN64" s="62">
        <f ca="1">AVERAGE(OFFSET($AM$3,0,0,'Données projet'!$E$10+1,1))-AVERAGE(OFFSET($H$3,0,0,'Données projet'!$E$10+1,1))</f>
        <v>121.79484266530449</v>
      </c>
      <c r="AO64" s="62">
        <f t="shared" si="36"/>
        <v>129.14577359424788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1.2087405161119413</v>
      </c>
      <c r="AW64" s="23">
        <f>EXP(-LN(2)/2)*AW63+(1-EXP(-LN(2)/2))/(LN(2)/2)*AQ64*AT64*VLOOKUP('Données projet'!$B$10,Paramètres!$A$1:$I$89,3,0)*0.475*44/12</f>
        <v>7.7216338319296637E-5</v>
      </c>
      <c r="AX64" s="23">
        <f t="shared" si="6"/>
        <v>1.2088177324502607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5.2</v>
      </c>
      <c r="BD64" s="13">
        <f>IF('Données projet'!$A$88&gt;35,BD63+BC64-BL63,IF(A64&lt;'Données projet'!$A$88,$BA$205^A64,IF(A64='Données projet'!$A$88,'Données projet'!$B$88,BD63+BC64-BL63)))</f>
        <v>140.1999999999999</v>
      </c>
      <c r="BE64" s="14">
        <f>BD64*VLOOKUP('Données projet'!$B$11,Paramètres!$A$1:$I$89,3,0)*VLOOKUP('Données projet'!$B$11,Paramètres!$A$1:$I$89,5,0)</f>
        <v>142.16279999999992</v>
      </c>
      <c r="BF64" s="14">
        <f t="shared" si="37"/>
        <v>36.792029666383577</v>
      </c>
      <c r="BG64" s="22">
        <f t="shared" si="7"/>
        <v>311.67966166895121</v>
      </c>
      <c r="BH64" s="62">
        <f t="shared" si="8"/>
        <v>605.01299500228447</v>
      </c>
      <c r="BI64" s="62">
        <f ca="1">AVERAGE(OFFSET($BH$3,0,0,'Données projet'!$E$11+1,1))-AVERAGE(OFFSET($H$3,0,0,'Données projet'!$E$11+1,1))</f>
        <v>201.65575435598231</v>
      </c>
      <c r="BJ64" s="62">
        <f t="shared" si="38"/>
        <v>103.75701796419935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14.3</v>
      </c>
      <c r="BY64" s="13">
        <f>IF('Données projet'!$A$114&gt;35,BY63+BX64-CG63,IF(A64&lt;'Données projet'!$A$114,$BV$205^A64,IF(A64='Données projet'!$A$114,'Données projet'!$B$114,BY63+BX64-CG63)))</f>
        <v>319.3</v>
      </c>
      <c r="BZ64" s="14">
        <f>BY64*VLOOKUP('Données projet'!$B$12,Paramètres!$A$1:$I$89,3,0)*VLOOKUP('Données projet'!$B$12,Paramètres!$A$1:$I$89,5,0)</f>
        <v>190.94140000000002</v>
      </c>
      <c r="CA64" s="14">
        <f t="shared" si="39"/>
        <v>47.748023117802013</v>
      </c>
      <c r="CB64" s="22">
        <f t="shared" si="10"/>
        <v>415.71741193017186</v>
      </c>
      <c r="CC64" s="62">
        <f t="shared" si="11"/>
        <v>709.05074526350518</v>
      </c>
      <c r="CD64" s="62">
        <f ca="1">AVERAGE(OFFSET($CC$3,0,0,'Données projet'!$E$12+1,1))-AVERAGE(OFFSET($H$3,0,0,'Données projet'!$E$12+1,1))</f>
        <v>222.32495275055498</v>
      </c>
      <c r="CE64" s="62">
        <f t="shared" si="40"/>
        <v>156.39259018918381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0.39140363025332536</v>
      </c>
      <c r="CM64" s="23">
        <f>EXP(-LN(2)/2)*CM63+(1-EXP(-LN(2)/2))/(LN(2)/2)*CG64*CJ64*VLOOKUP('Données projet'!$B$12,Paramètres!$A$1:$I$89,3,0)*0.475*44/12</f>
        <v>2.2943662299963811E-4</v>
      </c>
      <c r="CN64" s="24">
        <f t="shared" si="12"/>
        <v>0.39163306687632499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50.294399999999975</v>
      </c>
      <c r="D65" s="12">
        <f t="shared" si="32"/>
        <v>14.689763750064966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501.63214122857147</v>
      </c>
      <c r="H65" s="70">
        <f t="shared" si="1"/>
        <v>369.84741853136313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19.166666666666668</v>
      </c>
      <c r="N65" s="14">
        <f>IF('Données projet'!$A$36&gt;35,N64+M65-V64,IF(A65&lt;'Données projet'!$A$36,$K$205^A65,IF(A65='Données projet'!$A$36,'Données projet'!$B$36,N64+M65-V64)))</f>
        <v>423.33333333333297</v>
      </c>
      <c r="O65" s="14">
        <f>N65*VLOOKUP('Données projet'!$B$9,Paramètres!$A$1:$I$89,3,0)*VLOOKUP('Données projet'!$B$9,Paramètres!$A$1:$I$89,5,0)</f>
        <v>198.11999999999983</v>
      </c>
      <c r="P65" s="14">
        <f t="shared" si="33"/>
        <v>49.330773797227167</v>
      </c>
      <c r="Q65" s="22">
        <f t="shared" si="53"/>
        <v>430.97676436350366</v>
      </c>
      <c r="R65" s="62">
        <f t="shared" si="0"/>
        <v>724.31009769683692</v>
      </c>
      <c r="S65" s="62">
        <f ca="1">AVERAGE(OFFSET($R$3,0,0,'Données projet'!$E$9+1,1))-AVERAGE(OFFSET($H$3,0,0,'Données projet'!$E$9+1,1))</f>
        <v>273.21086764807194</v>
      </c>
      <c r="T65" s="62">
        <f t="shared" si="34"/>
        <v>259.3474218586631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2.6</v>
      </c>
      <c r="AI65" s="14">
        <f>IF('Données projet'!$A$62&gt;35,AI64+AH65-AQ64,IF(A65&lt;'Données projet'!$A$62,$AF$205^A65,IF(A65='Données projet'!$A$62,'Données projet'!$B$62,AI64+AH65-AQ64)))</f>
        <v>138.19999999999993</v>
      </c>
      <c r="AJ65" s="14">
        <f>AI65*VLOOKUP('Données projet'!$B$10,Paramètres!$A$1:$I$89,3,0)*VLOOKUP('Données projet'!$B$10,Paramètres!$A$1:$I$89,5,0)</f>
        <v>120.73151999999995</v>
      </c>
      <c r="AK65" s="14">
        <f t="shared" si="35"/>
        <v>31.845553926050336</v>
      </c>
      <c r="AL65" s="22">
        <f t="shared" si="4"/>
        <v>265.73840375453756</v>
      </c>
      <c r="AM65" s="62">
        <f t="shared" si="5"/>
        <v>559.07173708787082</v>
      </c>
      <c r="AN65" s="62">
        <f ca="1">AVERAGE(OFFSET($AM$3,0,0,'Données projet'!$E$10+1,1))-AVERAGE(OFFSET($H$3,0,0,'Données projet'!$E$10+1,1))</f>
        <v>121.79484266530449</v>
      </c>
      <c r="AO65" s="62">
        <f t="shared" si="36"/>
        <v>129.14577359424788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1.1756874431339592</v>
      </c>
      <c r="AW65" s="23">
        <f>EXP(-LN(2)/2)*AW64+(1-EXP(-LN(2)/2))/(LN(2)/2)*AQ65*AT65*VLOOKUP('Données projet'!$B$10,Paramètres!$A$1:$I$89,3,0)*0.475*44/12</f>
        <v>5.4600196443969313E-5</v>
      </c>
      <c r="AX65" s="23">
        <f t="shared" si="6"/>
        <v>1.1757420433304031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5.2</v>
      </c>
      <c r="BD65" s="13">
        <f>IF('Données projet'!$A$88&gt;35,BD64+BC65-BL64,IF(A65&lt;'Données projet'!$A$88,$BA$205^A65,IF(A65='Données projet'!$A$88,'Données projet'!$B$88,BD64+BC65-BL64)))</f>
        <v>145.39999999999989</v>
      </c>
      <c r="BE65" s="14">
        <f>BD65*VLOOKUP('Données projet'!$B$11,Paramètres!$A$1:$I$89,3,0)*VLOOKUP('Données projet'!$B$11,Paramètres!$A$1:$I$89,5,0)</f>
        <v>147.43559999999991</v>
      </c>
      <c r="BF65" s="14">
        <f t="shared" si="37"/>
        <v>37.995232948340991</v>
      </c>
      <c r="BG65" s="22">
        <f t="shared" si="7"/>
        <v>322.95870071836038</v>
      </c>
      <c r="BH65" s="62">
        <f t="shared" si="8"/>
        <v>616.29203405169369</v>
      </c>
      <c r="BI65" s="62">
        <f ca="1">AVERAGE(OFFSET($BH$3,0,0,'Données projet'!$E$11+1,1))-AVERAGE(OFFSET($H$3,0,0,'Données projet'!$E$11+1,1))</f>
        <v>201.65575435598231</v>
      </c>
      <c r="BJ65" s="62">
        <f t="shared" si="38"/>
        <v>103.75701796419935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14.3</v>
      </c>
      <c r="BY65" s="13">
        <f>IF('Données projet'!$A$114&gt;35,BY64+BX65-CG64,IF(A65&lt;'Données projet'!$A$114,$BV$205^A65,IF(A65='Données projet'!$A$114,'Données projet'!$B$114,BY64+BX65-CG64)))</f>
        <v>333.6</v>
      </c>
      <c r="BZ65" s="14">
        <f>BY65*VLOOKUP('Données projet'!$B$12,Paramètres!$A$1:$I$89,3,0)*VLOOKUP('Données projet'!$B$12,Paramètres!$A$1:$I$89,5,0)</f>
        <v>199.49280000000002</v>
      </c>
      <c r="CA65" s="14">
        <f t="shared" si="39"/>
        <v>49.632684049228061</v>
      </c>
      <c r="CB65" s="22">
        <f t="shared" si="10"/>
        <v>433.89355138573887</v>
      </c>
      <c r="CC65" s="62">
        <f t="shared" si="11"/>
        <v>727.22688471907213</v>
      </c>
      <c r="CD65" s="62">
        <f ca="1">AVERAGE(OFFSET($CC$3,0,0,'Données projet'!$E$12+1,1))-AVERAGE(OFFSET($H$3,0,0,'Données projet'!$E$12+1,1))</f>
        <v>222.32495275055498</v>
      </c>
      <c r="CE65" s="62">
        <f t="shared" si="40"/>
        <v>156.39259018918381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0.38070067740102581</v>
      </c>
      <c r="CM65" s="23">
        <f>EXP(-LN(2)/2)*CM64+(1-EXP(-LN(2)/2))/(LN(2)/2)*CG65*CJ65*VLOOKUP('Données projet'!$B$12,Paramètres!$A$1:$I$89,3,0)*0.475*44/12</f>
        <v>1.622361919755855E-4</v>
      </c>
      <c r="CN65" s="24">
        <f t="shared" si="12"/>
        <v>0.3808629135930014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51.105599999999974</v>
      </c>
      <c r="D66" s="12">
        <f t="shared" si="32"/>
        <v>14.898921224732128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509.50858489266881</v>
      </c>
      <c r="H66" s="70">
        <f t="shared" si="1"/>
        <v>371.62454113307507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19.166666666666668</v>
      </c>
      <c r="N66" s="14">
        <f>IF('Données projet'!$A$36&gt;35,N65+M66-V65,IF(A66&lt;'Données projet'!$A$36,$K$205^A66,IF(A66='Données projet'!$A$36,'Données projet'!$B$36,N65+M66-V65)))</f>
        <v>442.49999999999966</v>
      </c>
      <c r="O66" s="14">
        <f>N66*VLOOKUP('Données projet'!$B$9,Paramètres!$A$1:$I$89,3,0)*VLOOKUP('Données projet'!$B$9,Paramètres!$A$1:$I$89,5,0)</f>
        <v>207.08999999999983</v>
      </c>
      <c r="P66" s="14">
        <f t="shared" si="33"/>
        <v>51.299161968697469</v>
      </c>
      <c r="Q66" s="22">
        <f t="shared" si="53"/>
        <v>450.0277904288144</v>
      </c>
      <c r="R66" s="62">
        <f t="shared" si="0"/>
        <v>743.36112376214771</v>
      </c>
      <c r="S66" s="62">
        <f ca="1">AVERAGE(OFFSET($R$3,0,0,'Données projet'!$E$9+1,1))-AVERAGE(OFFSET($H$3,0,0,'Données projet'!$E$9+1,1))</f>
        <v>273.21086764807194</v>
      </c>
      <c r="T66" s="62">
        <f t="shared" si="34"/>
        <v>259.3474218586631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2.6</v>
      </c>
      <c r="AI66" s="14">
        <f>IF('Données projet'!$A$62&gt;35,AI65+AH66-AQ65,IF(A66&lt;'Données projet'!$A$62,$AF$205^A66,IF(A66='Données projet'!$A$62,'Données projet'!$B$62,AI65+AH66-AQ65)))</f>
        <v>140.79999999999993</v>
      </c>
      <c r="AJ66" s="14">
        <f>AI66*VLOOKUP('Données projet'!$B$10,Paramètres!$A$1:$I$89,3,0)*VLOOKUP('Données projet'!$B$10,Paramètres!$A$1:$I$89,5,0)</f>
        <v>123.00287999999996</v>
      </c>
      <c r="AK66" s="14">
        <f t="shared" si="35"/>
        <v>32.374361095906167</v>
      </c>
      <c r="AL66" s="22">
        <f t="shared" si="4"/>
        <v>270.61536157536983</v>
      </c>
      <c r="AM66" s="62">
        <f t="shared" si="5"/>
        <v>563.94869490870315</v>
      </c>
      <c r="AN66" s="62">
        <f ca="1">AVERAGE(OFFSET($AM$3,0,0,'Données projet'!$E$10+1,1))-AVERAGE(OFFSET($H$3,0,0,'Données projet'!$E$10+1,1))</f>
        <v>121.79484266530449</v>
      </c>
      <c r="AO66" s="62">
        <f t="shared" si="36"/>
        <v>129.14577359424788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1.1435382081747456</v>
      </c>
      <c r="AW66" s="23">
        <f>EXP(-LN(2)/2)*AW65+(1-EXP(-LN(2)/2))/(LN(2)/2)*AQ66*AT66*VLOOKUP('Données projet'!$B$10,Paramètres!$A$1:$I$89,3,0)*0.475*44/12</f>
        <v>3.8608169159648319E-5</v>
      </c>
      <c r="AX66" s="23">
        <f t="shared" si="6"/>
        <v>1.1435768163439053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5.2</v>
      </c>
      <c r="BD66" s="13">
        <f>IF('Données projet'!$A$88&gt;35,BD65+BC66-BL65,IF(A66&lt;'Données projet'!$A$88,$BA$205^A66,IF(A66='Données projet'!$A$88,'Données projet'!$B$88,BD65+BC66-BL65)))</f>
        <v>150.59999999999988</v>
      </c>
      <c r="BE66" s="14">
        <f>BD66*VLOOKUP('Données projet'!$B$11,Paramètres!$A$1:$I$89,3,0)*VLOOKUP('Données projet'!$B$11,Paramètres!$A$1:$I$89,5,0)</f>
        <v>152.7083999999999</v>
      </c>
      <c r="BF66" s="14">
        <f t="shared" si="37"/>
        <v>39.193436747373994</v>
      </c>
      <c r="BG66" s="22">
        <f t="shared" si="7"/>
        <v>334.22903233500955</v>
      </c>
      <c r="BH66" s="62">
        <f t="shared" si="8"/>
        <v>627.56236566834286</v>
      </c>
      <c r="BI66" s="62">
        <f ca="1">AVERAGE(OFFSET($BH$3,0,0,'Données projet'!$E$11+1,1))-AVERAGE(OFFSET($H$3,0,0,'Données projet'!$E$11+1,1))</f>
        <v>201.65575435598231</v>
      </c>
      <c r="BJ66" s="62">
        <f t="shared" si="38"/>
        <v>103.75701796419935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14.3</v>
      </c>
      <c r="BY66" s="13">
        <f>IF('Données projet'!$A$114&gt;35,BY65+BX66-CG65,IF(A66&lt;'Données projet'!$A$114,$BV$205^A66,IF(A66='Données projet'!$A$114,'Données projet'!$B$114,BY65+BX66-CG65)))</f>
        <v>347.90000000000003</v>
      </c>
      <c r="BZ66" s="14">
        <f>BY66*VLOOKUP('Données projet'!$B$12,Paramètres!$A$1:$I$89,3,0)*VLOOKUP('Données projet'!$B$12,Paramètres!$A$1:$I$89,5,0)</f>
        <v>208.04420000000005</v>
      </c>
      <c r="CA66" s="14">
        <f t="shared" si="39"/>
        <v>51.507961722634242</v>
      </c>
      <c r="CB66" s="22">
        <f t="shared" si="10"/>
        <v>452.05334833358802</v>
      </c>
      <c r="CC66" s="62">
        <f t="shared" si="11"/>
        <v>745.38668166692128</v>
      </c>
      <c r="CD66" s="62">
        <f ca="1">AVERAGE(OFFSET($CC$3,0,0,'Données projet'!$E$12+1,1))-AVERAGE(OFFSET($H$3,0,0,'Données projet'!$E$12+1,1))</f>
        <v>222.32495275055498</v>
      </c>
      <c r="CE66" s="62">
        <f t="shared" si="40"/>
        <v>156.39259018918381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0.37029039735731623</v>
      </c>
      <c r="CM66" s="23">
        <f>EXP(-LN(2)/2)*CM65+(1-EXP(-LN(2)/2))/(LN(2)/2)*CG66*CJ66*VLOOKUP('Données projet'!$B$12,Paramètres!$A$1:$I$89,3,0)*0.475*44/12</f>
        <v>1.1471831149981906E-4</v>
      </c>
      <c r="CN66" s="24">
        <f t="shared" si="12"/>
        <v>0.37040511566881607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51.916799999999974</v>
      </c>
      <c r="D67" s="12">
        <f t="shared" si="32"/>
        <v>15.107692595703268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517.38204810718298</v>
      </c>
      <c r="H67" s="70">
        <f t="shared" si="1"/>
        <v>373.40099127084983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19.166666666666668</v>
      </c>
      <c r="N67" s="14">
        <f>IF('Données projet'!$A$36&gt;35,N66+M67-V66,IF(A67&lt;'Données projet'!$A$36,$K$205^A67,IF(A67='Données projet'!$A$36,'Données projet'!$B$36,N66+M67-V66)))</f>
        <v>461.66666666666634</v>
      </c>
      <c r="O67" s="14">
        <f>N67*VLOOKUP('Données projet'!$B$9,Paramètres!$A$1:$I$89,3,0)*VLOOKUP('Données projet'!$B$9,Paramètres!$A$1:$I$89,5,0)</f>
        <v>216.05999999999983</v>
      </c>
      <c r="P67" s="14">
        <f t="shared" si="33"/>
        <v>53.25764761128822</v>
      </c>
      <c r="Q67" s="22">
        <f t="shared" ref="Q67:Q98" si="54">(O67+P67)*0.475*44/12</f>
        <v>469.06156958966</v>
      </c>
      <c r="R67" s="62">
        <f t="shared" ref="R67:R130" si="55">Q67+(I67+J67)*44/12</f>
        <v>762.39490292299331</v>
      </c>
      <c r="S67" s="62">
        <f ca="1">AVERAGE(OFFSET($R$3,0,0,'Données projet'!$E$9+1,1))-AVERAGE(OFFSET($H$3,0,0,'Données projet'!$E$9+1,1))</f>
        <v>273.21086764807194</v>
      </c>
      <c r="T67" s="62">
        <f t="shared" si="34"/>
        <v>259.3474218586631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2.6</v>
      </c>
      <c r="AI67" s="14">
        <f>IF('Données projet'!$A$62&gt;35,AI66+AH67-AQ66,IF(A67&lt;'Données projet'!$A$62,$AF$205^A67,IF(A67='Données projet'!$A$62,'Données projet'!$B$62,AI66+AH67-AQ66)))</f>
        <v>143.39999999999992</v>
      </c>
      <c r="AJ67" s="14">
        <f>AI67*VLOOKUP('Données projet'!$B$10,Paramètres!$A$1:$I$89,3,0)*VLOOKUP('Données projet'!$B$10,Paramètres!$A$1:$I$89,5,0)</f>
        <v>125.27423999999993</v>
      </c>
      <c r="AK67" s="14">
        <f t="shared" si="35"/>
        <v>32.902032783270968</v>
      </c>
      <c r="AL67" s="22">
        <f t="shared" si="4"/>
        <v>275.49034176419684</v>
      </c>
      <c r="AM67" s="62">
        <f t="shared" si="5"/>
        <v>568.82367509753021</v>
      </c>
      <c r="AN67" s="62">
        <f ca="1">AVERAGE(OFFSET($AM$3,0,0,'Données projet'!$E$10+1,1))-AVERAGE(OFFSET($H$3,0,0,'Données projet'!$E$10+1,1))</f>
        <v>121.79484266530449</v>
      </c>
      <c r="AO67" s="62">
        <f t="shared" si="36"/>
        <v>129.14577359424788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1.1122680957361464</v>
      </c>
      <c r="AW67" s="23">
        <f>EXP(-LN(2)/2)*AW66+(1-EXP(-LN(2)/2))/(LN(2)/2)*AQ67*AT67*VLOOKUP('Données projet'!$B$10,Paramètres!$A$1:$I$89,3,0)*0.475*44/12</f>
        <v>2.7300098221984656E-5</v>
      </c>
      <c r="AX67" s="23">
        <f t="shared" si="6"/>
        <v>1.1122953958343684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5.2</v>
      </c>
      <c r="BD67" s="13">
        <f>IF('Données projet'!$A$88&gt;35,BD66+BC67-BL66,IF(A67&lt;'Données projet'!$A$88,$BA$205^A67,IF(A67='Données projet'!$A$88,'Données projet'!$B$88,BD66+BC67-BL66)))</f>
        <v>155.79999999999987</v>
      </c>
      <c r="BE67" s="14">
        <f>BD67*VLOOKUP('Données projet'!$B$11,Paramètres!$A$1:$I$89,3,0)*VLOOKUP('Données projet'!$B$11,Paramètres!$A$1:$I$89,5,0)</f>
        <v>157.98119999999989</v>
      </c>
      <c r="BF67" s="14">
        <f t="shared" si="37"/>
        <v>40.386833472870542</v>
      </c>
      <c r="BG67" s="22">
        <f t="shared" si="7"/>
        <v>345.49099163191596</v>
      </c>
      <c r="BH67" s="62">
        <f t="shared" si="8"/>
        <v>638.82432496524928</v>
      </c>
      <c r="BI67" s="62">
        <f ca="1">AVERAGE(OFFSET($BH$3,0,0,'Données projet'!$E$11+1,1))-AVERAGE(OFFSET($H$3,0,0,'Données projet'!$E$11+1,1))</f>
        <v>201.65575435598231</v>
      </c>
      <c r="BJ67" s="62">
        <f t="shared" si="38"/>
        <v>103.75701796419935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14.3</v>
      </c>
      <c r="BY67" s="13">
        <f>IF('Données projet'!$A$114&gt;35,BY66+BX67-CG66,IF(A67&lt;'Données projet'!$A$114,$BV$205^A67,IF(A67='Données projet'!$A$114,'Données projet'!$B$114,BY66+BX67-CG66)))</f>
        <v>362.20000000000005</v>
      </c>
      <c r="BZ67" s="14">
        <f>BY67*VLOOKUP('Données projet'!$B$12,Paramètres!$A$1:$I$89,3,0)*VLOOKUP('Données projet'!$B$12,Paramètres!$A$1:$I$89,5,0)</f>
        <v>216.59560000000005</v>
      </c>
      <c r="CA67" s="14">
        <f t="shared" si="39"/>
        <v>53.374285937607603</v>
      </c>
      <c r="CB67" s="22">
        <f t="shared" si="10"/>
        <v>470.19755134133334</v>
      </c>
      <c r="CC67" s="62">
        <f t="shared" si="11"/>
        <v>763.53088467466659</v>
      </c>
      <c r="CD67" s="62">
        <f ca="1">AVERAGE(OFFSET($CC$3,0,0,'Données projet'!$E$12+1,1))-AVERAGE(OFFSET($H$3,0,0,'Données projet'!$E$12+1,1))</f>
        <v>222.32495275055498</v>
      </c>
      <c r="CE67" s="62">
        <f t="shared" si="40"/>
        <v>156.39259018918381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0.36016478696885473</v>
      </c>
      <c r="CM67" s="23">
        <f>EXP(-LN(2)/2)*CM66+(1-EXP(-LN(2)/2))/(LN(2)/2)*CG67*CJ67*VLOOKUP('Données projet'!$B$12,Paramètres!$A$1:$I$89,3,0)*0.475*44/12</f>
        <v>8.1118095987792752E-5</v>
      </c>
      <c r="CN67" s="24">
        <f t="shared" si="12"/>
        <v>0.36024590506484255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52.727999999999973</v>
      </c>
      <c r="D68" s="12">
        <f t="shared" si="32"/>
        <v>15.316084592505272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525.25258281933873</v>
      </c>
      <c r="H68" s="70">
        <f t="shared" ref="H68:H131" si="56">(B68+E68+F68)*44/12+(C68+D68)*0.475*44/12</f>
        <v>375.17678066527998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19.166666666666668</v>
      </c>
      <c r="N68" s="14">
        <f>IF('Données projet'!$A$36&gt;35,N67+M68-V67,IF(A68&lt;'Données projet'!$A$36,$K$205^A68,IF(A68='Données projet'!$A$36,'Données projet'!$B$36,N67+M68-V67)))</f>
        <v>480.83333333333303</v>
      </c>
      <c r="O68" s="14">
        <f>N68*VLOOKUP('Données projet'!$B$9,Paramètres!$A$1:$I$89,3,0)*VLOOKUP('Données projet'!$B$9,Paramètres!$A$1:$I$89,5,0)</f>
        <v>225.02999999999986</v>
      </c>
      <c r="P68" s="14">
        <f t="shared" si="33"/>
        <v>55.206688855897156</v>
      </c>
      <c r="Q68" s="22">
        <f t="shared" si="54"/>
        <v>488.07889975735389</v>
      </c>
      <c r="R68" s="62">
        <f t="shared" si="55"/>
        <v>781.41223309068721</v>
      </c>
      <c r="S68" s="62">
        <f ca="1">AVERAGE(OFFSET($R$3,0,0,'Données projet'!$E$9+1,1))-AVERAGE(OFFSET($H$3,0,0,'Données projet'!$E$9+1,1))</f>
        <v>273.21086764807194</v>
      </c>
      <c r="T68" s="62">
        <f t="shared" si="34"/>
        <v>259.3474218586631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146</v>
      </c>
      <c r="AG68" s="13">
        <f>VLOOKUP(A68,'Données projet'!$A$61:$I$81,9,0)</f>
        <v>2.6</v>
      </c>
      <c r="AH68" s="13">
        <f t="array" ref="AH68">INDEX(AG:AG,MIN(IF(ISNUMBER(AG68:AG264),ROW(AG68:AG264),"")))</f>
        <v>2.6</v>
      </c>
      <c r="AI68" s="14">
        <f>IF('Données projet'!$A$62&gt;35,AI67+AH68-AQ67,IF(A68&lt;'Données projet'!$A$62,$AF$205^A68,IF(A68='Données projet'!$A$62,'Données projet'!$B$62,AI67+AH68-AQ67)))</f>
        <v>145.99999999999991</v>
      </c>
      <c r="AJ68" s="14">
        <f>AI68*VLOOKUP('Données projet'!$B$10,Paramètres!$A$1:$I$89,3,0)*VLOOKUP('Données projet'!$B$10,Paramètres!$A$1:$I$89,5,0)</f>
        <v>127.54559999999995</v>
      </c>
      <c r="AK68" s="14">
        <f t="shared" si="35"/>
        <v>33.428591950384806</v>
      </c>
      <c r="AL68" s="22">
        <f t="shared" ref="AL68:AL131" si="58">(AJ68+AK68)*0.475*44/12</f>
        <v>280.36338431358678</v>
      </c>
      <c r="AM68" s="62">
        <f t="shared" ref="AM68:AM131" si="59">AL68+(AD68+AE68)*44/12</f>
        <v>573.69671764692009</v>
      </c>
      <c r="AN68" s="62">
        <f ca="1">AVERAGE(OFFSET($AM$3,0,0,'Données projet'!$E$10+1,1))-AVERAGE(OFFSET($H$3,0,0,'Données projet'!$E$10+1,1))</f>
        <v>121.79484266530449</v>
      </c>
      <c r="AO68" s="62">
        <f t="shared" si="36"/>
        <v>129.14577359424788</v>
      </c>
      <c r="AP68" s="16">
        <f>IF(ISNA(VLOOKUP(A68,'Données projet'!$A$61:$I$81,3,0)),0,VLOOKUP(A68,'Données projet'!$A$61:$I$81,3,0))</f>
        <v>10</v>
      </c>
      <c r="AQ68" s="16">
        <f>IF(ISNA(VLOOKUP(A68,'Données projet'!$A$61:$I$81,4,0)),0,VLOOKUP(A68,'Données projet'!$A$61:$I$81,4,0))</f>
        <v>6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1.0818530661666044</v>
      </c>
      <c r="AW68" s="23">
        <f>EXP(-LN(2)/2)*AW67+(1-EXP(-LN(2)/2))/(LN(2)/2)*AQ68*AT68*VLOOKUP('Données projet'!$B$10,Paramètres!$A$1:$I$89,3,0)*0.475*44/12</f>
        <v>1.9304084579824159E-5</v>
      </c>
      <c r="AX68" s="23">
        <f t="shared" ref="AX68:AX131" si="60">SUM(AU68:AW68)</f>
        <v>1.0818723702511841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161</v>
      </c>
      <c r="BB68" s="13">
        <f>VLOOKUP(A68,'Données projet'!$A$87:$I$107,9,0)</f>
        <v>5.2</v>
      </c>
      <c r="BC68" s="13">
        <f t="array" ref="BC68">INDEX(BB:BB,MIN(IF(ISNUMBER(BB68:BB264),ROW(BB68:BB264),"")))</f>
        <v>5.2</v>
      </c>
      <c r="BD68" s="13">
        <f>IF('Données projet'!$A$88&gt;35,BD67+BC68-BL67,IF(A68&lt;'Données projet'!$A$88,$BA$205^A68,IF(A68='Données projet'!$A$88,'Données projet'!$B$88,BD67+BC68-BL67)))</f>
        <v>160.99999999999986</v>
      </c>
      <c r="BE68" s="14">
        <f>BD68*VLOOKUP('Données projet'!$B$11,Paramètres!$A$1:$I$89,3,0)*VLOOKUP('Données projet'!$B$11,Paramètres!$A$1:$I$89,5,0)</f>
        <v>163.25399999999985</v>
      </c>
      <c r="BF68" s="14">
        <f t="shared" si="37"/>
        <v>41.575601961656879</v>
      </c>
      <c r="BG68" s="22">
        <f t="shared" ref="BG68:BG131" si="61">(BE68+BF68)*0.475*44/12</f>
        <v>356.74489008321876</v>
      </c>
      <c r="BH68" s="62">
        <f t="shared" ref="BH68:BH131" si="62">BG68+(AY68+AZ68)*44/12</f>
        <v>650.07822341655208</v>
      </c>
      <c r="BI68" s="62">
        <f ca="1">AVERAGE(OFFSET($BH$3,0,0,'Données projet'!$E$11+1,1))-AVERAGE(OFFSET($H$3,0,0,'Données projet'!$E$11+1,1))</f>
        <v>201.65575435598231</v>
      </c>
      <c r="BJ68" s="62">
        <f t="shared" si="38"/>
        <v>103.75701796419935</v>
      </c>
      <c r="BK68" s="16">
        <f>IF(ISNA(VLOOKUP(A68,'Données projet'!$A$87:$I$107,3,0)),0,VLOOKUP(A68,'Données projet'!$A$87:$I$107,3,0))</f>
        <v>9</v>
      </c>
      <c r="BL68" s="16">
        <f>IF(ISNA(VLOOKUP(A68,'Données projet'!$A$87:$I$107,4,0)),0,VLOOKUP(A68,'Données projet'!$A$87:$I$107,4,0))</f>
        <v>14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14.3</v>
      </c>
      <c r="BY68" s="13">
        <f>IF('Données projet'!$A$114&gt;35,BY67+BX68-CG67,IF(A68&lt;'Données projet'!$A$114,$BV$205^A68,IF(A68='Données projet'!$A$114,'Données projet'!$B$114,BY67+BX68-CG67)))</f>
        <v>376.50000000000006</v>
      </c>
      <c r="BZ68" s="14">
        <f>BY68*VLOOKUP('Données projet'!$B$12,Paramètres!$A$1:$I$89,3,0)*VLOOKUP('Données projet'!$B$12,Paramètres!$A$1:$I$89,5,0)</f>
        <v>225.14700000000005</v>
      </c>
      <c r="CA68" s="14">
        <f t="shared" si="39"/>
        <v>55.232050634645063</v>
      </c>
      <c r="CB68" s="22">
        <f t="shared" ref="CB68:CB131" si="64">(BZ68+CA68)*0.475*44/12</f>
        <v>488.32684652200686</v>
      </c>
      <c r="CC68" s="62">
        <f t="shared" ref="CC68:CC131" si="65">CB68+(BT68+BU68)*44/12</f>
        <v>781.66017985534017</v>
      </c>
      <c r="CD68" s="62">
        <f ca="1">AVERAGE(OFFSET($CC$3,0,0,'Données projet'!$E$12+1,1))-AVERAGE(OFFSET($H$3,0,0,'Données projet'!$E$12+1,1))</f>
        <v>222.32495275055498</v>
      </c>
      <c r="CE68" s="62">
        <f t="shared" si="40"/>
        <v>156.39259018918381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0.35031606192894843</v>
      </c>
      <c r="CM68" s="23">
        <f>EXP(-LN(2)/2)*CM67+(1-EXP(-LN(2)/2))/(LN(2)/2)*CG68*CJ68*VLOOKUP('Données projet'!$B$12,Paramètres!$A$1:$I$89,3,0)*0.475*44/12</f>
        <v>5.7359155749909529E-5</v>
      </c>
      <c r="CN68" s="24">
        <f t="shared" ref="CN68:CN131" si="66">SUM(CK68:CM68)</f>
        <v>0.35037342108469832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53.539199999999973</v>
      </c>
      <c r="D69" s="12">
        <f t="shared" ref="D69:D132" si="86">IFERROR(EXP(-1.0587+0.8836*LN(C69)+0.284),0)</f>
        <v>15.524103725721867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533.12023928627389</v>
      </c>
      <c r="H69" s="70">
        <f t="shared" si="56"/>
        <v>376.95192065563219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>
        <f>VLOOKUP(A69,'Données projet'!$A$35:$I$55,2,0)</f>
        <v>500</v>
      </c>
      <c r="L69" s="13">
        <f>VLOOKUP(A69,'Données projet'!$A$35:$I$55,9,0)</f>
        <v>19.166666666666668</v>
      </c>
      <c r="M69" s="13">
        <f t="array" ref="M69">INDEX(L:L,MIN(IF(ISNUMBER(L69:L265),ROW(L69:L265),"")))</f>
        <v>19.166666666666668</v>
      </c>
      <c r="N69" s="14">
        <f>IF('Données projet'!$A$36&gt;35,N68+M69-V68,IF(A69&lt;'Données projet'!$A$36,$K$205^A69,IF(A69='Données projet'!$A$36,'Données projet'!$B$36,N68+M69-V68)))</f>
        <v>499.99999999999972</v>
      </c>
      <c r="O69" s="14">
        <f>N69*VLOOKUP('Données projet'!$B$9,Paramètres!$A$1:$I$89,3,0)*VLOOKUP('Données projet'!$B$9,Paramètres!$A$1:$I$89,5,0)</f>
        <v>233.99999999999986</v>
      </c>
      <c r="P69" s="14">
        <f t="shared" ref="P69:P132" si="87">EXP(-1.0587+0.8836*LN(O69)+0.284)</f>
        <v>57.14670524255709</v>
      </c>
      <c r="Q69" s="22">
        <f t="shared" si="54"/>
        <v>507.08051163078659</v>
      </c>
      <c r="R69" s="62">
        <f t="shared" si="55"/>
        <v>800.4138449641199</v>
      </c>
      <c r="S69" s="62">
        <f ca="1">AVERAGE(OFFSET($R$3,0,0,'Données projet'!$E$9+1,1))-AVERAGE(OFFSET($H$3,0,0,'Données projet'!$E$9+1,1))</f>
        <v>273.21086764807194</v>
      </c>
      <c r="T69" s="62">
        <f t="shared" ref="T69:T132" si="88">$T$3</f>
        <v>259.3474218586631</v>
      </c>
      <c r="U69" s="16">
        <f>IF(ISNA(VLOOKUP(A69,'Données projet'!$A$35:$I$55,3,0)),0,VLOOKUP(A69,'Données projet'!$A$35:$I$55,3,0))</f>
        <v>5</v>
      </c>
      <c r="V69" s="16">
        <f>IF(ISNA(VLOOKUP(A69,'Données projet'!$A$35:$I$55,4,0)),0,VLOOKUP(A69,'Données projet'!$A$35:$I$55,4,0))</f>
        <v>88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2</v>
      </c>
      <c r="AI69" s="14">
        <f>IF('Données projet'!$A$62&gt;35,AI68+AH69-AQ68,IF(A69&lt;'Données projet'!$A$62,$AF$205^A69,IF(A69='Données projet'!$A$62,'Données projet'!$B$62,AI68+AH69-AQ68)))</f>
        <v>141.99999999999991</v>
      </c>
      <c r="AJ69" s="14">
        <f>AI69*VLOOKUP('Données projet'!$B$10,Paramètres!$A$1:$I$89,3,0)*VLOOKUP('Données projet'!$B$10,Paramètres!$A$1:$I$89,5,0)</f>
        <v>124.05119999999994</v>
      </c>
      <c r="AK69" s="14">
        <f t="shared" ref="AK69:AK132" si="89">EXP(-1.0587+0.8836*LN(AJ69)+0.284)</f>
        <v>32.618041559365977</v>
      </c>
      <c r="AL69" s="22">
        <f t="shared" si="58"/>
        <v>272.86559571589561</v>
      </c>
      <c r="AM69" s="62">
        <f t="shared" si="59"/>
        <v>566.19892904922892</v>
      </c>
      <c r="AN69" s="62">
        <f ca="1">AVERAGE(OFFSET($AM$3,0,0,'Données projet'!$E$10+1,1))-AVERAGE(OFFSET($H$3,0,0,'Données projet'!$E$10+1,1))</f>
        <v>121.79484266530449</v>
      </c>
      <c r="AO69" s="62">
        <f t="shared" ref="AO69:AO132" si="90">$AO$3</f>
        <v>129.14577359424788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1.0522697371800984</v>
      </c>
      <c r="AW69" s="23">
        <f>EXP(-LN(2)/2)*AW68+(1-EXP(-LN(2)/2))/(LN(2)/2)*AQ69*AT69*VLOOKUP('Données projet'!$B$10,Paramètres!$A$1:$I$89,3,0)*0.475*44/12</f>
        <v>1.3650049110992328E-5</v>
      </c>
      <c r="AX69" s="23">
        <f t="shared" si="60"/>
        <v>1.0522833872292094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5.2</v>
      </c>
      <c r="BD69" s="13">
        <f>IF('Données projet'!$A$88&gt;35,BD68+BC69-BL68,IF(A69&lt;'Données projet'!$A$88,$BA$205^A69,IF(A69='Données projet'!$A$88,'Données projet'!$B$88,BD68+BC69-BL68)))</f>
        <v>152.19999999999985</v>
      </c>
      <c r="BE69" s="14">
        <f>BD69*VLOOKUP('Données projet'!$B$11,Paramètres!$A$1:$I$89,3,0)*VLOOKUP('Données projet'!$B$11,Paramètres!$A$1:$I$89,5,0)</f>
        <v>154.33079999999987</v>
      </c>
      <c r="BF69" s="14">
        <f t="shared" ref="BF69:BF132" si="91">EXP(-1.0587+0.8836*LN(BE69)+0.284)</f>
        <v>39.561139179540312</v>
      </c>
      <c r="BG69" s="22">
        <f t="shared" si="61"/>
        <v>337.69512740436579</v>
      </c>
      <c r="BH69" s="62">
        <f t="shared" si="62"/>
        <v>631.02846073769911</v>
      </c>
      <c r="BI69" s="62">
        <f ca="1">AVERAGE(OFFSET($BH$3,0,0,'Données projet'!$E$11+1,1))-AVERAGE(OFFSET($H$3,0,0,'Données projet'!$E$11+1,1))</f>
        <v>201.65575435598231</v>
      </c>
      <c r="BJ69" s="62">
        <f t="shared" ref="BJ69:BJ132" si="92">$BJ$3</f>
        <v>103.75701796419935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14.3</v>
      </c>
      <c r="BY69" s="13">
        <f>IF('Données projet'!$A$114&gt;35,BY68+BX69-CG68,IF(A69&lt;'Données projet'!$A$114,$BV$205^A69,IF(A69='Données projet'!$A$114,'Données projet'!$B$114,BY68+BX69-CG68)))</f>
        <v>390.80000000000007</v>
      </c>
      <c r="BZ69" s="14">
        <f>BY69*VLOOKUP('Données projet'!$B$12,Paramètres!$A$1:$I$89,3,0)*VLOOKUP('Données projet'!$B$12,Paramètres!$A$1:$I$89,5,0)</f>
        <v>233.69840000000005</v>
      </c>
      <c r="CA69" s="14">
        <f t="shared" ref="CA69:CA132" si="93">EXP(-1.0587+0.8836*LN(BZ69)+0.284)</f>
        <v>57.081618134454175</v>
      </c>
      <c r="CB69" s="22">
        <f t="shared" si="64"/>
        <v>506.44186491750776</v>
      </c>
      <c r="CC69" s="62">
        <f t="shared" si="65"/>
        <v>799.77519825084107</v>
      </c>
      <c r="CD69" s="62">
        <f ca="1">AVERAGE(OFFSET($CC$3,0,0,'Données projet'!$E$12+1,1))-AVERAGE(OFFSET($H$3,0,0,'Données projet'!$E$12+1,1))</f>
        <v>222.32495275055498</v>
      </c>
      <c r="CE69" s="62">
        <f t="shared" ref="CE69:CE132" si="94">$CE$3</f>
        <v>156.39259018918381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0.34073665079318027</v>
      </c>
      <c r="CM69" s="23">
        <f>EXP(-LN(2)/2)*CM68+(1-EXP(-LN(2)/2))/(LN(2)/2)*CG69*CJ69*VLOOKUP('Données projet'!$B$12,Paramètres!$A$1:$I$89,3,0)*0.475*44/12</f>
        <v>4.0559047993896376E-5</v>
      </c>
      <c r="CN69" s="24">
        <f t="shared" si="66"/>
        <v>0.34077720984117416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54.350399999999972</v>
      </c>
      <c r="D70" s="12">
        <f t="shared" si="86"/>
        <v>15.73175629732425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540.98506615478345</v>
      </c>
      <c r="H70" s="70">
        <f t="shared" si="56"/>
        <v>378.72642221783968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18.5</v>
      </c>
      <c r="N70" s="14">
        <f>IF('Données projet'!$A$36&gt;35,N69+M70-V69,IF(A70&lt;'Données projet'!$A$36,$K$205^A70,IF(A70='Données projet'!$A$36,'Données projet'!$B$36,N69+M70-V69)))</f>
        <v>430.49999999999977</v>
      </c>
      <c r="O70" s="14">
        <f>N70*VLOOKUP('Données projet'!$B$9,Paramètres!$A$1:$I$89,3,0)*VLOOKUP('Données projet'!$B$9,Paramètres!$A$1:$I$89,5,0)</f>
        <v>201.47399999999988</v>
      </c>
      <c r="P70" s="14">
        <f t="shared" si="87"/>
        <v>50.067969742315285</v>
      </c>
      <c r="Q70" s="22">
        <f t="shared" si="54"/>
        <v>438.10226396786555</v>
      </c>
      <c r="R70" s="62">
        <f t="shared" si="55"/>
        <v>731.43559730119887</v>
      </c>
      <c r="S70" s="62">
        <f ca="1">AVERAGE(OFFSET($R$3,0,0,'Données projet'!$E$9+1,1))-AVERAGE(OFFSET($H$3,0,0,'Données projet'!$E$9+1,1))</f>
        <v>273.21086764807194</v>
      </c>
      <c r="T70" s="62">
        <f t="shared" si="88"/>
        <v>259.3474218586631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2</v>
      </c>
      <c r="AI70" s="14">
        <f>IF('Données projet'!$A$62&gt;35,AI69+AH70-AQ69,IF(A70&lt;'Données projet'!$A$62,$AF$205^A70,IF(A70='Données projet'!$A$62,'Données projet'!$B$62,AI69+AH70-AQ69)))</f>
        <v>143.99999999999991</v>
      </c>
      <c r="AJ70" s="14">
        <f>AI70*VLOOKUP('Données projet'!$B$10,Paramètres!$A$1:$I$89,3,0)*VLOOKUP('Données projet'!$B$10,Paramètres!$A$1:$I$89,5,0)</f>
        <v>125.79839999999994</v>
      </c>
      <c r="AK70" s="14">
        <f t="shared" si="89"/>
        <v>33.023644363399924</v>
      </c>
      <c r="AL70" s="22">
        <f t="shared" si="58"/>
        <v>276.61506059958811</v>
      </c>
      <c r="AM70" s="62">
        <f t="shared" si="59"/>
        <v>569.94839393292136</v>
      </c>
      <c r="AN70" s="62">
        <f ca="1">AVERAGE(OFFSET($AM$3,0,0,'Données projet'!$E$10+1,1))-AVERAGE(OFFSET($H$3,0,0,'Données projet'!$E$10+1,1))</f>
        <v>121.79484266530449</v>
      </c>
      <c r="AO70" s="62">
        <f t="shared" si="90"/>
        <v>129.14577359424788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1.0234953658804482</v>
      </c>
      <c r="AW70" s="23">
        <f>EXP(-LN(2)/2)*AW69+(1-EXP(-LN(2)/2))/(LN(2)/2)*AQ70*AT70*VLOOKUP('Données projet'!$B$10,Paramètres!$A$1:$I$89,3,0)*0.475*44/12</f>
        <v>9.6520422899120796E-6</v>
      </c>
      <c r="AX70" s="23">
        <f t="shared" si="60"/>
        <v>1.0235050179227381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5.2</v>
      </c>
      <c r="BD70" s="13">
        <f>IF('Données projet'!$A$88&gt;35,BD69+BC70-BL69,IF(A70&lt;'Données projet'!$A$88,$BA$205^A70,IF(A70='Données projet'!$A$88,'Données projet'!$B$88,BD69+BC70-BL69)))</f>
        <v>157.39999999999984</v>
      </c>
      <c r="BE70" s="14">
        <f>BD70*VLOOKUP('Données projet'!$B$11,Paramètres!$A$1:$I$89,3,0)*VLOOKUP('Données projet'!$B$11,Paramètres!$A$1:$I$89,5,0)</f>
        <v>159.60359999999986</v>
      </c>
      <c r="BF70" s="14">
        <f t="shared" si="91"/>
        <v>40.753093376363118</v>
      </c>
      <c r="BG70" s="22">
        <f t="shared" si="61"/>
        <v>348.95457429716549</v>
      </c>
      <c r="BH70" s="62">
        <f t="shared" si="62"/>
        <v>642.28790763049881</v>
      </c>
      <c r="BI70" s="62">
        <f ca="1">AVERAGE(OFFSET($BH$3,0,0,'Données projet'!$E$11+1,1))-AVERAGE(OFFSET($H$3,0,0,'Données projet'!$E$11+1,1))</f>
        <v>201.65575435598231</v>
      </c>
      <c r="BJ70" s="62">
        <f t="shared" si="92"/>
        <v>103.75701796419935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14.3</v>
      </c>
      <c r="BY70" s="13">
        <f>IF('Données projet'!$A$114&gt;35,BY69+BX70-CG69,IF(A70&lt;'Données projet'!$A$114,$BV$205^A70,IF(A70='Données projet'!$A$114,'Données projet'!$B$114,BY69+BX70-CG69)))</f>
        <v>405.10000000000008</v>
      </c>
      <c r="BZ70" s="14">
        <f>BY70*VLOOKUP('Données projet'!$B$12,Paramètres!$A$1:$I$89,3,0)*VLOOKUP('Données projet'!$B$12,Paramètres!$A$1:$I$89,5,0)</f>
        <v>242.24980000000005</v>
      </c>
      <c r="CA70" s="14">
        <f t="shared" si="93"/>
        <v>58.923322739321947</v>
      </c>
      <c r="CB70" s="22">
        <f t="shared" si="64"/>
        <v>524.54318877098581</v>
      </c>
      <c r="CC70" s="62">
        <f t="shared" si="65"/>
        <v>817.87652210431906</v>
      </c>
      <c r="CD70" s="62">
        <f ca="1">AVERAGE(OFFSET($CC$3,0,0,'Données projet'!$E$12+1,1))-AVERAGE(OFFSET($H$3,0,0,'Données projet'!$E$12+1,1))</f>
        <v>222.32495275055498</v>
      </c>
      <c r="CE70" s="62">
        <f t="shared" si="94"/>
        <v>156.39259018918381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0.33141918915867907</v>
      </c>
      <c r="CM70" s="23">
        <f>EXP(-LN(2)/2)*CM69+(1-EXP(-LN(2)/2))/(LN(2)/2)*CG70*CJ70*VLOOKUP('Données projet'!$B$12,Paramètres!$A$1:$I$89,3,0)*0.475*44/12</f>
        <v>2.8679577874954764E-5</v>
      </c>
      <c r="CN70" s="24">
        <f t="shared" si="66"/>
        <v>0.33144786873655402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55.161599999999972</v>
      </c>
      <c r="D71" s="12">
        <f t="shared" si="86"/>
        <v>15.939048410367347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548.84711053616877</v>
      </c>
      <c r="H71" s="70">
        <f t="shared" si="56"/>
        <v>380.50029598138974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18.5</v>
      </c>
      <c r="N71" s="14">
        <f>IF('Données projet'!$A$36&gt;35,N70+M71-V70,IF(A71&lt;'Données projet'!$A$36,$K$205^A71,IF(A71='Données projet'!$A$36,'Données projet'!$B$36,N70+M71-V70)))</f>
        <v>448.99999999999977</v>
      </c>
      <c r="O71" s="14">
        <f>N71*VLOOKUP('Données projet'!$B$9,Paramètres!$A$1:$I$89,3,0)*VLOOKUP('Données projet'!$B$9,Paramètres!$A$1:$I$89,5,0)</f>
        <v>210.13199999999989</v>
      </c>
      <c r="P71" s="14">
        <f t="shared" si="87"/>
        <v>51.964429964375014</v>
      </c>
      <c r="Q71" s="22">
        <f t="shared" si="54"/>
        <v>456.48461552128629</v>
      </c>
      <c r="R71" s="62">
        <f t="shared" si="55"/>
        <v>749.81794885461954</v>
      </c>
      <c r="S71" s="62">
        <f ca="1">AVERAGE(OFFSET($R$3,0,0,'Données projet'!$E$9+1,1))-AVERAGE(OFFSET($H$3,0,0,'Données projet'!$E$9+1,1))</f>
        <v>273.21086764807194</v>
      </c>
      <c r="T71" s="62">
        <f t="shared" si="88"/>
        <v>259.3474218586631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2</v>
      </c>
      <c r="AI71" s="14">
        <f>IF('Données projet'!$A$62&gt;35,AI70+AH71-AQ70,IF(A71&lt;'Données projet'!$A$62,$AF$205^A71,IF(A71='Données projet'!$A$62,'Données projet'!$B$62,AI70+AH71-AQ70)))</f>
        <v>145.99999999999991</v>
      </c>
      <c r="AJ71" s="14">
        <f>AI71*VLOOKUP('Données projet'!$B$10,Paramètres!$A$1:$I$89,3,0)*VLOOKUP('Données projet'!$B$10,Paramètres!$A$1:$I$89,5,0)</f>
        <v>127.54559999999995</v>
      </c>
      <c r="AK71" s="14">
        <f t="shared" si="89"/>
        <v>33.428591950384806</v>
      </c>
      <c r="AL71" s="22">
        <f t="shared" si="58"/>
        <v>280.36338431358678</v>
      </c>
      <c r="AM71" s="62">
        <f t="shared" si="59"/>
        <v>573.69671764692009</v>
      </c>
      <c r="AN71" s="62">
        <f ca="1">AVERAGE(OFFSET($AM$3,0,0,'Données projet'!$E$10+1,1))-AVERAGE(OFFSET($H$3,0,0,'Données projet'!$E$10+1,1))</f>
        <v>121.79484266530449</v>
      </c>
      <c r="AO71" s="62">
        <f t="shared" si="90"/>
        <v>129.14577359424788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0.99550783127716524</v>
      </c>
      <c r="AW71" s="23">
        <f>EXP(-LN(2)/2)*AW70+(1-EXP(-LN(2)/2))/(LN(2)/2)*AQ71*AT71*VLOOKUP('Données projet'!$B$10,Paramètres!$A$1:$I$89,3,0)*0.475*44/12</f>
        <v>6.8250245554961641E-6</v>
      </c>
      <c r="AX71" s="23">
        <f t="shared" si="60"/>
        <v>0.99551465630172076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5.2</v>
      </c>
      <c r="BD71" s="13">
        <f>IF('Données projet'!$A$88&gt;35,BD70+BC71-BL70,IF(A71&lt;'Données projet'!$A$88,$BA$205^A71,IF(A71='Données projet'!$A$88,'Données projet'!$B$88,BD70+BC71-BL70)))</f>
        <v>162.59999999999982</v>
      </c>
      <c r="BE71" s="14">
        <f>BD71*VLOOKUP('Données projet'!$B$11,Paramètres!$A$1:$I$89,3,0)*VLOOKUP('Données projet'!$B$11,Paramètres!$A$1:$I$89,5,0)</f>
        <v>164.87639999999982</v>
      </c>
      <c r="BF71" s="14">
        <f t="shared" si="91"/>
        <v>41.94047184875933</v>
      </c>
      <c r="BG71" s="22">
        <f t="shared" si="61"/>
        <v>360.20605180325543</v>
      </c>
      <c r="BH71" s="62">
        <f t="shared" si="62"/>
        <v>653.53938513658875</v>
      </c>
      <c r="BI71" s="62">
        <f ca="1">AVERAGE(OFFSET($BH$3,0,0,'Données projet'!$E$11+1,1))-AVERAGE(OFFSET($H$3,0,0,'Données projet'!$E$11+1,1))</f>
        <v>201.65575435598231</v>
      </c>
      <c r="BJ71" s="62">
        <f t="shared" si="92"/>
        <v>103.75701796419935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14.3</v>
      </c>
      <c r="BY71" s="13">
        <f>IF('Données projet'!$A$114&gt;35,BY70+BX71-CG70,IF(A71&lt;'Données projet'!$A$114,$BV$205^A71,IF(A71='Données projet'!$A$114,'Données projet'!$B$114,BY70+BX71-CG70)))</f>
        <v>419.40000000000009</v>
      </c>
      <c r="BZ71" s="14">
        <f>BY71*VLOOKUP('Données projet'!$B$12,Paramètres!$A$1:$I$89,3,0)*VLOOKUP('Données projet'!$B$12,Paramètres!$A$1:$I$89,5,0)</f>
        <v>250.80120000000008</v>
      </c>
      <c r="CA71" s="14">
        <f t="shared" si="93"/>
        <v>60.757473811682686</v>
      </c>
      <c r="CB71" s="22">
        <f t="shared" si="64"/>
        <v>542.63135688868078</v>
      </c>
      <c r="CC71" s="62">
        <f t="shared" si="65"/>
        <v>835.96469022201404</v>
      </c>
      <c r="CD71" s="62">
        <f ca="1">AVERAGE(OFFSET($CC$3,0,0,'Données projet'!$E$12+1,1))-AVERAGE(OFFSET($H$3,0,0,'Données projet'!$E$12+1,1))</f>
        <v>222.32495275055498</v>
      </c>
      <c r="CE71" s="62">
        <f t="shared" si="94"/>
        <v>156.39259018918381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0.32235651400255733</v>
      </c>
      <c r="CM71" s="23">
        <f>EXP(-LN(2)/2)*CM70+(1-EXP(-LN(2)/2))/(LN(2)/2)*CG71*CJ71*VLOOKUP('Données projet'!$B$12,Paramètres!$A$1:$I$89,3,0)*0.475*44/12</f>
        <v>2.0279523996948188E-5</v>
      </c>
      <c r="CN71" s="24">
        <f t="shared" si="66"/>
        <v>0.32237679352655429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55.972799999999971</v>
      </c>
      <c r="D72" s="12">
        <f t="shared" si="86"/>
        <v>16.145985978099564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556.70641807655784</v>
      </c>
      <c r="H72" s="70">
        <f t="shared" si="56"/>
        <v>382.27355224519005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18.5</v>
      </c>
      <c r="N72" s="14">
        <f>IF('Données projet'!$A$36&gt;35,N71+M72-V71,IF(A72&lt;'Données projet'!$A$36,$K$205^A72,IF(A72='Données projet'!$A$36,'Données projet'!$B$36,N71+M72-V71)))</f>
        <v>467.49999999999977</v>
      </c>
      <c r="O72" s="14">
        <f>N72*VLOOKUP('Données projet'!$B$9,Paramètres!$A$1:$I$89,3,0)*VLOOKUP('Données projet'!$B$9,Paramètres!$A$1:$I$89,5,0)</f>
        <v>218.78999999999991</v>
      </c>
      <c r="P72" s="14">
        <f t="shared" si="87"/>
        <v>53.851813843863511</v>
      </c>
      <c r="Q72" s="22">
        <f t="shared" si="54"/>
        <v>474.85115911139542</v>
      </c>
      <c r="R72" s="62">
        <f t="shared" si="55"/>
        <v>768.18449244472868</v>
      </c>
      <c r="S72" s="62">
        <f ca="1">AVERAGE(OFFSET($R$3,0,0,'Données projet'!$E$9+1,1))-AVERAGE(OFFSET($H$3,0,0,'Données projet'!$E$9+1,1))</f>
        <v>273.21086764807194</v>
      </c>
      <c r="T72" s="62">
        <f t="shared" si="88"/>
        <v>259.3474218586631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2</v>
      </c>
      <c r="AI72" s="14">
        <f>IF('Données projet'!$A$62&gt;35,AI71+AH72-AQ71,IF(A72&lt;'Données projet'!$A$62,$AF$205^A72,IF(A72='Données projet'!$A$62,'Données projet'!$B$62,AI71+AH72-AQ71)))</f>
        <v>147.99999999999991</v>
      </c>
      <c r="AJ72" s="14">
        <f>AI72*VLOOKUP('Données projet'!$B$10,Paramètres!$A$1:$I$89,3,0)*VLOOKUP('Données projet'!$B$10,Paramètres!$A$1:$I$89,5,0)</f>
        <v>129.29279999999994</v>
      </c>
      <c r="AK72" s="14">
        <f t="shared" si="89"/>
        <v>33.832894333299215</v>
      </c>
      <c r="AL72" s="22">
        <f t="shared" si="58"/>
        <v>284.11058429716269</v>
      </c>
      <c r="AM72" s="62">
        <f t="shared" si="59"/>
        <v>577.443917630496</v>
      </c>
      <c r="AN72" s="62">
        <f ca="1">AVERAGE(OFFSET($AM$3,0,0,'Données projet'!$E$10+1,1))-AVERAGE(OFFSET($H$3,0,0,'Données projet'!$E$10+1,1))</f>
        <v>121.79484266530449</v>
      </c>
      <c r="AO72" s="62">
        <f t="shared" si="90"/>
        <v>129.14577359424788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0.96828561727940954</v>
      </c>
      <c r="AW72" s="23">
        <f>EXP(-LN(2)/2)*AW71+(1-EXP(-LN(2)/2))/(LN(2)/2)*AQ72*AT72*VLOOKUP('Données projet'!$B$10,Paramètres!$A$1:$I$89,3,0)*0.475*44/12</f>
        <v>4.8260211449560398E-6</v>
      </c>
      <c r="AX72" s="23">
        <f t="shared" si="60"/>
        <v>0.96829044330055447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5.2</v>
      </c>
      <c r="BD72" s="13">
        <f>IF('Données projet'!$A$88&gt;35,BD71+BC72-BL71,IF(A72&lt;'Données projet'!$A$88,$BA$205^A72,IF(A72='Données projet'!$A$88,'Données projet'!$B$88,BD71+BC72-BL71)))</f>
        <v>167.79999999999981</v>
      </c>
      <c r="BE72" s="14">
        <f>BD72*VLOOKUP('Données projet'!$B$11,Paramètres!$A$1:$I$89,3,0)*VLOOKUP('Données projet'!$B$11,Paramètres!$A$1:$I$89,5,0)</f>
        <v>170.14919999999981</v>
      </c>
      <c r="BF72" s="14">
        <f t="shared" si="91"/>
        <v>43.123437715785229</v>
      </c>
      <c r="BG72" s="22">
        <f t="shared" si="61"/>
        <v>371.44984402165892</v>
      </c>
      <c r="BH72" s="62">
        <f t="shared" si="62"/>
        <v>664.78317735499218</v>
      </c>
      <c r="BI72" s="62">
        <f ca="1">AVERAGE(OFFSET($BH$3,0,0,'Données projet'!$E$11+1,1))-AVERAGE(OFFSET($H$3,0,0,'Données projet'!$E$11+1,1))</f>
        <v>201.65575435598231</v>
      </c>
      <c r="BJ72" s="62">
        <f t="shared" si="92"/>
        <v>103.75701796419935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14.3</v>
      </c>
      <c r="BY72" s="13">
        <f>IF('Données projet'!$A$114&gt;35,BY71+BX72-CG71,IF(A72&lt;'Données projet'!$A$114,$BV$205^A72,IF(A72='Données projet'!$A$114,'Données projet'!$B$114,BY71+BX72-CG71)))</f>
        <v>433.7000000000001</v>
      </c>
      <c r="BZ72" s="14">
        <f>BY72*VLOOKUP('Données projet'!$B$12,Paramètres!$A$1:$I$89,3,0)*VLOOKUP('Données projet'!$B$12,Paramètres!$A$1:$I$89,5,0)</f>
        <v>259.35260000000011</v>
      </c>
      <c r="CA72" s="14">
        <f t="shared" si="93"/>
        <v>62.58435842101963</v>
      </c>
      <c r="CB72" s="22">
        <f t="shared" si="64"/>
        <v>560.70686924994277</v>
      </c>
      <c r="CC72" s="62">
        <f t="shared" si="65"/>
        <v>854.04020258327614</v>
      </c>
      <c r="CD72" s="62">
        <f ca="1">AVERAGE(OFFSET($CC$3,0,0,'Données projet'!$E$12+1,1))-AVERAGE(OFFSET($H$3,0,0,'Données projet'!$E$12+1,1))</f>
        <v>222.32495275055498</v>
      </c>
      <c r="CE72" s="62">
        <f t="shared" si="94"/>
        <v>156.39259018918381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0.31354165817516511</v>
      </c>
      <c r="CM72" s="23">
        <f>EXP(-LN(2)/2)*CM71+(1-EXP(-LN(2)/2))/(LN(2)/2)*CG72*CJ72*VLOOKUP('Données projet'!$B$12,Paramètres!$A$1:$I$89,3,0)*0.475*44/12</f>
        <v>1.4339788937477382E-5</v>
      </c>
      <c r="CN72" s="24">
        <f t="shared" si="66"/>
        <v>0.31355599796410261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56.78399999999997</v>
      </c>
      <c r="D73" s="12">
        <f t="shared" si="86"/>
        <v>16.352574732529348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564.56303302303331</v>
      </c>
      <c r="H73" s="70">
        <f t="shared" si="56"/>
        <v>384.04620099248859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18.5</v>
      </c>
      <c r="N73" s="14">
        <f>IF('Données projet'!$A$36&gt;35,N72+M73-V72,IF(A73&lt;'Données projet'!$A$36,$K$205^A73,IF(A73='Données projet'!$A$36,'Données projet'!$B$36,N72+M73-V72)))</f>
        <v>485.99999999999977</v>
      </c>
      <c r="O73" s="14">
        <f>N73*VLOOKUP('Données projet'!$B$9,Paramètres!$A$1:$I$89,3,0)*VLOOKUP('Données projet'!$B$9,Paramètres!$A$1:$I$89,5,0)</f>
        <v>227.44799999999989</v>
      </c>
      <c r="P73" s="14">
        <f t="shared" si="87"/>
        <v>55.730521649800686</v>
      </c>
      <c r="Q73" s="22">
        <f t="shared" si="54"/>
        <v>493.2025918734027</v>
      </c>
      <c r="R73" s="62">
        <f t="shared" si="55"/>
        <v>786.53592520673601</v>
      </c>
      <c r="S73" s="62">
        <f ca="1">AVERAGE(OFFSET($R$3,0,0,'Données projet'!$E$9+1,1))-AVERAGE(OFFSET($H$3,0,0,'Données projet'!$E$9+1,1))</f>
        <v>273.21086764807194</v>
      </c>
      <c r="T73" s="62">
        <f t="shared" si="88"/>
        <v>259.3474218586631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150</v>
      </c>
      <c r="AG73" s="13">
        <f>VLOOKUP(A73,'Données projet'!$A$61:$I$81,9,0)</f>
        <v>2</v>
      </c>
      <c r="AH73" s="13">
        <f t="array" ref="AH73">INDEX(AG:AG,MIN(IF(ISNUMBER(AG73:AG269),ROW(AG73:AG269),"")))</f>
        <v>2</v>
      </c>
      <c r="AI73" s="14">
        <f>IF('Données projet'!$A$62&gt;35,AI72+AH73-AQ72,IF(A73&lt;'Données projet'!$A$62,$AF$205^A73,IF(A73='Données projet'!$A$62,'Données projet'!$B$62,AI72+AH73-AQ72)))</f>
        <v>149.99999999999991</v>
      </c>
      <c r="AJ73" s="14">
        <f>AI73*VLOOKUP('Données projet'!$B$10,Paramètres!$A$1:$I$89,3,0)*VLOOKUP('Données projet'!$B$10,Paramètres!$A$1:$I$89,5,0)</f>
        <v>131.03999999999994</v>
      </c>
      <c r="AK73" s="14">
        <f t="shared" si="89"/>
        <v>34.236561238949889</v>
      </c>
      <c r="AL73" s="22">
        <f t="shared" si="58"/>
        <v>287.85667749117096</v>
      </c>
      <c r="AM73" s="62">
        <f t="shared" si="59"/>
        <v>581.19001082450427</v>
      </c>
      <c r="AN73" s="62">
        <f ca="1">AVERAGE(OFFSET($AM$3,0,0,'Données projet'!$E$10+1,1))-AVERAGE(OFFSET($H$3,0,0,'Données projet'!$E$10+1,1))</f>
        <v>121.79484266530449</v>
      </c>
      <c r="AO73" s="62">
        <f t="shared" si="90"/>
        <v>129.14577359424788</v>
      </c>
      <c r="AP73" s="16">
        <f>IF(ISNA(VLOOKUP(A73,'Données projet'!$A$61:$I$81,3,0)),0,VLOOKUP(A73,'Données projet'!$A$61:$I$81,3,0))</f>
        <v>11</v>
      </c>
      <c r="AQ73" s="16">
        <f>IF(ISNA(VLOOKUP(A73,'Données projet'!$A$61:$I$81,4,0)),0,VLOOKUP(A73,'Données projet'!$A$61:$I$81,4,0))</f>
        <v>5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0.94180779615497656</v>
      </c>
      <c r="AW73" s="23">
        <f>EXP(-LN(2)/2)*AW72+(1-EXP(-LN(2)/2))/(LN(2)/2)*AQ73*AT73*VLOOKUP('Données projet'!$B$10,Paramètres!$A$1:$I$89,3,0)*0.475*44/12</f>
        <v>3.412512277748082E-6</v>
      </c>
      <c r="AX73" s="23">
        <f t="shared" si="60"/>
        <v>0.94181120866725432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173</v>
      </c>
      <c r="BB73" s="13">
        <f>VLOOKUP(A73,'Données projet'!$A$87:$I$107,9,0)</f>
        <v>5.2</v>
      </c>
      <c r="BC73" s="13">
        <f t="array" ref="BC73">INDEX(BB:BB,MIN(IF(ISNUMBER(BB73:BB269),ROW(BB73:BB269),"")))</f>
        <v>5.2</v>
      </c>
      <c r="BD73" s="13">
        <f>IF('Données projet'!$A$88&gt;35,BD72+BC73-BL72,IF(A73&lt;'Données projet'!$A$88,$BA$205^A73,IF(A73='Données projet'!$A$88,'Données projet'!$B$88,BD72+BC73-BL72)))</f>
        <v>172.9999999999998</v>
      </c>
      <c r="BE73" s="14">
        <f>BD73*VLOOKUP('Données projet'!$B$11,Paramètres!$A$1:$I$89,3,0)*VLOOKUP('Données projet'!$B$11,Paramètres!$A$1:$I$89,5,0)</f>
        <v>175.4219999999998</v>
      </c>
      <c r="BF73" s="14">
        <f t="shared" si="91"/>
        <v>44.302143412304694</v>
      </c>
      <c r="BG73" s="22">
        <f t="shared" si="61"/>
        <v>382.68621644309695</v>
      </c>
      <c r="BH73" s="62">
        <f t="shared" si="62"/>
        <v>676.01954977643027</v>
      </c>
      <c r="BI73" s="62">
        <f ca="1">AVERAGE(OFFSET($BH$3,0,0,'Données projet'!$E$11+1,1))-AVERAGE(OFFSET($H$3,0,0,'Données projet'!$E$11+1,1))</f>
        <v>201.65575435598231</v>
      </c>
      <c r="BJ73" s="62">
        <f t="shared" si="92"/>
        <v>103.75701796419935</v>
      </c>
      <c r="BK73" s="16">
        <f>IF(ISNA(VLOOKUP(A73,'Données projet'!$A$87:$I$107,3,0)),0,VLOOKUP(A73,'Données projet'!$A$87:$I$107,3,0))</f>
        <v>10</v>
      </c>
      <c r="BL73" s="16">
        <f>IF(ISNA(VLOOKUP(A73,'Données projet'!$A$87:$I$107,4,0)),0,VLOOKUP(A73,'Données projet'!$A$87:$I$107,4,0))</f>
        <v>14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448</v>
      </c>
      <c r="BW73" s="13">
        <f>VLOOKUP(A73,'Données projet'!$A$113:$I$133,9,0)</f>
        <v>14.3</v>
      </c>
      <c r="BX73" s="13">
        <f t="array" ref="BX73">INDEX(BW:BW,MIN(IF(ISNUMBER(BW73:BW269),ROW(BW73:BW269),"")))</f>
        <v>14.3</v>
      </c>
      <c r="BY73" s="13">
        <f>IF('Données projet'!$A$114&gt;35,BY72+BX73-CG72,IF(A73&lt;'Données projet'!$A$114,$BV$205^A73,IF(A73='Données projet'!$A$114,'Données projet'!$B$114,BY72+BX73-CG72)))</f>
        <v>448.00000000000011</v>
      </c>
      <c r="BZ73" s="14">
        <f>BY73*VLOOKUP('Données projet'!$B$12,Paramètres!$A$1:$I$89,3,0)*VLOOKUP('Données projet'!$B$12,Paramètres!$A$1:$I$89,5,0)</f>
        <v>267.90400000000011</v>
      </c>
      <c r="CA73" s="14">
        <f t="shared" si="93"/>
        <v>64.404243631863267</v>
      </c>
      <c r="CB73" s="22">
        <f t="shared" si="64"/>
        <v>578.77019099216204</v>
      </c>
      <c r="CC73" s="62">
        <f t="shared" si="65"/>
        <v>872.1035243254953</v>
      </c>
      <c r="CD73" s="62">
        <f ca="1">AVERAGE(OFFSET($CC$3,0,0,'Données projet'!$E$12+1,1))-AVERAGE(OFFSET($H$3,0,0,'Données projet'!$E$12+1,1))</f>
        <v>222.32495275055498</v>
      </c>
      <c r="CE73" s="62">
        <f t="shared" si="94"/>
        <v>156.39259018918381</v>
      </c>
      <c r="CF73" s="16">
        <f>IF(ISNA(VLOOKUP(A73,'Données projet'!$A$113:$I$133,3,0)),0,VLOOKUP(A73,'Données projet'!$A$113:$I$133,3,0))</f>
        <v>7</v>
      </c>
      <c r="CG73" s="16">
        <f>IF(ISNA(VLOOKUP(A73,'Données projet'!$A$113:$I$133,4,0)),0,VLOOKUP(A73,'Données projet'!$A$113:$I$133,4,0))</f>
        <v>78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0.30496784504392604</v>
      </c>
      <c r="CM73" s="23">
        <f>EXP(-LN(2)/2)*CM72+(1-EXP(-LN(2)/2))/(LN(2)/2)*CG73*CJ73*VLOOKUP('Données projet'!$B$12,Paramètres!$A$1:$I$89,3,0)*0.475*44/12</f>
        <v>1.0139761998474094E-5</v>
      </c>
      <c r="CN73" s="24">
        <f t="shared" si="66"/>
        <v>0.30497798480592453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57.59519999999997</v>
      </c>
      <c r="D74" s="12">
        <f t="shared" si="86"/>
        <v>16.558820232488433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572.41699828587548</v>
      </c>
      <c r="H74" s="70">
        <f t="shared" si="56"/>
        <v>385.81825190491736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18.5</v>
      </c>
      <c r="N74" s="14">
        <f>IF('Données projet'!$A$36&gt;35,N73+M74-V73,IF(A74&lt;'Données projet'!$A$36,$K$205^A74,IF(A74='Données projet'!$A$36,'Données projet'!$B$36,N73+M74-V73)))</f>
        <v>504.49999999999977</v>
      </c>
      <c r="O74" s="14">
        <f>N74*VLOOKUP('Données projet'!$B$9,Paramètres!$A$1:$I$89,3,0)*VLOOKUP('Données projet'!$B$9,Paramètres!$A$1:$I$89,5,0)</f>
        <v>236.10599999999991</v>
      </c>
      <c r="P74" s="14">
        <f t="shared" si="87"/>
        <v>57.600921452083711</v>
      </c>
      <c r="Q74" s="22">
        <f t="shared" si="54"/>
        <v>511.53955486237896</v>
      </c>
      <c r="R74" s="62">
        <f t="shared" si="55"/>
        <v>804.87288819571222</v>
      </c>
      <c r="S74" s="62">
        <f ca="1">AVERAGE(OFFSET($R$3,0,0,'Données projet'!$E$9+1,1))-AVERAGE(OFFSET($H$3,0,0,'Données projet'!$E$9+1,1))</f>
        <v>273.21086764807194</v>
      </c>
      <c r="T74" s="62">
        <f t="shared" si="88"/>
        <v>259.3474218586631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2</v>
      </c>
      <c r="AI74" s="14">
        <f>IF('Données projet'!$A$62&gt;35,AI73+AH74-AQ73,IF(A74&lt;'Données projet'!$A$62,$AF$205^A74,IF(A74='Données projet'!$A$62,'Données projet'!$B$62,AI73+AH74-AQ73)))</f>
        <v>146.99999999999991</v>
      </c>
      <c r="AJ74" s="14">
        <f>AI74*VLOOKUP('Données projet'!$B$10,Paramètres!$A$1:$I$89,3,0)*VLOOKUP('Données projet'!$B$10,Paramètres!$A$1:$I$89,5,0)</f>
        <v>128.41919999999996</v>
      </c>
      <c r="AK74" s="14">
        <f t="shared" si="89"/>
        <v>33.630823177860727</v>
      </c>
      <c r="AL74" s="22">
        <f t="shared" si="58"/>
        <v>282.23712370144068</v>
      </c>
      <c r="AM74" s="62">
        <f t="shared" si="59"/>
        <v>575.57045703477399</v>
      </c>
      <c r="AN74" s="62">
        <f ca="1">AVERAGE(OFFSET($AM$3,0,0,'Données projet'!$E$10+1,1))-AVERAGE(OFFSET($H$3,0,0,'Données projet'!$E$10+1,1))</f>
        <v>121.79484266530449</v>
      </c>
      <c r="AO74" s="62">
        <f t="shared" si="90"/>
        <v>129.14577359424788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0.91605401244159923</v>
      </c>
      <c r="AW74" s="23">
        <f>EXP(-LN(2)/2)*AW73+(1-EXP(-LN(2)/2))/(LN(2)/2)*AQ74*AT74*VLOOKUP('Données projet'!$B$10,Paramètres!$A$1:$I$89,3,0)*0.475*44/12</f>
        <v>2.4130105724780199E-6</v>
      </c>
      <c r="AX74" s="23">
        <f t="shared" si="60"/>
        <v>0.9160564254521717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4.8</v>
      </c>
      <c r="BD74" s="13">
        <f>IF('Données projet'!$A$88&gt;35,BD73+BC74-BL73,IF(A74&lt;'Données projet'!$A$88,$BA$205^A74,IF(A74='Données projet'!$A$88,'Données projet'!$B$88,BD73+BC74-BL73)))</f>
        <v>163.79999999999981</v>
      </c>
      <c r="BE74" s="14">
        <f>BD74*VLOOKUP('Données projet'!$B$11,Paramètres!$A$1:$I$89,3,0)*VLOOKUP('Données projet'!$B$11,Paramètres!$A$1:$I$89,5,0)</f>
        <v>166.09319999999983</v>
      </c>
      <c r="BF74" s="14">
        <f t="shared" si="91"/>
        <v>42.213849908165869</v>
      </c>
      <c r="BG74" s="22">
        <f t="shared" si="61"/>
        <v>362.80144525672193</v>
      </c>
      <c r="BH74" s="62">
        <f t="shared" si="62"/>
        <v>656.13477859005525</v>
      </c>
      <c r="BI74" s="62">
        <f ca="1">AVERAGE(OFFSET($BH$3,0,0,'Données projet'!$E$11+1,1))-AVERAGE(OFFSET($H$3,0,0,'Données projet'!$E$11+1,1))</f>
        <v>201.65575435598231</v>
      </c>
      <c r="BJ74" s="62">
        <f t="shared" si="92"/>
        <v>103.75701796419935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9</v>
      </c>
      <c r="BY74" s="13">
        <f>IF('Données projet'!$A$114&gt;35,BY73+BX74-CG73,IF(A74&lt;'Données projet'!$A$114,$BV$205^A74,IF(A74='Données projet'!$A$114,'Données projet'!$B$114,BY73+BX74-CG73)))</f>
        <v>379.00000000000011</v>
      </c>
      <c r="BZ74" s="14">
        <f>BY74*VLOOKUP('Données projet'!$B$12,Paramètres!$A$1:$I$89,3,0)*VLOOKUP('Données projet'!$B$12,Paramètres!$A$1:$I$89,5,0)</f>
        <v>226.64200000000008</v>
      </c>
      <c r="CA74" s="14">
        <f t="shared" si="93"/>
        <v>55.555983079812862</v>
      </c>
      <c r="CB74" s="22">
        <f t="shared" si="64"/>
        <v>491.49482053067413</v>
      </c>
      <c r="CC74" s="62">
        <f t="shared" si="65"/>
        <v>784.82815386400739</v>
      </c>
      <c r="CD74" s="62">
        <f ca="1">AVERAGE(OFFSET($CC$3,0,0,'Données projet'!$E$12+1,1))-AVERAGE(OFFSET($H$3,0,0,'Données projet'!$E$12+1,1))</f>
        <v>222.32495275055498</v>
      </c>
      <c r="CE74" s="62">
        <f t="shared" si="94"/>
        <v>156.39259018918381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0.29662848328363794</v>
      </c>
      <c r="CM74" s="23">
        <f>EXP(-LN(2)/2)*CM73+(1-EXP(-LN(2)/2))/(LN(2)/2)*CG74*CJ74*VLOOKUP('Données projet'!$B$12,Paramètres!$A$1:$I$89,3,0)*0.475*44/12</f>
        <v>7.1698944687386911E-6</v>
      </c>
      <c r="CN74" s="24">
        <f t="shared" si="66"/>
        <v>0.2966356531781067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58.406399999999969</v>
      </c>
      <c r="D75" s="12">
        <f t="shared" si="86"/>
        <v>16.764727871227809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580.26835549719692</v>
      </c>
      <c r="H75" s="70">
        <f t="shared" si="56"/>
        <v>387.58971437572177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>
        <f>VLOOKUP(A75,'Données projet'!$A$35:$I$55,2,0)</f>
        <v>523</v>
      </c>
      <c r="L75" s="13">
        <f>VLOOKUP(A75,'Données projet'!$A$35:$I$55,9,0)</f>
        <v>18.5</v>
      </c>
      <c r="M75" s="13">
        <f t="array" ref="M75">INDEX(L:L,MIN(IF(ISNUMBER(L75:L271),ROW(L75:L271),"")))</f>
        <v>18.5</v>
      </c>
      <c r="N75" s="14">
        <f>IF('Données projet'!$A$36&gt;35,N74+M75-V74,IF(A75&lt;'Données projet'!$A$36,$K$205^A75,IF(A75='Données projet'!$A$36,'Données projet'!$B$36,N74+M75-V74)))</f>
        <v>522.99999999999977</v>
      </c>
      <c r="O75" s="14">
        <f>N75*VLOOKUP('Données projet'!$B$9,Paramètres!$A$1:$I$89,3,0)*VLOOKUP('Données projet'!$B$9,Paramètres!$A$1:$I$89,5,0)</f>
        <v>244.7639999999999</v>
      </c>
      <c r="P75" s="14">
        <f t="shared" si="87"/>
        <v>59.463352796691375</v>
      </c>
      <c r="Q75" s="22">
        <f t="shared" si="54"/>
        <v>529.86263945423718</v>
      </c>
      <c r="R75" s="62">
        <f t="shared" si="55"/>
        <v>823.19597278757055</v>
      </c>
      <c r="S75" s="62">
        <f ca="1">AVERAGE(OFFSET($R$3,0,0,'Données projet'!$E$9+1,1))-AVERAGE(OFFSET($H$3,0,0,'Données projet'!$E$9+1,1))</f>
        <v>273.21086764807194</v>
      </c>
      <c r="T75" s="62">
        <f t="shared" si="88"/>
        <v>259.3474218586631</v>
      </c>
      <c r="U75" s="16">
        <f>IF(ISNA(VLOOKUP(A75,'Données projet'!$A$35:$I$55,3,0)),0,VLOOKUP(A75,'Données projet'!$A$35:$I$55,3,0))</f>
        <v>6</v>
      </c>
      <c r="V75" s="16">
        <f>IF(ISNA(VLOOKUP(A75,'Données projet'!$A$35:$I$55,4,0)),0,VLOOKUP(A75,'Données projet'!$A$35:$I$55,4,0))</f>
        <v>87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2</v>
      </c>
      <c r="AI75" s="14">
        <f>IF('Données projet'!$A$62&gt;35,AI74+AH75-AQ74,IF(A75&lt;'Données projet'!$A$62,$AF$205^A75,IF(A75='Données projet'!$A$62,'Données projet'!$B$62,AI74+AH75-AQ74)))</f>
        <v>148.99999999999991</v>
      </c>
      <c r="AJ75" s="14">
        <f>AI75*VLOOKUP('Données projet'!$B$10,Paramètres!$A$1:$I$89,3,0)*VLOOKUP('Données projet'!$B$10,Paramètres!$A$1:$I$89,5,0)</f>
        <v>130.16639999999992</v>
      </c>
      <c r="AK75" s="14">
        <f t="shared" si="89"/>
        <v>34.034806623706274</v>
      </c>
      <c r="AL75" s="22">
        <f t="shared" si="58"/>
        <v>285.98376820295493</v>
      </c>
      <c r="AM75" s="62">
        <f t="shared" si="59"/>
        <v>579.31710153628819</v>
      </c>
      <c r="AN75" s="62">
        <f ca="1">AVERAGE(OFFSET($AM$3,0,0,'Données projet'!$E$10+1,1))-AVERAGE(OFFSET($H$3,0,0,'Données projet'!$E$10+1,1))</f>
        <v>121.79484266530449</v>
      </c>
      <c r="AO75" s="62">
        <f t="shared" si="90"/>
        <v>129.14577359424788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0.89100446729819682</v>
      </c>
      <c r="AW75" s="23">
        <f>EXP(-LN(2)/2)*AW74+(1-EXP(-LN(2)/2))/(LN(2)/2)*AQ75*AT75*VLOOKUP('Données projet'!$B$10,Paramètres!$A$1:$I$89,3,0)*0.475*44/12</f>
        <v>1.706256138874041E-6</v>
      </c>
      <c r="AX75" s="23">
        <f t="shared" si="60"/>
        <v>0.89100617355433565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4.8</v>
      </c>
      <c r="BD75" s="13">
        <f>IF('Données projet'!$A$88&gt;35,BD74+BC75-BL74,IF(A75&lt;'Données projet'!$A$88,$BA$205^A75,IF(A75='Données projet'!$A$88,'Données projet'!$B$88,BD74+BC75-BL74)))</f>
        <v>168.59999999999982</v>
      </c>
      <c r="BE75" s="14">
        <f>BD75*VLOOKUP('Données projet'!$B$11,Paramètres!$A$1:$I$89,3,0)*VLOOKUP('Données projet'!$B$11,Paramètres!$A$1:$I$89,5,0)</f>
        <v>170.96039999999982</v>
      </c>
      <c r="BF75" s="14">
        <f t="shared" si="91"/>
        <v>43.305050662028606</v>
      </c>
      <c r="BG75" s="22">
        <f t="shared" si="61"/>
        <v>373.17899323636624</v>
      </c>
      <c r="BH75" s="62">
        <f t="shared" si="62"/>
        <v>666.51232656969955</v>
      </c>
      <c r="BI75" s="62">
        <f ca="1">AVERAGE(OFFSET($BH$3,0,0,'Données projet'!$E$11+1,1))-AVERAGE(OFFSET($H$3,0,0,'Données projet'!$E$11+1,1))</f>
        <v>201.65575435598231</v>
      </c>
      <c r="BJ75" s="62">
        <f t="shared" si="92"/>
        <v>103.75701796419935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9</v>
      </c>
      <c r="BY75" s="13">
        <f>IF('Données projet'!$A$114&gt;35,BY74+BX75-CG74,IF(A75&lt;'Données projet'!$A$114,$BV$205^A75,IF(A75='Données projet'!$A$114,'Données projet'!$B$114,BY74+BX75-CG74)))</f>
        <v>388.00000000000011</v>
      </c>
      <c r="BZ75" s="14">
        <f>BY75*VLOOKUP('Données projet'!$B$12,Paramètres!$A$1:$I$89,3,0)*VLOOKUP('Données projet'!$B$12,Paramètres!$A$1:$I$89,5,0)</f>
        <v>232.02400000000006</v>
      </c>
      <c r="CA75" s="14">
        <f t="shared" si="93"/>
        <v>56.720094243161071</v>
      </c>
      <c r="CB75" s="22">
        <f t="shared" si="64"/>
        <v>502.89596414017234</v>
      </c>
      <c r="CC75" s="62">
        <f t="shared" si="65"/>
        <v>796.22929747350565</v>
      </c>
      <c r="CD75" s="62">
        <f ca="1">AVERAGE(OFFSET($CC$3,0,0,'Données projet'!$E$12+1,1))-AVERAGE(OFFSET($H$3,0,0,'Données projet'!$E$12+1,1))</f>
        <v>222.32495275055498</v>
      </c>
      <c r="CE75" s="62">
        <f t="shared" si="94"/>
        <v>156.39259018918381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0.28851716180923287</v>
      </c>
      <c r="CM75" s="23">
        <f>EXP(-LN(2)/2)*CM74+(1-EXP(-LN(2)/2))/(LN(2)/2)*CG75*CJ75*VLOOKUP('Données projet'!$B$12,Paramètres!$A$1:$I$89,3,0)*0.475*44/12</f>
        <v>5.069880999237047E-6</v>
      </c>
      <c r="CN75" s="24">
        <f t="shared" si="66"/>
        <v>0.28852223169023211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59.217599999999969</v>
      </c>
      <c r="D76" s="12">
        <f t="shared" si="86"/>
        <v>16.970302883579727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588.11714506622923</v>
      </c>
      <c r="H76" s="70">
        <f t="shared" si="56"/>
        <v>389.36059752223468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17.166666666666668</v>
      </c>
      <c r="N76" s="14">
        <f>IF('Données projet'!$A$36&gt;35,N75+M76-V75,IF(A76&lt;'Données projet'!$A$36,$K$205^A76,IF(A76='Données projet'!$A$36,'Données projet'!$B$36,N75+M76-V75)))</f>
        <v>453.1666666666664</v>
      </c>
      <c r="O76" s="14">
        <f>N76*VLOOKUP('Données projet'!$B$9,Paramètres!$A$1:$I$89,3,0)*VLOOKUP('Données projet'!$B$9,Paramètres!$A$1:$I$89,5,0)</f>
        <v>212.08199999999988</v>
      </c>
      <c r="P76" s="14">
        <f t="shared" si="87"/>
        <v>52.390293521635037</v>
      </c>
      <c r="Q76" s="22">
        <f t="shared" si="54"/>
        <v>460.62257788351417</v>
      </c>
      <c r="R76" s="62">
        <f t="shared" si="55"/>
        <v>753.95591121684743</v>
      </c>
      <c r="S76" s="62">
        <f ca="1">AVERAGE(OFFSET($R$3,0,0,'Données projet'!$E$9+1,1))-AVERAGE(OFFSET($H$3,0,0,'Données projet'!$E$9+1,1))</f>
        <v>273.21086764807194</v>
      </c>
      <c r="T76" s="62">
        <f t="shared" si="88"/>
        <v>259.3474218586631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2</v>
      </c>
      <c r="AI76" s="14">
        <f>IF('Données projet'!$A$62&gt;35,AI75+AH76-AQ75,IF(A76&lt;'Données projet'!$A$62,$AF$205^A76,IF(A76='Données projet'!$A$62,'Données projet'!$B$62,AI75+AH76-AQ75)))</f>
        <v>150.99999999999991</v>
      </c>
      <c r="AJ76" s="14">
        <f>AI76*VLOOKUP('Données projet'!$B$10,Paramètres!$A$1:$I$89,3,0)*VLOOKUP('Données projet'!$B$10,Paramètres!$A$1:$I$89,5,0)</f>
        <v>131.91359999999995</v>
      </c>
      <c r="AK76" s="14">
        <f t="shared" si="89"/>
        <v>34.438159352115974</v>
      </c>
      <c r="AL76" s="22">
        <f t="shared" si="58"/>
        <v>289.72931420493518</v>
      </c>
      <c r="AM76" s="62">
        <f t="shared" si="59"/>
        <v>583.06264753826849</v>
      </c>
      <c r="AN76" s="62">
        <f ca="1">AVERAGE(OFFSET($AM$3,0,0,'Données projet'!$E$10+1,1))-AVERAGE(OFFSET($H$3,0,0,'Données projet'!$E$10+1,1))</f>
        <v>121.79484266530449</v>
      </c>
      <c r="AO76" s="62">
        <f t="shared" si="90"/>
        <v>129.14577359424788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0.86663990328403906</v>
      </c>
      <c r="AW76" s="23">
        <f>EXP(-LN(2)/2)*AW75+(1-EXP(-LN(2)/2))/(LN(2)/2)*AQ76*AT76*VLOOKUP('Données projet'!$B$10,Paramètres!$A$1:$I$89,3,0)*0.475*44/12</f>
        <v>1.20650528623901E-6</v>
      </c>
      <c r="AX76" s="23">
        <f t="shared" si="60"/>
        <v>0.86664110978932529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4.8</v>
      </c>
      <c r="BD76" s="13">
        <f>IF('Données projet'!$A$88&gt;35,BD75+BC76-BL75,IF(A76&lt;'Données projet'!$A$88,$BA$205^A76,IF(A76='Données projet'!$A$88,'Données projet'!$B$88,BD75+BC76-BL75)))</f>
        <v>173.39999999999984</v>
      </c>
      <c r="BE76" s="14">
        <f>BD76*VLOOKUP('Données projet'!$B$11,Paramètres!$A$1:$I$89,3,0)*VLOOKUP('Données projet'!$B$11,Paramètres!$A$1:$I$89,5,0)</f>
        <v>175.82759999999985</v>
      </c>
      <c r="BF76" s="14">
        <f t="shared" si="91"/>
        <v>44.392640778295565</v>
      </c>
      <c r="BG76" s="22">
        <f t="shared" si="61"/>
        <v>383.55025268886453</v>
      </c>
      <c r="BH76" s="62">
        <f t="shared" si="62"/>
        <v>676.88358602219785</v>
      </c>
      <c r="BI76" s="62">
        <f ca="1">AVERAGE(OFFSET($BH$3,0,0,'Données projet'!$E$11+1,1))-AVERAGE(OFFSET($H$3,0,0,'Données projet'!$E$11+1,1))</f>
        <v>201.65575435598231</v>
      </c>
      <c r="BJ76" s="62">
        <f t="shared" si="92"/>
        <v>103.75701796419935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9</v>
      </c>
      <c r="BY76" s="13">
        <f>IF('Données projet'!$A$114&gt;35,BY75+BX76-CG75,IF(A76&lt;'Données projet'!$A$114,$BV$205^A76,IF(A76='Données projet'!$A$114,'Données projet'!$B$114,BY75+BX76-CG75)))</f>
        <v>397.00000000000011</v>
      </c>
      <c r="BZ76" s="14">
        <f>BY76*VLOOKUP('Données projet'!$B$12,Paramètres!$A$1:$I$89,3,0)*VLOOKUP('Données projet'!$B$12,Paramètres!$A$1:$I$89,5,0)</f>
        <v>237.40600000000009</v>
      </c>
      <c r="CA76" s="14">
        <f t="shared" si="93"/>
        <v>57.881066248213493</v>
      </c>
      <c r="CB76" s="22">
        <f t="shared" si="64"/>
        <v>514.29164038230522</v>
      </c>
      <c r="CC76" s="62">
        <f t="shared" si="65"/>
        <v>807.62497371563859</v>
      </c>
      <c r="CD76" s="62">
        <f ca="1">AVERAGE(OFFSET($CC$3,0,0,'Données projet'!$E$12+1,1))-AVERAGE(OFFSET($H$3,0,0,'Données projet'!$E$12+1,1))</f>
        <v>222.32495275055498</v>
      </c>
      <c r="CE76" s="62">
        <f t="shared" si="94"/>
        <v>156.39259018918381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0.28062764484710129</v>
      </c>
      <c r="CM76" s="23">
        <f>EXP(-LN(2)/2)*CM75+(1-EXP(-LN(2)/2))/(LN(2)/2)*CG76*CJ76*VLOOKUP('Données projet'!$B$12,Paramètres!$A$1:$I$89,3,0)*0.475*44/12</f>
        <v>3.5849472343693455E-6</v>
      </c>
      <c r="CN76" s="24">
        <f t="shared" si="66"/>
        <v>0.28063122979433563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60.028799999999968</v>
      </c>
      <c r="D77" s="12">
        <f t="shared" si="86"/>
        <v>17.175550352716158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595.96340623149285</v>
      </c>
      <c r="H77" s="70">
        <f t="shared" si="56"/>
        <v>391.13091019764727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17.166666666666668</v>
      </c>
      <c r="N77" s="14">
        <f>IF('Données projet'!$A$36&gt;35,N76+M77-V76,IF(A77&lt;'Données projet'!$A$36,$K$205^A77,IF(A77='Données projet'!$A$36,'Données projet'!$B$36,N76+M77-V76)))</f>
        <v>470.33333333333309</v>
      </c>
      <c r="O77" s="14">
        <f>N77*VLOOKUP('Données projet'!$B$9,Paramètres!$A$1:$I$89,3,0)*VLOOKUP('Données projet'!$B$9,Paramètres!$A$1:$I$89,5,0)</f>
        <v>220.1159999999999</v>
      </c>
      <c r="P77" s="14">
        <f t="shared" si="87"/>
        <v>54.140096973925921</v>
      </c>
      <c r="Q77" s="22">
        <f t="shared" si="54"/>
        <v>477.66270222958747</v>
      </c>
      <c r="R77" s="62">
        <f t="shared" si="55"/>
        <v>770.99603556292072</v>
      </c>
      <c r="S77" s="62">
        <f ca="1">AVERAGE(OFFSET($R$3,0,0,'Données projet'!$E$9+1,1))-AVERAGE(OFFSET($H$3,0,0,'Données projet'!$E$9+1,1))</f>
        <v>273.21086764807194</v>
      </c>
      <c r="T77" s="62">
        <f t="shared" si="88"/>
        <v>259.3474218586631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2</v>
      </c>
      <c r="AI77" s="14">
        <f>IF('Données projet'!$A$62&gt;35,AI76+AH77-AQ76,IF(A77&lt;'Données projet'!$A$62,$AF$205^A77,IF(A77='Données projet'!$A$62,'Données projet'!$B$62,AI76+AH77-AQ76)))</f>
        <v>152.99999999999991</v>
      </c>
      <c r="AJ77" s="14">
        <f>AI77*VLOOKUP('Données projet'!$B$10,Paramètres!$A$1:$I$89,3,0)*VLOOKUP('Données projet'!$B$10,Paramètres!$A$1:$I$89,5,0)</f>
        <v>133.66079999999994</v>
      </c>
      <c r="AK77" s="14">
        <f t="shared" si="89"/>
        <v>34.840890682716719</v>
      </c>
      <c r="AL77" s="22">
        <f t="shared" si="58"/>
        <v>293.47377793906486</v>
      </c>
      <c r="AM77" s="62">
        <f t="shared" si="59"/>
        <v>586.80711127239817</v>
      </c>
      <c r="AN77" s="62">
        <f ca="1">AVERAGE(OFFSET($AM$3,0,0,'Données projet'!$E$10+1,1))-AVERAGE(OFFSET($H$3,0,0,'Données projet'!$E$10+1,1))</f>
        <v>121.79484266530449</v>
      </c>
      <c r="AO77" s="62">
        <f t="shared" si="90"/>
        <v>129.14577359424788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0.84294158955412524</v>
      </c>
      <c r="AW77" s="23">
        <f>EXP(-LN(2)/2)*AW76+(1-EXP(-LN(2)/2))/(LN(2)/2)*AQ77*AT77*VLOOKUP('Données projet'!$B$10,Paramètres!$A$1:$I$89,3,0)*0.475*44/12</f>
        <v>8.5312806943702051E-7</v>
      </c>
      <c r="AX77" s="23">
        <f t="shared" si="60"/>
        <v>0.84294244268219465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4.8</v>
      </c>
      <c r="BD77" s="13">
        <f>IF('Données projet'!$A$88&gt;35,BD76+BC77-BL76,IF(A77&lt;'Données projet'!$A$88,$BA$205^A77,IF(A77='Données projet'!$A$88,'Données projet'!$B$88,BD76+BC77-BL76)))</f>
        <v>178.19999999999985</v>
      </c>
      <c r="BE77" s="14">
        <f>BD77*VLOOKUP('Données projet'!$B$11,Paramètres!$A$1:$I$89,3,0)*VLOOKUP('Données projet'!$B$11,Paramètres!$A$1:$I$89,5,0)</f>
        <v>180.69479999999984</v>
      </c>
      <c r="BF77" s="14">
        <f t="shared" si="91"/>
        <v>45.476731688663754</v>
      </c>
      <c r="BG77" s="22">
        <f t="shared" si="61"/>
        <v>393.91541769108909</v>
      </c>
      <c r="BH77" s="62">
        <f t="shared" si="62"/>
        <v>687.2487510244224</v>
      </c>
      <c r="BI77" s="62">
        <f ca="1">AVERAGE(OFFSET($BH$3,0,0,'Données projet'!$E$11+1,1))-AVERAGE(OFFSET($H$3,0,0,'Données projet'!$E$11+1,1))</f>
        <v>201.65575435598231</v>
      </c>
      <c r="BJ77" s="62">
        <f t="shared" si="92"/>
        <v>103.75701796419935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9</v>
      </c>
      <c r="BY77" s="13">
        <f>IF('Données projet'!$A$114&gt;35,BY76+BX77-CG76,IF(A77&lt;'Données projet'!$A$114,$BV$205^A77,IF(A77='Données projet'!$A$114,'Données projet'!$B$114,BY76+BX77-CG76)))</f>
        <v>406.00000000000011</v>
      </c>
      <c r="BZ77" s="14">
        <f>BY77*VLOOKUP('Données projet'!$B$12,Paramètres!$A$1:$I$89,3,0)*VLOOKUP('Données projet'!$B$12,Paramètres!$A$1:$I$89,5,0)</f>
        <v>242.78800000000007</v>
      </c>
      <c r="CA77" s="14">
        <f t="shared" si="93"/>
        <v>59.038978452354563</v>
      </c>
      <c r="CB77" s="22">
        <f t="shared" si="64"/>
        <v>525.68198747118436</v>
      </c>
      <c r="CC77" s="62">
        <f t="shared" si="65"/>
        <v>819.01532080451761</v>
      </c>
      <c r="CD77" s="62">
        <f ca="1">AVERAGE(OFFSET($CC$3,0,0,'Données projet'!$E$12+1,1))-AVERAGE(OFFSET($H$3,0,0,'Données projet'!$E$12+1,1))</f>
        <v>222.32495275055498</v>
      </c>
      <c r="CE77" s="62">
        <f t="shared" si="94"/>
        <v>156.39259018918381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0.27295386714119085</v>
      </c>
      <c r="CM77" s="23">
        <f>EXP(-LN(2)/2)*CM76+(1-EXP(-LN(2)/2))/(LN(2)/2)*CG77*CJ77*VLOOKUP('Données projet'!$B$12,Paramètres!$A$1:$I$89,3,0)*0.475*44/12</f>
        <v>2.5349404996185235E-6</v>
      </c>
      <c r="CN77" s="24">
        <f t="shared" si="66"/>
        <v>0.27295640208169047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60.839999999999968</v>
      </c>
      <c r="D78" s="12">
        <f t="shared" si="86"/>
        <v>17.38047521653144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603.80717711006707</v>
      </c>
      <c r="H78" s="70">
        <f t="shared" si="56"/>
        <v>392.9006610021255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17.166666666666668</v>
      </c>
      <c r="N78" s="14">
        <f>IF('Données projet'!$A$36&gt;35,N77+M78-V77,IF(A78&lt;'Données projet'!$A$36,$K$205^A78,IF(A78='Données projet'!$A$36,'Données projet'!$B$36,N77+M78-V77)))</f>
        <v>487.49999999999977</v>
      </c>
      <c r="O78" s="14">
        <f>N78*VLOOKUP('Données projet'!$B$9,Paramètres!$A$1:$I$89,3,0)*VLOOKUP('Données projet'!$B$9,Paramètres!$A$1:$I$89,5,0)</f>
        <v>228.14999999999989</v>
      </c>
      <c r="P78" s="14">
        <f t="shared" si="87"/>
        <v>55.882480456847652</v>
      </c>
      <c r="Q78" s="22">
        <f t="shared" si="54"/>
        <v>494.68990346234278</v>
      </c>
      <c r="R78" s="62">
        <f t="shared" si="55"/>
        <v>788.0232367956761</v>
      </c>
      <c r="S78" s="62">
        <f ca="1">AVERAGE(OFFSET($R$3,0,0,'Données projet'!$E$9+1,1))-AVERAGE(OFFSET($H$3,0,0,'Données projet'!$E$9+1,1))</f>
        <v>273.21086764807194</v>
      </c>
      <c r="T78" s="62">
        <f t="shared" si="88"/>
        <v>259.3474218586631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155</v>
      </c>
      <c r="AG78" s="13">
        <f>VLOOKUP(A78,'Données projet'!$A$61:$I$81,9,0)</f>
        <v>2</v>
      </c>
      <c r="AH78" s="13">
        <f t="array" ref="AH78">INDEX(AG:AG,MIN(IF(ISNUMBER(AG78:AG274),ROW(AG78:AG274),"")))</f>
        <v>2</v>
      </c>
      <c r="AI78" s="14">
        <f>IF('Données projet'!$A$62&gt;35,AI77+AH78-AQ77,IF(A78&lt;'Données projet'!$A$62,$AF$205^A78,IF(A78='Données projet'!$A$62,'Données projet'!$B$62,AI77+AH78-AQ77)))</f>
        <v>154.99999999999991</v>
      </c>
      <c r="AJ78" s="14">
        <f>AI78*VLOOKUP('Données projet'!$B$10,Paramètres!$A$1:$I$89,3,0)*VLOOKUP('Données projet'!$B$10,Paramètres!$A$1:$I$89,5,0)</f>
        <v>135.40799999999993</v>
      </c>
      <c r="AK78" s="14">
        <f t="shared" si="89"/>
        <v>35.243009677478732</v>
      </c>
      <c r="AL78" s="22">
        <f t="shared" si="58"/>
        <v>297.21717518827535</v>
      </c>
      <c r="AM78" s="62">
        <f t="shared" si="59"/>
        <v>590.55050852160866</v>
      </c>
      <c r="AN78" s="62">
        <f ca="1">AVERAGE(OFFSET($AM$3,0,0,'Données projet'!$E$10+1,1))-AVERAGE(OFFSET($H$3,0,0,'Données projet'!$E$10+1,1))</f>
        <v>121.79484266530449</v>
      </c>
      <c r="AO78" s="62">
        <f t="shared" si="90"/>
        <v>129.14577359424788</v>
      </c>
      <c r="AP78" s="16">
        <f>IF(ISNA(VLOOKUP(A78,'Données projet'!$A$61:$I$81,3,0)),0,VLOOKUP(A78,'Données projet'!$A$61:$I$81,3,0))</f>
        <v>12</v>
      </c>
      <c r="AQ78" s="16">
        <f>IF(ISNA(VLOOKUP(A78,'Données projet'!$A$61:$I$81,4,0)),0,VLOOKUP(A78,'Données projet'!$A$61:$I$81,4,0))</f>
        <v>4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0.81989130745939609</v>
      </c>
      <c r="AW78" s="23">
        <f>EXP(-LN(2)/2)*AW77+(1-EXP(-LN(2)/2))/(LN(2)/2)*AQ78*AT78*VLOOKUP('Données projet'!$B$10,Paramètres!$A$1:$I$89,3,0)*0.475*44/12</f>
        <v>6.0325264311950498E-7</v>
      </c>
      <c r="AX78" s="23">
        <f t="shared" si="60"/>
        <v>0.81989191071203926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183</v>
      </c>
      <c r="BB78" s="13">
        <f>VLOOKUP(A78,'Données projet'!$A$87:$I$107,9,0)</f>
        <v>4.8</v>
      </c>
      <c r="BC78" s="13">
        <f t="array" ref="BC78">INDEX(BB:BB,MIN(IF(ISNUMBER(BB78:BB274),ROW(BB78:BB274),"")))</f>
        <v>4.8</v>
      </c>
      <c r="BD78" s="13">
        <f>IF('Données projet'!$A$88&gt;35,BD77+BC78-BL77,IF(A78&lt;'Données projet'!$A$88,$BA$205^A78,IF(A78='Données projet'!$A$88,'Données projet'!$B$88,BD77+BC78-BL77)))</f>
        <v>182.99999999999986</v>
      </c>
      <c r="BE78" s="14">
        <f>BD78*VLOOKUP('Données projet'!$B$11,Paramètres!$A$1:$I$89,3,0)*VLOOKUP('Données projet'!$B$11,Paramètres!$A$1:$I$89,5,0)</f>
        <v>185.56199999999987</v>
      </c>
      <c r="BF78" s="14">
        <f t="shared" si="91"/>
        <v>46.557428480028548</v>
      </c>
      <c r="BG78" s="22">
        <f t="shared" si="61"/>
        <v>404.27467126938285</v>
      </c>
      <c r="BH78" s="62">
        <f t="shared" si="62"/>
        <v>697.60800460271616</v>
      </c>
      <c r="BI78" s="62">
        <f ca="1">AVERAGE(OFFSET($BH$3,0,0,'Données projet'!$E$11+1,1))-AVERAGE(OFFSET($H$3,0,0,'Données projet'!$E$11+1,1))</f>
        <v>201.65575435598231</v>
      </c>
      <c r="BJ78" s="62">
        <f t="shared" si="92"/>
        <v>103.75701796419935</v>
      </c>
      <c r="BK78" s="16">
        <f>IF(ISNA(VLOOKUP(A78,'Données projet'!$A$87:$I$107,3,0)),0,VLOOKUP(A78,'Données projet'!$A$87:$I$107,3,0))</f>
        <v>11</v>
      </c>
      <c r="BL78" s="16">
        <f>IF(ISNA(VLOOKUP(A78,'Données projet'!$A$87:$I$107,4,0)),0,VLOOKUP(A78,'Données projet'!$A$87:$I$107,4,0))</f>
        <v>14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9</v>
      </c>
      <c r="BY78" s="13">
        <f>IF('Données projet'!$A$114&gt;35,BY77+BX78-CG77,IF(A78&lt;'Données projet'!$A$114,$BV$205^A78,IF(A78='Données projet'!$A$114,'Données projet'!$B$114,BY77+BX78-CG77)))</f>
        <v>415.00000000000011</v>
      </c>
      <c r="BZ78" s="14">
        <f>BY78*VLOOKUP('Données projet'!$B$12,Paramètres!$A$1:$I$89,3,0)*VLOOKUP('Données projet'!$B$12,Paramètres!$A$1:$I$89,5,0)</f>
        <v>248.1700000000001</v>
      </c>
      <c r="CA78" s="14">
        <f t="shared" si="93"/>
        <v>60.193906493778854</v>
      </c>
      <c r="CB78" s="22">
        <f t="shared" si="64"/>
        <v>537.06713714333159</v>
      </c>
      <c r="CC78" s="62">
        <f t="shared" si="65"/>
        <v>830.40047047666485</v>
      </c>
      <c r="CD78" s="62">
        <f ca="1">AVERAGE(OFFSET($CC$3,0,0,'Données projet'!$E$12+1,1))-AVERAGE(OFFSET($H$3,0,0,'Données projet'!$E$12+1,1))</f>
        <v>222.32495275055498</v>
      </c>
      <c r="CE78" s="62">
        <f t="shared" si="94"/>
        <v>156.39259018918381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0.26548992929019494</v>
      </c>
      <c r="CM78" s="23">
        <f>EXP(-LN(2)/2)*CM77+(1-EXP(-LN(2)/2))/(LN(2)/2)*CG78*CJ78*VLOOKUP('Données projet'!$B$12,Paramètres!$A$1:$I$89,3,0)*0.475*44/12</f>
        <v>1.7924736171846728E-6</v>
      </c>
      <c r="CN78" s="24">
        <f t="shared" si="66"/>
        <v>0.26549172176381214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61.651199999999967</v>
      </c>
      <c r="D79" s="12">
        <f t="shared" si="86"/>
        <v>17.585082273674896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611.64849474415678</v>
      </c>
      <c r="H79" s="70">
        <f t="shared" si="56"/>
        <v>394.66985829331702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17.166666666666668</v>
      </c>
      <c r="N79" s="14">
        <f>IF('Données projet'!$A$36&gt;35,N78+M79-V78,IF(A79&lt;'Données projet'!$A$36,$K$205^A79,IF(A79='Données projet'!$A$36,'Données projet'!$B$36,N78+M79-V78)))</f>
        <v>504.66666666666646</v>
      </c>
      <c r="O79" s="14">
        <f>N79*VLOOKUP('Données projet'!$B$9,Paramètres!$A$1:$I$89,3,0)*VLOOKUP('Données projet'!$B$9,Paramètres!$A$1:$I$89,5,0)</f>
        <v>236.18399999999991</v>
      </c>
      <c r="P79" s="14">
        <f t="shared" si="87"/>
        <v>57.617735193655143</v>
      </c>
      <c r="Q79" s="22">
        <f t="shared" si="54"/>
        <v>511.70468879561594</v>
      </c>
      <c r="R79" s="62">
        <f t="shared" si="55"/>
        <v>805.03802212894925</v>
      </c>
      <c r="S79" s="62">
        <f ca="1">AVERAGE(OFFSET($R$3,0,0,'Données projet'!$E$9+1,1))-AVERAGE(OFFSET($H$3,0,0,'Données projet'!$E$9+1,1))</f>
        <v>273.21086764807194</v>
      </c>
      <c r="T79" s="62">
        <f t="shared" si="88"/>
        <v>259.3474218586631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1.6</v>
      </c>
      <c r="AI79" s="14">
        <f>IF('Données projet'!$A$62&gt;35,AI78+AH79-AQ78,IF(A79&lt;'Données projet'!$A$62,$AF$205^A79,IF(A79='Données projet'!$A$62,'Données projet'!$B$62,AI78+AH79-AQ78)))</f>
        <v>152.59999999999991</v>
      </c>
      <c r="AJ79" s="14">
        <f>AI79*VLOOKUP('Données projet'!$B$10,Paramètres!$A$1:$I$89,3,0)*VLOOKUP('Données projet'!$B$10,Paramètres!$A$1:$I$89,5,0)</f>
        <v>133.31135999999995</v>
      </c>
      <c r="AK79" s="14">
        <f t="shared" si="89"/>
        <v>34.760393689821598</v>
      </c>
      <c r="AL79" s="22">
        <f t="shared" si="58"/>
        <v>292.72497100977256</v>
      </c>
      <c r="AM79" s="62">
        <f t="shared" si="59"/>
        <v>586.05830434310587</v>
      </c>
      <c r="AN79" s="62">
        <f ca="1">AVERAGE(OFFSET($AM$3,0,0,'Données projet'!$E$10+1,1))-AVERAGE(OFFSET($H$3,0,0,'Données projet'!$E$10+1,1))</f>
        <v>121.79484266530449</v>
      </c>
      <c r="AO79" s="62">
        <f t="shared" si="90"/>
        <v>129.14577359424788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0.7974713365407089</v>
      </c>
      <c r="AW79" s="23">
        <f>EXP(-LN(2)/2)*AW78+(1-EXP(-LN(2)/2))/(LN(2)/2)*AQ79*AT79*VLOOKUP('Données projet'!$B$10,Paramètres!$A$1:$I$89,3,0)*0.475*44/12</f>
        <v>4.2656403471851025E-7</v>
      </c>
      <c r="AX79" s="23">
        <f t="shared" si="60"/>
        <v>0.79747176310474366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4.5999999999999996</v>
      </c>
      <c r="BD79" s="13">
        <f>IF('Données projet'!$A$88&gt;35,BD78+BC79-BL78,IF(A79&lt;'Données projet'!$A$88,$BA$205^A79,IF(A79='Données projet'!$A$88,'Données projet'!$B$88,BD78+BC79-BL78)))</f>
        <v>173.59999999999985</v>
      </c>
      <c r="BE79" s="14">
        <f>BD79*VLOOKUP('Données projet'!$B$11,Paramètres!$A$1:$I$89,3,0)*VLOOKUP('Données projet'!$B$11,Paramètres!$A$1:$I$89,5,0)</f>
        <v>176.03039999999984</v>
      </c>
      <c r="BF79" s="14">
        <f t="shared" si="91"/>
        <v>44.437880346232902</v>
      </c>
      <c r="BG79" s="22">
        <f t="shared" si="61"/>
        <v>383.98225493635533</v>
      </c>
      <c r="BH79" s="62">
        <f t="shared" si="62"/>
        <v>677.31558826968865</v>
      </c>
      <c r="BI79" s="62">
        <f ca="1">AVERAGE(OFFSET($BH$3,0,0,'Données projet'!$E$11+1,1))-AVERAGE(OFFSET($H$3,0,0,'Données projet'!$E$11+1,1))</f>
        <v>201.65575435598231</v>
      </c>
      <c r="BJ79" s="62">
        <f t="shared" si="92"/>
        <v>103.75701796419935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9</v>
      </c>
      <c r="BY79" s="13">
        <f>IF('Données projet'!$A$114&gt;35,BY78+BX79-CG78,IF(A79&lt;'Données projet'!$A$114,$BV$205^A79,IF(A79='Données projet'!$A$114,'Données projet'!$B$114,BY78+BX79-CG78)))</f>
        <v>424.00000000000011</v>
      </c>
      <c r="BZ79" s="14">
        <f>BY79*VLOOKUP('Données projet'!$B$12,Paramètres!$A$1:$I$89,3,0)*VLOOKUP('Données projet'!$B$12,Paramètres!$A$1:$I$89,5,0)</f>
        <v>253.55200000000008</v>
      </c>
      <c r="CA79" s="14">
        <f t="shared" si="93"/>
        <v>61.345922542613536</v>
      </c>
      <c r="CB79" s="22">
        <f t="shared" si="64"/>
        <v>548.447215095052</v>
      </c>
      <c r="CC79" s="62">
        <f t="shared" si="65"/>
        <v>841.78054842838537</v>
      </c>
      <c r="CD79" s="62">
        <f ca="1">AVERAGE(OFFSET($CC$3,0,0,'Données projet'!$E$12+1,1))-AVERAGE(OFFSET($H$3,0,0,'Données projet'!$E$12+1,1))</f>
        <v>222.32495275055498</v>
      </c>
      <c r="CE79" s="62">
        <f t="shared" si="94"/>
        <v>156.39259018918381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0.25823009321224594</v>
      </c>
      <c r="CM79" s="23">
        <f>EXP(-LN(2)/2)*CM78+(1-EXP(-LN(2)/2))/(LN(2)/2)*CG79*CJ79*VLOOKUP('Données projet'!$B$12,Paramètres!$A$1:$I$89,3,0)*0.475*44/12</f>
        <v>1.2674702498092617E-6</v>
      </c>
      <c r="CN79" s="24">
        <f t="shared" si="66"/>
        <v>0.25823136068249575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62.462399999999967</v>
      </c>
      <c r="D80" s="12">
        <f t="shared" si="86"/>
        <v>17.789376189256863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619.48739514514045</v>
      </c>
      <c r="H80" s="70">
        <f t="shared" si="56"/>
        <v>396.43851019628903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17.166666666666668</v>
      </c>
      <c r="N80" s="14">
        <f>IF('Données projet'!$A$36&gt;35,N79+M80-V79,IF(A80&lt;'Données projet'!$A$36,$K$205^A80,IF(A80='Données projet'!$A$36,'Données projet'!$B$36,N79+M80-V79)))</f>
        <v>521.83333333333314</v>
      </c>
      <c r="O80" s="14">
        <f>N80*VLOOKUP('Données projet'!$B$9,Paramètres!$A$1:$I$89,3,0)*VLOOKUP('Données projet'!$B$9,Paramètres!$A$1:$I$89,5,0)</f>
        <v>244.2179999999999</v>
      </c>
      <c r="P80" s="14">
        <f t="shared" si="87"/>
        <v>59.346131471271747</v>
      </c>
      <c r="Q80" s="22">
        <f t="shared" si="54"/>
        <v>528.70752897913144</v>
      </c>
      <c r="R80" s="62">
        <f t="shared" si="55"/>
        <v>822.0408623124647</v>
      </c>
      <c r="S80" s="62">
        <f ca="1">AVERAGE(OFFSET($R$3,0,0,'Données projet'!$E$9+1,1))-AVERAGE(OFFSET($H$3,0,0,'Données projet'!$E$9+1,1))</f>
        <v>273.21086764807194</v>
      </c>
      <c r="T80" s="62">
        <f t="shared" si="88"/>
        <v>259.3474218586631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1.6</v>
      </c>
      <c r="AI80" s="14">
        <f>IF('Données projet'!$A$62&gt;35,AI79+AH80-AQ79,IF(A80&lt;'Données projet'!$A$62,$AF$205^A80,IF(A80='Données projet'!$A$62,'Données projet'!$B$62,AI79+AH80-AQ79)))</f>
        <v>154.1999999999999</v>
      </c>
      <c r="AJ80" s="14">
        <f>AI80*VLOOKUP('Données projet'!$B$10,Paramètres!$A$1:$I$89,3,0)*VLOOKUP('Données projet'!$B$10,Paramètres!$A$1:$I$89,5,0)</f>
        <v>134.70911999999993</v>
      </c>
      <c r="AK80" s="14">
        <f t="shared" si="89"/>
        <v>35.082234990312983</v>
      </c>
      <c r="AL80" s="22">
        <f t="shared" si="58"/>
        <v>295.71994327479496</v>
      </c>
      <c r="AM80" s="62">
        <f t="shared" si="59"/>
        <v>589.05327660812827</v>
      </c>
      <c r="AN80" s="62">
        <f ca="1">AVERAGE(OFFSET($AM$3,0,0,'Données projet'!$E$10+1,1))-AVERAGE(OFFSET($H$3,0,0,'Données projet'!$E$10+1,1))</f>
        <v>121.79484266530449</v>
      </c>
      <c r="AO80" s="62">
        <f t="shared" si="90"/>
        <v>129.14577359424788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0.77566444090580822</v>
      </c>
      <c r="AW80" s="23">
        <f>EXP(-LN(2)/2)*AW79+(1-EXP(-LN(2)/2))/(LN(2)/2)*AQ80*AT80*VLOOKUP('Données projet'!$B$10,Paramètres!$A$1:$I$89,3,0)*0.475*44/12</f>
        <v>3.0162632155975249E-7</v>
      </c>
      <c r="AX80" s="23">
        <f t="shared" si="60"/>
        <v>0.7756647425321298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4.5999999999999996</v>
      </c>
      <c r="BD80" s="13">
        <f>IF('Données projet'!$A$88&gt;35,BD79+BC80-BL79,IF(A80&lt;'Données projet'!$A$88,$BA$205^A80,IF(A80='Données projet'!$A$88,'Données projet'!$B$88,BD79+BC80-BL79)))</f>
        <v>178.19999999999985</v>
      </c>
      <c r="BE80" s="14">
        <f>BD80*VLOOKUP('Données projet'!$B$11,Paramètres!$A$1:$I$89,3,0)*VLOOKUP('Données projet'!$B$11,Paramètres!$A$1:$I$89,5,0)</f>
        <v>180.69479999999984</v>
      </c>
      <c r="BF80" s="14">
        <f t="shared" si="91"/>
        <v>45.476731688663754</v>
      </c>
      <c r="BG80" s="22">
        <f t="shared" si="61"/>
        <v>393.91541769108909</v>
      </c>
      <c r="BH80" s="62">
        <f t="shared" si="62"/>
        <v>687.2487510244224</v>
      </c>
      <c r="BI80" s="62">
        <f ca="1">AVERAGE(OFFSET($BH$3,0,0,'Données projet'!$E$11+1,1))-AVERAGE(OFFSET($H$3,0,0,'Données projet'!$E$11+1,1))</f>
        <v>201.65575435598231</v>
      </c>
      <c r="BJ80" s="62">
        <f t="shared" si="92"/>
        <v>103.75701796419935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9</v>
      </c>
      <c r="BY80" s="13">
        <f>IF('Données projet'!$A$114&gt;35,BY79+BX80-CG79,IF(A80&lt;'Données projet'!$A$114,$BV$205^A80,IF(A80='Données projet'!$A$114,'Données projet'!$B$114,BY79+BX80-CG79)))</f>
        <v>433.00000000000011</v>
      </c>
      <c r="BZ80" s="14">
        <f>BY80*VLOOKUP('Données projet'!$B$12,Paramètres!$A$1:$I$89,3,0)*VLOOKUP('Données projet'!$B$12,Paramètres!$A$1:$I$89,5,0)</f>
        <v>258.93400000000008</v>
      </c>
      <c r="CA80" s="14">
        <f t="shared" si="93"/>
        <v>62.495095530116075</v>
      </c>
      <c r="CB80" s="22">
        <f t="shared" si="64"/>
        <v>559.82234138161891</v>
      </c>
      <c r="CC80" s="62">
        <f t="shared" si="65"/>
        <v>853.15567471495228</v>
      </c>
      <c r="CD80" s="62">
        <f ca="1">AVERAGE(OFFSET($CC$3,0,0,'Données projet'!$E$12+1,1))-AVERAGE(OFFSET($H$3,0,0,'Données projet'!$E$12+1,1))</f>
        <v>222.32495275055498</v>
      </c>
      <c r="CE80" s="62">
        <f t="shared" si="94"/>
        <v>156.39259018918381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0.25116877773362667</v>
      </c>
      <c r="CM80" s="23">
        <f>EXP(-LN(2)/2)*CM79+(1-EXP(-LN(2)/2))/(LN(2)/2)*CG80*CJ80*VLOOKUP('Données projet'!$B$12,Paramètres!$A$1:$I$89,3,0)*0.475*44/12</f>
        <v>8.9623680859233639E-7</v>
      </c>
      <c r="CN80" s="24">
        <f t="shared" si="66"/>
        <v>0.25116967397043527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63.273599999999966</v>
      </c>
      <c r="D81" s="12">
        <f t="shared" si="86"/>
        <v>17.99336150025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627.32391333526289</v>
      </c>
      <c r="H81" s="70">
        <f t="shared" si="56"/>
        <v>398.20662461293534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>
        <f>VLOOKUP(A81,'Données projet'!$A$35:$I$55,2,0)</f>
        <v>539</v>
      </c>
      <c r="L81" s="13">
        <f>VLOOKUP(A81,'Données projet'!$A$35:$I$55,9,0)</f>
        <v>17.166666666666668</v>
      </c>
      <c r="M81" s="13">
        <f t="array" ref="M81">INDEX(L:L,MIN(IF(ISNUMBER(L81:L277),ROW(L81:L277),"")))</f>
        <v>17.166666666666668</v>
      </c>
      <c r="N81" s="14">
        <f>IF('Données projet'!$A$36&gt;35,N80+M81-V80,IF(A81&lt;'Données projet'!$A$36,$K$205^A81,IF(A81='Données projet'!$A$36,'Données projet'!$B$36,N80+M81-V80)))</f>
        <v>538.99999999999977</v>
      </c>
      <c r="O81" s="14">
        <f>N81*VLOOKUP('Données projet'!$B$9,Paramètres!$A$1:$I$89,3,0)*VLOOKUP('Données projet'!$B$9,Paramètres!$A$1:$I$89,5,0)</f>
        <v>252.2519999999999</v>
      </c>
      <c r="P81" s="14">
        <f t="shared" si="87"/>
        <v>61.067920784150772</v>
      </c>
      <c r="Q81" s="22">
        <f t="shared" si="54"/>
        <v>545.69886203239582</v>
      </c>
      <c r="R81" s="62">
        <f t="shared" si="55"/>
        <v>839.03219536572919</v>
      </c>
      <c r="S81" s="62">
        <f ca="1">AVERAGE(OFFSET($R$3,0,0,'Données projet'!$E$9+1,1))-AVERAGE(OFFSET($H$3,0,0,'Données projet'!$E$9+1,1))</f>
        <v>273.21086764807194</v>
      </c>
      <c r="T81" s="62">
        <f t="shared" si="88"/>
        <v>259.3474218586631</v>
      </c>
      <c r="U81" s="16">
        <f>IF(ISNA(VLOOKUP(A81,'Données projet'!$A$35:$I$55,3,0)),0,VLOOKUP(A81,'Données projet'!$A$35:$I$55,3,0))</f>
        <v>7</v>
      </c>
      <c r="V81" s="16">
        <f>IF(ISNA(VLOOKUP(A81,'Données projet'!$A$35:$I$55,4,0)),0,VLOOKUP(A81,'Données projet'!$A$35:$I$55,4,0))</f>
        <v>82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1.6</v>
      </c>
      <c r="AI81" s="14">
        <f>IF('Données projet'!$A$62&gt;35,AI80+AH81-AQ80,IF(A81&lt;'Données projet'!$A$62,$AF$205^A81,IF(A81='Données projet'!$A$62,'Données projet'!$B$62,AI80+AH81-AQ80)))</f>
        <v>155.7999999999999</v>
      </c>
      <c r="AJ81" s="14">
        <f>AI81*VLOOKUP('Données projet'!$B$10,Paramètres!$A$1:$I$89,3,0)*VLOOKUP('Données projet'!$B$10,Paramètres!$A$1:$I$89,5,0)</f>
        <v>136.10687999999993</v>
      </c>
      <c r="AK81" s="14">
        <f t="shared" si="89"/>
        <v>35.403687803916242</v>
      </c>
      <c r="AL81" s="22">
        <f t="shared" si="58"/>
        <v>298.71423892515395</v>
      </c>
      <c r="AM81" s="62">
        <f t="shared" si="59"/>
        <v>592.04757225848721</v>
      </c>
      <c r="AN81" s="62">
        <f ca="1">AVERAGE(OFFSET($AM$3,0,0,'Données projet'!$E$10+1,1))-AVERAGE(OFFSET($H$3,0,0,'Données projet'!$E$10+1,1))</f>
        <v>121.79484266530449</v>
      </c>
      <c r="AO81" s="62">
        <f t="shared" si="90"/>
        <v>129.14577359424788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0.75445385597881875</v>
      </c>
      <c r="AW81" s="23">
        <f>EXP(-LN(2)/2)*AW80+(1-EXP(-LN(2)/2))/(LN(2)/2)*AQ81*AT81*VLOOKUP('Données projet'!$B$10,Paramètres!$A$1:$I$89,3,0)*0.475*44/12</f>
        <v>2.1328201735925513E-7</v>
      </c>
      <c r="AX81" s="23">
        <f t="shared" si="60"/>
        <v>0.75445406926083614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4.5999999999999996</v>
      </c>
      <c r="BD81" s="13">
        <f>IF('Données projet'!$A$88&gt;35,BD80+BC81-BL80,IF(A81&lt;'Données projet'!$A$88,$BA$205^A81,IF(A81='Données projet'!$A$88,'Données projet'!$B$88,BD80+BC81-BL80)))</f>
        <v>182.79999999999984</v>
      </c>
      <c r="BE81" s="14">
        <f>BD81*VLOOKUP('Données projet'!$B$11,Paramètres!$A$1:$I$89,3,0)*VLOOKUP('Données projet'!$B$11,Paramètres!$A$1:$I$89,5,0)</f>
        <v>185.35919999999984</v>
      </c>
      <c r="BF81" s="14">
        <f t="shared" si="91"/>
        <v>46.51246589912639</v>
      </c>
      <c r="BG81" s="22">
        <f t="shared" si="61"/>
        <v>403.84315144097815</v>
      </c>
      <c r="BH81" s="62">
        <f t="shared" si="62"/>
        <v>697.17648477431146</v>
      </c>
      <c r="BI81" s="62">
        <f ca="1">AVERAGE(OFFSET($BH$3,0,0,'Données projet'!$E$11+1,1))-AVERAGE(OFFSET($H$3,0,0,'Données projet'!$E$11+1,1))</f>
        <v>201.65575435598231</v>
      </c>
      <c r="BJ81" s="62">
        <f t="shared" si="92"/>
        <v>103.75701796419935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9</v>
      </c>
      <c r="BY81" s="13">
        <f>IF('Données projet'!$A$114&gt;35,BY80+BX81-CG80,IF(A81&lt;'Données projet'!$A$114,$BV$205^A81,IF(A81='Données projet'!$A$114,'Données projet'!$B$114,BY80+BX81-CG80)))</f>
        <v>442.00000000000011</v>
      </c>
      <c r="BZ81" s="14">
        <f>BY81*VLOOKUP('Données projet'!$B$12,Paramètres!$A$1:$I$89,3,0)*VLOOKUP('Données projet'!$B$12,Paramètres!$A$1:$I$89,5,0)</f>
        <v>264.31600000000009</v>
      </c>
      <c r="CA81" s="14">
        <f t="shared" si="93"/>
        <v>63.641491358279801</v>
      </c>
      <c r="CB81" s="22">
        <f t="shared" si="64"/>
        <v>571.19263078233746</v>
      </c>
      <c r="CC81" s="62">
        <f t="shared" si="65"/>
        <v>864.52596411567083</v>
      </c>
      <c r="CD81" s="62">
        <f ca="1">AVERAGE(OFFSET($CC$3,0,0,'Données projet'!$E$12+1,1))-AVERAGE(OFFSET($H$3,0,0,'Données projet'!$E$12+1,1))</f>
        <v>222.32495275055498</v>
      </c>
      <c r="CE81" s="62">
        <f t="shared" si="94"/>
        <v>156.39259018918381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0.24430055429810868</v>
      </c>
      <c r="CM81" s="23">
        <f>EXP(-LN(2)/2)*CM80+(1-EXP(-LN(2)/2))/(LN(2)/2)*CG81*CJ81*VLOOKUP('Données projet'!$B$12,Paramètres!$A$1:$I$89,3,0)*0.475*44/12</f>
        <v>6.3373512490463087E-7</v>
      </c>
      <c r="CN81" s="24">
        <f t="shared" si="66"/>
        <v>0.24430118803323359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64.084799999999973</v>
      </c>
      <c r="D82" s="12">
        <f t="shared" si="86"/>
        <v>18.197042620605469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635.15808338712975</v>
      </c>
      <c r="H82" s="70">
        <f t="shared" si="56"/>
        <v>399.97420923088782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16.166666666666668</v>
      </c>
      <c r="N82" s="14">
        <f>IF('Données projet'!$A$36&gt;35,N81+M82-V81,IF(A82&lt;'Données projet'!$A$36,$K$205^A82,IF(A82='Données projet'!$A$36,'Données projet'!$B$36,N81+M82-V81)))</f>
        <v>473.1666666666664</v>
      </c>
      <c r="O82" s="14">
        <f>N82*VLOOKUP('Données projet'!$B$9,Paramètres!$A$1:$I$89,3,0)*VLOOKUP('Données projet'!$B$9,Paramètres!$A$1:$I$89,5,0)</f>
        <v>221.44199999999987</v>
      </c>
      <c r="P82" s="14">
        <f t="shared" si="87"/>
        <v>54.428178028031503</v>
      </c>
      <c r="Q82" s="22">
        <f t="shared" si="54"/>
        <v>480.47389339882125</v>
      </c>
      <c r="R82" s="62">
        <f t="shared" si="55"/>
        <v>773.8072267321545</v>
      </c>
      <c r="S82" s="62">
        <f ca="1">AVERAGE(OFFSET($R$3,0,0,'Données projet'!$E$9+1,1))-AVERAGE(OFFSET($H$3,0,0,'Données projet'!$E$9+1,1))</f>
        <v>273.21086764807194</v>
      </c>
      <c r="T82" s="62">
        <f t="shared" si="88"/>
        <v>259.3474218586631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1.6</v>
      </c>
      <c r="AI82" s="14">
        <f>IF('Données projet'!$A$62&gt;35,AI81+AH82-AQ81,IF(A82&lt;'Données projet'!$A$62,$AF$205^A82,IF(A82='Données projet'!$A$62,'Données projet'!$B$62,AI81+AH82-AQ81)))</f>
        <v>157.39999999999989</v>
      </c>
      <c r="AJ82" s="14">
        <f>AI82*VLOOKUP('Données projet'!$B$10,Paramètres!$A$1:$I$89,3,0)*VLOOKUP('Données projet'!$B$10,Paramètres!$A$1:$I$89,5,0)</f>
        <v>137.50463999999994</v>
      </c>
      <c r="AK82" s="14">
        <f t="shared" si="89"/>
        <v>35.724756582112299</v>
      </c>
      <c r="AL82" s="22">
        <f t="shared" si="58"/>
        <v>301.70786571384548</v>
      </c>
      <c r="AM82" s="62">
        <f t="shared" si="59"/>
        <v>595.04119904717879</v>
      </c>
      <c r="AN82" s="62">
        <f ca="1">AVERAGE(OFFSET($AM$3,0,0,'Données projet'!$E$10+1,1))-AVERAGE(OFFSET($H$3,0,0,'Données projet'!$E$10+1,1))</f>
        <v>121.79484266530449</v>
      </c>
      <c r="AO82" s="62">
        <f t="shared" si="90"/>
        <v>129.14577359424788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0.73382327561207394</v>
      </c>
      <c r="AW82" s="23">
        <f>EXP(-LN(2)/2)*AW81+(1-EXP(-LN(2)/2))/(LN(2)/2)*AQ82*AT82*VLOOKUP('Données projet'!$B$10,Paramètres!$A$1:$I$89,3,0)*0.475*44/12</f>
        <v>1.5081316077987624E-7</v>
      </c>
      <c r="AX82" s="23">
        <f t="shared" si="60"/>
        <v>0.73382342642523468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4.5999999999999996</v>
      </c>
      <c r="BD82" s="13">
        <f>IF('Données projet'!$A$88&gt;35,BD81+BC82-BL81,IF(A82&lt;'Données projet'!$A$88,$BA$205^A82,IF(A82='Données projet'!$A$88,'Données projet'!$B$88,BD81+BC82-BL81)))</f>
        <v>187.39999999999984</v>
      </c>
      <c r="BE82" s="14">
        <f>BD82*VLOOKUP('Données projet'!$B$11,Paramètres!$A$1:$I$89,3,0)*VLOOKUP('Données projet'!$B$11,Paramètres!$A$1:$I$89,5,0)</f>
        <v>190.02359999999985</v>
      </c>
      <c r="BF82" s="14">
        <f t="shared" si="91"/>
        <v>47.545170438433438</v>
      </c>
      <c r="BG82" s="22">
        <f t="shared" si="61"/>
        <v>413.7656085136046</v>
      </c>
      <c r="BH82" s="62">
        <f t="shared" si="62"/>
        <v>707.09894184693792</v>
      </c>
      <c r="BI82" s="62">
        <f ca="1">AVERAGE(OFFSET($BH$3,0,0,'Données projet'!$E$11+1,1))-AVERAGE(OFFSET($H$3,0,0,'Données projet'!$E$11+1,1))</f>
        <v>201.65575435598231</v>
      </c>
      <c r="BJ82" s="62">
        <f t="shared" si="92"/>
        <v>103.75701796419935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9</v>
      </c>
      <c r="BY82" s="13">
        <f>IF('Données projet'!$A$114&gt;35,BY81+BX82-CG81,IF(A82&lt;'Données projet'!$A$114,$BV$205^A82,IF(A82='Données projet'!$A$114,'Données projet'!$B$114,BY81+BX82-CG81)))</f>
        <v>451.00000000000011</v>
      </c>
      <c r="BZ82" s="14">
        <f>BY82*VLOOKUP('Données projet'!$B$12,Paramètres!$A$1:$I$89,3,0)*VLOOKUP('Données projet'!$B$12,Paramètres!$A$1:$I$89,5,0)</f>
        <v>269.69800000000009</v>
      </c>
      <c r="CA82" s="14">
        <f t="shared" si="93"/>
        <v>64.785173091884289</v>
      </c>
      <c r="CB82" s="22">
        <f t="shared" si="64"/>
        <v>582.55819313503196</v>
      </c>
      <c r="CC82" s="62">
        <f t="shared" si="65"/>
        <v>875.89152646836533</v>
      </c>
      <c r="CD82" s="62">
        <f ca="1">AVERAGE(OFFSET($CC$3,0,0,'Données projet'!$E$12+1,1))-AVERAGE(OFFSET($H$3,0,0,'Données projet'!$E$12+1,1))</f>
        <v>222.32495275055498</v>
      </c>
      <c r="CE82" s="62">
        <f t="shared" si="94"/>
        <v>156.39259018918381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0.23762014279361909</v>
      </c>
      <c r="CM82" s="23">
        <f>EXP(-LN(2)/2)*CM81+(1-EXP(-LN(2)/2))/(LN(2)/2)*CG82*CJ82*VLOOKUP('Données projet'!$B$12,Paramètres!$A$1:$I$89,3,0)*0.475*44/12</f>
        <v>4.4811840429616819E-7</v>
      </c>
      <c r="CN82" s="24">
        <f t="shared" si="66"/>
        <v>0.23762059091202339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64.895999999999972</v>
      </c>
      <c r="D83" s="12">
        <f t="shared" si="86"/>
        <v>18.400423846102949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642.98993846114547</v>
      </c>
      <c r="H83" s="70">
        <f t="shared" si="56"/>
        <v>401.74127153196264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16.166666666666668</v>
      </c>
      <c r="N83" s="14">
        <f>IF('Données projet'!$A$36&gt;35,N82+M83-V82,IF(A83&lt;'Données projet'!$A$36,$K$205^A83,IF(A83='Données projet'!$A$36,'Données projet'!$B$36,N82+M83-V82)))</f>
        <v>489.33333333333309</v>
      </c>
      <c r="O83" s="14">
        <f>N83*VLOOKUP('Données projet'!$B$9,Paramètres!$A$1:$I$89,3,0)*VLOOKUP('Données projet'!$B$9,Paramètres!$A$1:$I$89,5,0)</f>
        <v>229.0079999999999</v>
      </c>
      <c r="P83" s="14">
        <f t="shared" si="87"/>
        <v>56.068134009566236</v>
      </c>
      <c r="Q83" s="22">
        <f t="shared" si="54"/>
        <v>496.50760006666104</v>
      </c>
      <c r="R83" s="62">
        <f t="shared" si="55"/>
        <v>789.84093339999436</v>
      </c>
      <c r="S83" s="62">
        <f ca="1">AVERAGE(OFFSET($R$3,0,0,'Données projet'!$E$9+1,1))-AVERAGE(OFFSET($H$3,0,0,'Données projet'!$E$9+1,1))</f>
        <v>273.21086764807194</v>
      </c>
      <c r="T83" s="62">
        <f t="shared" si="88"/>
        <v>259.3474218586631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159</v>
      </c>
      <c r="AG83" s="13">
        <f>VLOOKUP(A83,'Données projet'!$A$61:$I$81,9,0)</f>
        <v>1.6</v>
      </c>
      <c r="AH83" s="13">
        <f t="array" ref="AH83">INDEX(AG:AG,MIN(IF(ISNUMBER(AG83:AG279),ROW(AG83:AG279),"")))</f>
        <v>1.6</v>
      </c>
      <c r="AI83" s="14">
        <f>IF('Données projet'!$A$62&gt;35,AI82+AH83-AQ82,IF(A83&lt;'Données projet'!$A$62,$AF$205^A83,IF(A83='Données projet'!$A$62,'Données projet'!$B$62,AI82+AH83-AQ82)))</f>
        <v>158.99999999999989</v>
      </c>
      <c r="AJ83" s="14">
        <f>AI83*VLOOKUP('Données projet'!$B$10,Paramètres!$A$1:$I$89,3,0)*VLOOKUP('Données projet'!$B$10,Paramètres!$A$1:$I$89,5,0)</f>
        <v>138.90239999999991</v>
      </c>
      <c r="AK83" s="14">
        <f t="shared" si="89"/>
        <v>36.045445680666425</v>
      </c>
      <c r="AL83" s="22">
        <f t="shared" si="58"/>
        <v>304.70083122716051</v>
      </c>
      <c r="AM83" s="62">
        <f t="shared" si="59"/>
        <v>598.03416456049376</v>
      </c>
      <c r="AN83" s="62">
        <f ca="1">AVERAGE(OFFSET($AM$3,0,0,'Données projet'!$E$10+1,1))-AVERAGE(OFFSET($H$3,0,0,'Données projet'!$E$10+1,1))</f>
        <v>121.79484266530449</v>
      </c>
      <c r="AO83" s="62">
        <f t="shared" si="90"/>
        <v>129.14577359424788</v>
      </c>
      <c r="AP83" s="16">
        <f>IF(ISNA(VLOOKUP(A83,'Données projet'!$A$61:$I$81,3,0)),0,VLOOKUP(A83,'Données projet'!$A$61:$I$81,3,0))</f>
        <v>13</v>
      </c>
      <c r="AQ83" s="16">
        <f>IF(ISNA(VLOOKUP(A83,'Données projet'!$A$61:$I$81,4,0)),0,VLOOKUP(A83,'Données projet'!$A$61:$I$81,4,0))</f>
        <v>159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0.71375683955037295</v>
      </c>
      <c r="AW83" s="23">
        <f>EXP(-LN(2)/2)*AW82+(1-EXP(-LN(2)/2))/(LN(2)/2)*AQ83*AT83*VLOOKUP('Données projet'!$B$10,Paramètres!$A$1:$I$89,3,0)*0.475*44/12</f>
        <v>1.0664100867962756E-7</v>
      </c>
      <c r="AX83" s="23">
        <f t="shared" si="60"/>
        <v>0.71375694619138164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192</v>
      </c>
      <c r="BB83" s="13">
        <f>VLOOKUP(A83,'Données projet'!$A$87:$I$107,9,0)</f>
        <v>4.5999999999999996</v>
      </c>
      <c r="BC83" s="13">
        <f t="array" ref="BC83">INDEX(BB:BB,MIN(IF(ISNUMBER(BB83:BB279),ROW(BB83:BB279),"")))</f>
        <v>4.5999999999999996</v>
      </c>
      <c r="BD83" s="13">
        <f>IF('Données projet'!$A$88&gt;35,BD82+BC83-BL82,IF(A83&lt;'Données projet'!$A$88,$BA$205^A83,IF(A83='Données projet'!$A$88,'Données projet'!$B$88,BD82+BC83-BL82)))</f>
        <v>191.99999999999983</v>
      </c>
      <c r="BE83" s="14">
        <f>BD83*VLOOKUP('Données projet'!$B$11,Paramètres!$A$1:$I$89,3,0)*VLOOKUP('Données projet'!$B$11,Paramètres!$A$1:$I$89,5,0)</f>
        <v>194.68799999999985</v>
      </c>
      <c r="BF83" s="14">
        <f t="shared" si="91"/>
        <v>48.574928228914935</v>
      </c>
      <c r="BG83" s="22">
        <f t="shared" si="61"/>
        <v>423.68293333202655</v>
      </c>
      <c r="BH83" s="62">
        <f t="shared" si="62"/>
        <v>717.01626666535981</v>
      </c>
      <c r="BI83" s="62">
        <f ca="1">AVERAGE(OFFSET($BH$3,0,0,'Données projet'!$E$11+1,1))-AVERAGE(OFFSET($H$3,0,0,'Données projet'!$E$11+1,1))</f>
        <v>201.65575435598231</v>
      </c>
      <c r="BJ83" s="62">
        <f t="shared" si="92"/>
        <v>103.75701796419935</v>
      </c>
      <c r="BK83" s="16">
        <f>IF(ISNA(VLOOKUP(A83,'Données projet'!$A$87:$I$107,3,0)),0,VLOOKUP(A83,'Données projet'!$A$87:$I$107,3,0))</f>
        <v>12</v>
      </c>
      <c r="BL83" s="23">
        <f>IF(ISNA(VLOOKUP(A83,'Données projet'!$A$87:$I$107,4,0)),0,VLOOKUP(A83,'Données projet'!$A$87:$I$107,4,0))</f>
        <v>14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460</v>
      </c>
      <c r="BW83" s="13">
        <f>VLOOKUP(A83,'Données projet'!$A$113:$I$133,9,0)</f>
        <v>9</v>
      </c>
      <c r="BX83" s="13">
        <f t="array" ref="BX83">INDEX(BW:BW,MIN(IF(ISNUMBER(BW83:BW279),ROW(BW83:BW279),"")))</f>
        <v>9</v>
      </c>
      <c r="BY83" s="13">
        <f>IF('Données projet'!$A$114&gt;35,BY82+BX83-CG82,IF(A83&lt;'Données projet'!$A$114,$BV$205^A83,IF(A83='Données projet'!$A$114,'Données projet'!$B$114,BY82+BX83-CG82)))</f>
        <v>460.00000000000011</v>
      </c>
      <c r="BZ83" s="14">
        <f>BY83*VLOOKUP('Données projet'!$B$12,Paramètres!$A$1:$I$89,3,0)*VLOOKUP('Données projet'!$B$12,Paramètres!$A$1:$I$89,5,0)</f>
        <v>275.0800000000001</v>
      </c>
      <c r="CA83" s="14">
        <f t="shared" si="93"/>
        <v>65.926201134783341</v>
      </c>
      <c r="CB83" s="22">
        <f t="shared" si="64"/>
        <v>593.91913364308118</v>
      </c>
      <c r="CC83" s="62">
        <f t="shared" si="65"/>
        <v>887.25246697641455</v>
      </c>
      <c r="CD83" s="62">
        <f ca="1">AVERAGE(OFFSET($CC$3,0,0,'Données projet'!$E$12+1,1))-AVERAGE(OFFSET($H$3,0,0,'Données projet'!$E$12+1,1))</f>
        <v>222.32495275055498</v>
      </c>
      <c r="CE83" s="62">
        <f t="shared" si="94"/>
        <v>156.39259018918381</v>
      </c>
      <c r="CF83" s="16">
        <f>IF(ISNA(VLOOKUP(A83,'Données projet'!$A$113:$I$133,3,0)),0,VLOOKUP(A83,'Données projet'!$A$113:$I$133,3,0))</f>
        <v>8</v>
      </c>
      <c r="CG83" s="16">
        <f>IF(ISNA(VLOOKUP(A83,'Données projet'!$A$113:$I$133,4,0)),0,VLOOKUP(A83,'Données projet'!$A$113:$I$133,4,0))</f>
        <v>460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0.23112240749302737</v>
      </c>
      <c r="CM83" s="23">
        <f>EXP(-LN(2)/2)*CM82+(1-EXP(-LN(2)/2))/(LN(2)/2)*CG83*CJ83*VLOOKUP('Données projet'!$B$12,Paramètres!$A$1:$I$89,3,0)*0.475*44/12</f>
        <v>3.1686756245231544E-7</v>
      </c>
      <c r="CN83" s="24">
        <f t="shared" si="66"/>
        <v>0.23112272436058981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65.707199999999972</v>
      </c>
      <c r="D84" s="12">
        <f t="shared" si="86"/>
        <v>18.603509358951104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650.81951084102582</v>
      </c>
      <c r="H84" s="70">
        <f t="shared" si="56"/>
        <v>403.50781880017314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16.166666666666668</v>
      </c>
      <c r="N84" s="14">
        <f>IF('Données projet'!$A$36&gt;35,N83+M84-V83,IF(A84&lt;'Données projet'!$A$36,$K$205^A84,IF(A84='Données projet'!$A$36,'Données projet'!$B$36,N83+M84-V83)))</f>
        <v>505.49999999999977</v>
      </c>
      <c r="O84" s="14">
        <f>N84*VLOOKUP('Données projet'!$B$9,Paramètres!$A$1:$I$89,3,0)*VLOOKUP('Données projet'!$B$9,Paramètres!$A$1:$I$89,5,0)</f>
        <v>236.57399999999987</v>
      </c>
      <c r="P84" s="14">
        <f t="shared" si="87"/>
        <v>57.701794211350432</v>
      </c>
      <c r="Q84" s="22">
        <f t="shared" si="54"/>
        <v>512.53034158476851</v>
      </c>
      <c r="R84" s="62">
        <f t="shared" si="55"/>
        <v>805.86367491810188</v>
      </c>
      <c r="S84" s="62">
        <f ca="1">AVERAGE(OFFSET($R$3,0,0,'Données projet'!$E$9+1,1))-AVERAGE(OFFSET($H$3,0,0,'Données projet'!$E$9+1,1))</f>
        <v>273.21086764807194</v>
      </c>
      <c r="T84" s="62">
        <f t="shared" si="88"/>
        <v>259.3474218586631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-1.1368683772161603E-13</v>
      </c>
      <c r="AJ84" s="14">
        <f>AI84*VLOOKUP('Données projet'!$B$10,Paramètres!$A$1:$I$89,3,0)*VLOOKUP('Données projet'!$B$10,Paramètres!$A$1:$I$89,5,0)</f>
        <v>-9.9316821433603781E-14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121.79484266530449</v>
      </c>
      <c r="AO84" s="62">
        <f t="shared" si="90"/>
        <v>129.14577359424788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0.69423912123802711</v>
      </c>
      <c r="AW84" s="23">
        <f>EXP(-LN(2)/2)*AW83+(1-EXP(-LN(2)/2))/(LN(2)/2)*AQ84*AT84*VLOOKUP('Données projet'!$B$10,Paramètres!$A$1:$I$89,3,0)*0.475*44/12</f>
        <v>7.5406580389938122E-8</v>
      </c>
      <c r="AX84" s="23">
        <f t="shared" si="60"/>
        <v>0.69423919664460754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4.4000000000000004</v>
      </c>
      <c r="BD84" s="13">
        <f>IF('Données projet'!$A$88&gt;35,BD83+BC84-BL83,IF(A84&lt;'Données projet'!$A$88,$BA$205^A84,IF(A84='Données projet'!$A$88,'Données projet'!$B$88,BD83+BC84-BL83)))</f>
        <v>182.39999999999984</v>
      </c>
      <c r="BE84" s="14">
        <f>BD84*VLOOKUP('Données projet'!$B$11,Paramètres!$A$1:$I$89,3,0)*VLOOKUP('Données projet'!$B$11,Paramètres!$A$1:$I$89,5,0)</f>
        <v>184.95359999999985</v>
      </c>
      <c r="BF84" s="14">
        <f t="shared" si="91"/>
        <v>46.422523550957948</v>
      </c>
      <c r="BG84" s="22">
        <f t="shared" si="61"/>
        <v>402.98008185125144</v>
      </c>
      <c r="BH84" s="62">
        <f t="shared" si="62"/>
        <v>696.31341518458476</v>
      </c>
      <c r="BI84" s="62">
        <f ca="1">AVERAGE(OFFSET($BH$3,0,0,'Données projet'!$E$11+1,1))-AVERAGE(OFFSET($H$3,0,0,'Données projet'!$E$11+1,1))</f>
        <v>201.65575435598231</v>
      </c>
      <c r="BJ84" s="62">
        <f t="shared" si="92"/>
        <v>103.75701796419935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1.1368683772161603E-13</v>
      </c>
      <c r="BZ84" s="14">
        <f>BY84*VLOOKUP('Données projet'!$B$12,Paramètres!$A$1:$I$89,3,0)*VLOOKUP('Données projet'!$B$12,Paramètres!$A$1:$I$89,5,0)</f>
        <v>6.7984728957526396E-14</v>
      </c>
      <c r="CA84" s="14">
        <f t="shared" si="93"/>
        <v>1.0682447123141398E-12</v>
      </c>
      <c r="CB84" s="22">
        <f t="shared" si="64"/>
        <v>1.978932943548152E-12</v>
      </c>
      <c r="CC84" s="62">
        <f t="shared" si="65"/>
        <v>293.3333333333353</v>
      </c>
      <c r="CD84" s="62">
        <f ca="1">AVERAGE(OFFSET($CC$3,0,0,'Données projet'!$E$12+1,1))-AVERAGE(OFFSET($H$3,0,0,'Données projet'!$E$12+1,1))</f>
        <v>222.32495275055498</v>
      </c>
      <c r="CE84" s="62">
        <f t="shared" si="94"/>
        <v>156.39259018918381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0.22480235310593136</v>
      </c>
      <c r="CM84" s="23">
        <f>EXP(-LN(2)/2)*CM83+(1-EXP(-LN(2)/2))/(LN(2)/2)*CG84*CJ84*VLOOKUP('Données projet'!$B$12,Paramètres!$A$1:$I$89,3,0)*0.475*44/12</f>
        <v>2.240592021480841E-7</v>
      </c>
      <c r="CN84" s="24">
        <f t="shared" si="66"/>
        <v>0.22480257716513349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66.518399999999971</v>
      </c>
      <c r="D85" s="12">
        <f t="shared" si="86"/>
        <v>18.80630323215442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658.64683196750764</v>
      </c>
      <c r="H85" s="70">
        <f t="shared" si="56"/>
        <v>405.27385812933557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16.166666666666668</v>
      </c>
      <c r="N85" s="14">
        <f>IF('Données projet'!$A$36&gt;35,N84+M85-V84,IF(A85&lt;'Données projet'!$A$36,$K$205^A85,IF(A85='Données projet'!$A$36,'Données projet'!$B$36,N84+M85-V84)))</f>
        <v>521.6666666666664</v>
      </c>
      <c r="O85" s="14">
        <f>N85*VLOOKUP('Données projet'!$B$9,Paramètres!$A$1:$I$89,3,0)*VLOOKUP('Données projet'!$B$9,Paramètres!$A$1:$I$89,5,0)</f>
        <v>244.13999999999987</v>
      </c>
      <c r="P85" s="14">
        <f t="shared" si="87"/>
        <v>59.329383078866051</v>
      </c>
      <c r="Q85" s="22">
        <f t="shared" si="54"/>
        <v>528.5425088623582</v>
      </c>
      <c r="R85" s="62">
        <f t="shared" si="55"/>
        <v>821.87584219569158</v>
      </c>
      <c r="S85" s="62">
        <f ca="1">AVERAGE(OFFSET($R$3,0,0,'Données projet'!$E$9+1,1))-AVERAGE(OFFSET($H$3,0,0,'Données projet'!$E$9+1,1))</f>
        <v>273.21086764807194</v>
      </c>
      <c r="T85" s="62">
        <f t="shared" si="88"/>
        <v>259.3474218586631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-1.1368683772161603E-13</v>
      </c>
      <c r="AJ85" s="14">
        <f>AI85*VLOOKUP('Données projet'!$B$10,Paramètres!$A$1:$I$89,3,0)*VLOOKUP('Données projet'!$B$10,Paramètres!$A$1:$I$89,5,0)</f>
        <v>-9.9316821433603781E-14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121.79484266530449</v>
      </c>
      <c r="AO85" s="62">
        <f t="shared" si="90"/>
        <v>129.14577359424788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0.67525511595932453</v>
      </c>
      <c r="AW85" s="23">
        <f>EXP(-LN(2)/2)*AW84+(1-EXP(-LN(2)/2))/(LN(2)/2)*AQ85*AT85*VLOOKUP('Données projet'!$B$10,Paramètres!$A$1:$I$89,3,0)*0.475*44/12</f>
        <v>5.3320504339813782E-8</v>
      </c>
      <c r="AX85" s="23">
        <f t="shared" si="60"/>
        <v>0.67525516927982887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4.4000000000000004</v>
      </c>
      <c r="BD85" s="13">
        <f>IF('Données projet'!$A$88&gt;35,BD84+BC85-BL84,IF(A85&lt;'Données projet'!$A$88,$BA$205^A85,IF(A85='Données projet'!$A$88,'Données projet'!$B$88,BD84+BC85-BL84)))</f>
        <v>186.79999999999984</v>
      </c>
      <c r="BE85" s="14">
        <f>BD85*VLOOKUP('Données projet'!$B$11,Paramètres!$A$1:$I$89,3,0)*VLOOKUP('Données projet'!$B$11,Paramètres!$A$1:$I$89,5,0)</f>
        <v>189.41519999999986</v>
      </c>
      <c r="BF85" s="14">
        <f t="shared" si="91"/>
        <v>47.410638687430875</v>
      </c>
      <c r="BG85" s="22">
        <f t="shared" si="61"/>
        <v>412.47166904727516</v>
      </c>
      <c r="BH85" s="62">
        <f t="shared" si="62"/>
        <v>705.80500238060847</v>
      </c>
      <c r="BI85" s="62">
        <f ca="1">AVERAGE(OFFSET($BH$3,0,0,'Données projet'!$E$11+1,1))-AVERAGE(OFFSET($H$3,0,0,'Données projet'!$E$11+1,1))</f>
        <v>201.65575435598231</v>
      </c>
      <c r="BJ85" s="62">
        <f t="shared" si="92"/>
        <v>103.75701796419935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1.1368683772161603E-13</v>
      </c>
      <c r="BZ85" s="14">
        <f>BY85*VLOOKUP('Données projet'!$B$12,Paramètres!$A$1:$I$89,3,0)*VLOOKUP('Données projet'!$B$12,Paramètres!$A$1:$I$89,5,0)</f>
        <v>6.7984728957526396E-14</v>
      </c>
      <c r="CA85" s="14">
        <f t="shared" si="93"/>
        <v>1.0682447123141398E-12</v>
      </c>
      <c r="CB85" s="22">
        <f t="shared" si="64"/>
        <v>1.978932943548152E-12</v>
      </c>
      <c r="CC85" s="62">
        <f t="shared" si="65"/>
        <v>293.3333333333353</v>
      </c>
      <c r="CD85" s="62">
        <f ca="1">AVERAGE(OFFSET($CC$3,0,0,'Données projet'!$E$12+1,1))-AVERAGE(OFFSET($H$3,0,0,'Données projet'!$E$12+1,1))</f>
        <v>222.32495275055498</v>
      </c>
      <c r="CE85" s="62">
        <f t="shared" si="94"/>
        <v>156.39259018918381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0.21865512093840772</v>
      </c>
      <c r="CM85" s="23">
        <f>EXP(-LN(2)/2)*CM84+(1-EXP(-LN(2)/2))/(LN(2)/2)*CG85*CJ85*VLOOKUP('Données projet'!$B$12,Paramètres!$A$1:$I$89,3,0)*0.475*44/12</f>
        <v>1.5843378122615772E-7</v>
      </c>
      <c r="CN85" s="24">
        <f t="shared" si="66"/>
        <v>0.21865527937218895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67.329599999999971</v>
      </c>
      <c r="D86" s="12">
        <f t="shared" si="86"/>
        <v>19.008809433660943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666.471932470365</v>
      </c>
      <c r="H86" s="70">
        <f t="shared" si="56"/>
        <v>407.03939643029275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16.166666666666668</v>
      </c>
      <c r="N86" s="14">
        <f>IF('Données projet'!$A$36&gt;35,N85+M86-V85,IF(A86&lt;'Données projet'!$A$36,$K$205^A86,IF(A86='Données projet'!$A$36,'Données projet'!$B$36,N85+M86-V85)))</f>
        <v>537.83333333333303</v>
      </c>
      <c r="O86" s="14">
        <f>N86*VLOOKUP('Données projet'!$B$9,Paramètres!$A$1:$I$89,3,0)*VLOOKUP('Données projet'!$B$9,Paramètres!$A$1:$I$89,5,0)</f>
        <v>251.70599999999988</v>
      </c>
      <c r="P86" s="14">
        <f t="shared" si="87"/>
        <v>60.951110356020116</v>
      </c>
      <c r="Q86" s="22">
        <f t="shared" si="54"/>
        <v>544.54446720340138</v>
      </c>
      <c r="R86" s="62">
        <f t="shared" si="55"/>
        <v>837.87780053673464</v>
      </c>
      <c r="S86" s="62">
        <f ca="1">AVERAGE(OFFSET($R$3,0,0,'Données projet'!$E$9+1,1))-AVERAGE(OFFSET($H$3,0,0,'Données projet'!$E$9+1,1))</f>
        <v>273.21086764807194</v>
      </c>
      <c r="T86" s="62">
        <f t="shared" si="88"/>
        <v>259.3474218586631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-1.1368683772161603E-13</v>
      </c>
      <c r="AJ86" s="14">
        <f>AI86*VLOOKUP('Données projet'!$B$10,Paramètres!$A$1:$I$89,3,0)*VLOOKUP('Données projet'!$B$10,Paramètres!$A$1:$I$89,5,0)</f>
        <v>-9.9316821433603781E-14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121.79484266530449</v>
      </c>
      <c r="AO86" s="62">
        <f t="shared" si="90"/>
        <v>129.14577359424788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0.65679022930329356</v>
      </c>
      <c r="AW86" s="23">
        <f>EXP(-LN(2)/2)*AW85+(1-EXP(-LN(2)/2))/(LN(2)/2)*AQ86*AT86*VLOOKUP('Données projet'!$B$10,Paramètres!$A$1:$I$89,3,0)*0.475*44/12</f>
        <v>3.7703290194969061E-8</v>
      </c>
      <c r="AX86" s="23">
        <f t="shared" si="60"/>
        <v>0.65679026700658372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4.4000000000000004</v>
      </c>
      <c r="BD86" s="13">
        <f>IF('Données projet'!$A$88&gt;35,BD85+BC86-BL85,IF(A86&lt;'Données projet'!$A$88,$BA$205^A86,IF(A86='Données projet'!$A$88,'Données projet'!$B$88,BD85+BC86-BL85)))</f>
        <v>191.19999999999985</v>
      </c>
      <c r="BE86" s="14">
        <f>BD86*VLOOKUP('Données projet'!$B$11,Paramètres!$A$1:$I$89,3,0)*VLOOKUP('Données projet'!$B$11,Paramètres!$A$1:$I$89,5,0)</f>
        <v>193.87679999999986</v>
      </c>
      <c r="BF86" s="14">
        <f t="shared" si="91"/>
        <v>48.396048099527562</v>
      </c>
      <c r="BG86" s="22">
        <f t="shared" si="61"/>
        <v>421.95854377334359</v>
      </c>
      <c r="BH86" s="62">
        <f t="shared" si="62"/>
        <v>715.29187710667691</v>
      </c>
      <c r="BI86" s="62">
        <f ca="1">AVERAGE(OFFSET($BH$3,0,0,'Données projet'!$E$11+1,1))-AVERAGE(OFFSET($H$3,0,0,'Données projet'!$E$11+1,1))</f>
        <v>201.65575435598231</v>
      </c>
      <c r="BJ86" s="62">
        <f t="shared" si="92"/>
        <v>103.75701796419935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1.1368683772161603E-13</v>
      </c>
      <c r="BZ86" s="14">
        <f>BY86*VLOOKUP('Données projet'!$B$12,Paramètres!$A$1:$I$89,3,0)*VLOOKUP('Données projet'!$B$12,Paramètres!$A$1:$I$89,5,0)</f>
        <v>6.7984728957526396E-14</v>
      </c>
      <c r="CA86" s="14">
        <f t="shared" si="93"/>
        <v>1.0682447123141398E-12</v>
      </c>
      <c r="CB86" s="22">
        <f t="shared" si="64"/>
        <v>1.978932943548152E-12</v>
      </c>
      <c r="CC86" s="62">
        <f t="shared" si="65"/>
        <v>293.3333333333353</v>
      </c>
      <c r="CD86" s="62">
        <f ca="1">AVERAGE(OFFSET($CC$3,0,0,'Données projet'!$E$12+1,1))-AVERAGE(OFFSET($H$3,0,0,'Données projet'!$E$12+1,1))</f>
        <v>222.32495275055498</v>
      </c>
      <c r="CE86" s="62">
        <f t="shared" si="94"/>
        <v>156.39259018918381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0.21267598515777389</v>
      </c>
      <c r="CM86" s="23">
        <f>EXP(-LN(2)/2)*CM85+(1-EXP(-LN(2)/2))/(LN(2)/2)*CG86*CJ86*VLOOKUP('Données projet'!$B$12,Paramètres!$A$1:$I$89,3,0)*0.475*44/12</f>
        <v>1.1202960107404205E-7</v>
      </c>
      <c r="CN86" s="24">
        <f t="shared" si="66"/>
        <v>0.21267609718737496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68.14079999999997</v>
      </c>
      <c r="D87" s="12">
        <f t="shared" si="86"/>
        <v>19.21103183030446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674.29484219884125</v>
      </c>
      <c r="H87" s="70">
        <f t="shared" si="56"/>
        <v>408.80444043778027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>
        <f>VLOOKUP(A87,'Données projet'!$A$35:$I$55,2,0)</f>
        <v>554</v>
      </c>
      <c r="L87" s="13">
        <f>VLOOKUP(A87,'Données projet'!$A$35:$I$55,9,0)</f>
        <v>16.166666666666668</v>
      </c>
      <c r="M87" s="13">
        <f t="array" ref="M87">INDEX(L:L,MIN(IF(ISNUMBER(L87:L283),ROW(L87:L283),"")))</f>
        <v>16.166666666666668</v>
      </c>
      <c r="N87" s="14">
        <f>IF('Données projet'!$A$36&gt;35,N86+M87-V86,IF(A87&lt;'Données projet'!$A$36,$K$205^A87,IF(A87='Données projet'!$A$36,'Données projet'!$B$36,N86+M87-V86)))</f>
        <v>553.99999999999966</v>
      </c>
      <c r="O87" s="14">
        <f>N87*VLOOKUP('Données projet'!$B$9,Paramètres!$A$1:$I$89,3,0)*VLOOKUP('Données projet'!$B$9,Paramètres!$A$1:$I$89,5,0)</f>
        <v>259.27199999999988</v>
      </c>
      <c r="P87" s="14">
        <f t="shared" si="87"/>
        <v>62.567172460757938</v>
      </c>
      <c r="Q87" s="22">
        <f t="shared" si="54"/>
        <v>560.53655870248656</v>
      </c>
      <c r="R87" s="62">
        <f t="shared" si="55"/>
        <v>853.86989203581993</v>
      </c>
      <c r="S87" s="62">
        <f ca="1">AVERAGE(OFFSET($R$3,0,0,'Données projet'!$E$9+1,1))-AVERAGE(OFFSET($H$3,0,0,'Données projet'!$E$9+1,1))</f>
        <v>273.21086764807194</v>
      </c>
      <c r="T87" s="62">
        <f t="shared" si="88"/>
        <v>259.3474218586631</v>
      </c>
      <c r="U87" s="16">
        <f>IF(ISNA(VLOOKUP(A87,'Données projet'!$A$35:$I$55,3,0)),0,VLOOKUP(A87,'Données projet'!$A$35:$I$55,3,0))</f>
        <v>8</v>
      </c>
      <c r="V87" s="16">
        <f>IF(ISNA(VLOOKUP(A87,'Données projet'!$A$35:$I$55,4,0)),0,VLOOKUP(A87,'Données projet'!$A$35:$I$55,4,0))</f>
        <v>554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-1.1368683772161603E-13</v>
      </c>
      <c r="AJ87" s="14">
        <f>AI87*VLOOKUP('Données projet'!$B$10,Paramètres!$A$1:$I$89,3,0)*VLOOKUP('Données projet'!$B$10,Paramètres!$A$1:$I$89,5,0)</f>
        <v>-9.9316821433603781E-14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121.79484266530449</v>
      </c>
      <c r="AO87" s="62">
        <f t="shared" si="90"/>
        <v>129.14577359424788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0.63883026594389791</v>
      </c>
      <c r="AW87" s="23">
        <f>EXP(-LN(2)/2)*AW86+(1-EXP(-LN(2)/2))/(LN(2)/2)*AQ87*AT87*VLOOKUP('Données projet'!$B$10,Paramètres!$A$1:$I$89,3,0)*0.475*44/12</f>
        <v>2.6660252169906891E-8</v>
      </c>
      <c r="AX87" s="23">
        <f t="shared" si="60"/>
        <v>0.63883029260415003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4.4000000000000004</v>
      </c>
      <c r="BD87" s="13">
        <f>IF('Données projet'!$A$88&gt;35,BD86+BC87-BL86,IF(A87&lt;'Données projet'!$A$88,$BA$205^A87,IF(A87='Données projet'!$A$88,'Données projet'!$B$88,BD86+BC87-BL86)))</f>
        <v>195.59999999999985</v>
      </c>
      <c r="BE87" s="14">
        <f>BD87*VLOOKUP('Données projet'!$B$11,Paramètres!$A$1:$I$89,3,0)*VLOOKUP('Données projet'!$B$11,Paramètres!$A$1:$I$89,5,0)</f>
        <v>198.33839999999987</v>
      </c>
      <c r="BF87" s="14">
        <f t="shared" si="91"/>
        <v>49.378821219958034</v>
      </c>
      <c r="BG87" s="22">
        <f t="shared" si="61"/>
        <v>431.44082695809334</v>
      </c>
      <c r="BH87" s="62">
        <f t="shared" si="62"/>
        <v>724.7741602914266</v>
      </c>
      <c r="BI87" s="62">
        <f ca="1">AVERAGE(OFFSET($BH$3,0,0,'Données projet'!$E$11+1,1))-AVERAGE(OFFSET($H$3,0,0,'Données projet'!$E$11+1,1))</f>
        <v>201.65575435598231</v>
      </c>
      <c r="BJ87" s="62">
        <f t="shared" si="92"/>
        <v>103.75701796419935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1.1368683772161603E-13</v>
      </c>
      <c r="BZ87" s="14">
        <f>BY87*VLOOKUP('Données projet'!$B$12,Paramètres!$A$1:$I$89,3,0)*VLOOKUP('Données projet'!$B$12,Paramètres!$A$1:$I$89,5,0)</f>
        <v>6.7984728957526396E-14</v>
      </c>
      <c r="CA87" s="14">
        <f t="shared" si="93"/>
        <v>1.0682447123141398E-12</v>
      </c>
      <c r="CB87" s="22">
        <f t="shared" si="64"/>
        <v>1.978932943548152E-12</v>
      </c>
      <c r="CC87" s="62">
        <f t="shared" si="65"/>
        <v>293.3333333333353</v>
      </c>
      <c r="CD87" s="62">
        <f ca="1">AVERAGE(OFFSET($CC$3,0,0,'Données projet'!$E$12+1,1))-AVERAGE(OFFSET($H$3,0,0,'Données projet'!$E$12+1,1))</f>
        <v>222.32495275055498</v>
      </c>
      <c r="CE87" s="62">
        <f t="shared" si="94"/>
        <v>156.39259018918381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0.20686034915949059</v>
      </c>
      <c r="CM87" s="23">
        <f>EXP(-LN(2)/2)*CM86+(1-EXP(-LN(2)/2))/(LN(2)/2)*CG87*CJ87*VLOOKUP('Données projet'!$B$12,Paramètres!$A$1:$I$89,3,0)*0.475*44/12</f>
        <v>7.9216890613078859E-8</v>
      </c>
      <c r="CN87" s="24">
        <f t="shared" si="66"/>
        <v>0.20686042837638119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68.95199999999997</v>
      </c>
      <c r="D88" s="12">
        <f t="shared" si="86"/>
        <v>19.412974191553577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682.11559025058875</v>
      </c>
      <c r="H88" s="70">
        <f t="shared" si="56"/>
        <v>410.56899671695578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-3.4106051316484809E-13</v>
      </c>
      <c r="O88" s="14">
        <f>N88*VLOOKUP('Données projet'!$B$9,Paramètres!$A$1:$I$89,3,0)*VLOOKUP('Données projet'!$B$9,Paramètres!$A$1:$I$89,5,0)</f>
        <v>-1.5961632016114892E-13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273.21086764807194</v>
      </c>
      <c r="T88" s="62">
        <f t="shared" si="88"/>
        <v>259.3474218586631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-1.1368683772161603E-13</v>
      </c>
      <c r="AJ88" s="14">
        <f>AI88*VLOOKUP('Données projet'!$B$10,Paramètres!$A$1:$I$89,3,0)*VLOOKUP('Données projet'!$B$10,Paramètres!$A$1:$I$89,5,0)</f>
        <v>-9.9316821433603781E-14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121.79484266530449</v>
      </c>
      <c r="AO88" s="62">
        <f t="shared" si="90"/>
        <v>129.14577359424788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0.62136141872703843</v>
      </c>
      <c r="AW88" s="23">
        <f>EXP(-LN(2)/2)*AW87+(1-EXP(-LN(2)/2))/(LN(2)/2)*AQ88*AT88*VLOOKUP('Données projet'!$B$10,Paramètres!$A$1:$I$89,3,0)*0.475*44/12</f>
        <v>1.8851645097484531E-8</v>
      </c>
      <c r="AX88" s="23">
        <f t="shared" si="60"/>
        <v>0.62136143757868356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200</v>
      </c>
      <c r="BB88" s="13">
        <f>VLOOKUP(A88,'Données projet'!$A$87:$I$107,9,0)</f>
        <v>4.4000000000000004</v>
      </c>
      <c r="BC88" s="13">
        <f t="array" ref="BC88">INDEX(BB:BB,MIN(IF(ISNUMBER(BB88:BB284),ROW(BB88:BB284),"")))</f>
        <v>4.4000000000000004</v>
      </c>
      <c r="BD88" s="13">
        <f>IF('Données projet'!$A$88&gt;35,BD87+BC88-BL87,IF(A88&lt;'Données projet'!$A$88,$BA$205^A88,IF(A88='Données projet'!$A$88,'Données projet'!$B$88,BD87+BC88-BL87)))</f>
        <v>199.99999999999986</v>
      </c>
      <c r="BE88" s="14">
        <f>BD88*VLOOKUP('Données projet'!$B$11,Paramètres!$A$1:$I$89,3,0)*VLOOKUP('Données projet'!$B$11,Paramètres!$A$1:$I$89,5,0)</f>
        <v>202.79999999999987</v>
      </c>
      <c r="BF88" s="14">
        <f t="shared" si="91"/>
        <v>50.359024179353973</v>
      </c>
      <c r="BG88" s="22">
        <f t="shared" si="61"/>
        <v>440.91863377904127</v>
      </c>
      <c r="BH88" s="62">
        <f t="shared" si="62"/>
        <v>734.25196711237459</v>
      </c>
      <c r="BI88" s="62">
        <f ca="1">AVERAGE(OFFSET($BH$3,0,0,'Données projet'!$E$11+1,1))-AVERAGE(OFFSET($H$3,0,0,'Données projet'!$E$11+1,1))</f>
        <v>201.65575435598231</v>
      </c>
      <c r="BJ88" s="62">
        <f t="shared" si="92"/>
        <v>103.75701796419935</v>
      </c>
      <c r="BK88" s="16">
        <f>IF(ISNA(VLOOKUP(A88,'Données projet'!$A$87:$I$107,3,0)),0,VLOOKUP(A88,'Données projet'!$A$87:$I$107,3,0))</f>
        <v>13</v>
      </c>
      <c r="BL88" s="16">
        <f>IF(ISNA(VLOOKUP(A88,'Données projet'!$A$87:$I$107,4,0)),0,VLOOKUP(A88,'Données projet'!$A$87:$I$107,4,0))</f>
        <v>14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1.1368683772161603E-13</v>
      </c>
      <c r="BZ88" s="14">
        <f>BY88*VLOOKUP('Données projet'!$B$12,Paramètres!$A$1:$I$89,3,0)*VLOOKUP('Données projet'!$B$12,Paramètres!$A$1:$I$89,5,0)</f>
        <v>6.7984728957526396E-14</v>
      </c>
      <c r="CA88" s="14">
        <f t="shared" si="93"/>
        <v>1.0682447123141398E-12</v>
      </c>
      <c r="CB88" s="22">
        <f t="shared" si="64"/>
        <v>1.978932943548152E-12</v>
      </c>
      <c r="CC88" s="62">
        <f t="shared" si="65"/>
        <v>293.3333333333353</v>
      </c>
      <c r="CD88" s="62">
        <f ca="1">AVERAGE(OFFSET($CC$3,0,0,'Données projet'!$E$12+1,1))-AVERAGE(OFFSET($H$3,0,0,'Données projet'!$E$12+1,1))</f>
        <v>222.32495275055498</v>
      </c>
      <c r="CE88" s="62">
        <f t="shared" si="94"/>
        <v>156.39259018918381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0.20120374203341135</v>
      </c>
      <c r="CM88" s="23">
        <f>EXP(-LN(2)/2)*CM87+(1-EXP(-LN(2)/2))/(LN(2)/2)*CG88*CJ88*VLOOKUP('Données projet'!$B$12,Paramètres!$A$1:$I$89,3,0)*0.475*44/12</f>
        <v>5.6014800537021024E-8</v>
      </c>
      <c r="CN88" s="24">
        <f t="shared" si="66"/>
        <v>0.2012037980482119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69.763199999999969</v>
      </c>
      <c r="D89" s="12">
        <f t="shared" si="86"/>
        <v>19.614640193079403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689.93420499920921</v>
      </c>
      <c r="H89" s="70">
        <f t="shared" si="56"/>
        <v>412.33307166961328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-3.4106051316484809E-13</v>
      </c>
      <c r="O89" s="14">
        <f>N89*VLOOKUP('Données projet'!$B$9,Paramètres!$A$1:$I$89,3,0)*VLOOKUP('Données projet'!$B$9,Paramètres!$A$1:$I$89,5,0)</f>
        <v>-1.5961632016114892E-13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273.21086764807194</v>
      </c>
      <c r="T89" s="62">
        <f t="shared" si="88"/>
        <v>259.3474218586631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-1.1368683772161603E-13</v>
      </c>
      <c r="AJ89" s="14">
        <f>AI89*VLOOKUP('Données projet'!$B$10,Paramètres!$A$1:$I$89,3,0)*VLOOKUP('Données projet'!$B$10,Paramètres!$A$1:$I$89,5,0)</f>
        <v>-9.9316821433603781E-14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121.79484266530449</v>
      </c>
      <c r="AO89" s="62">
        <f t="shared" si="90"/>
        <v>129.14577359424788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0.60437025805597067</v>
      </c>
      <c r="AW89" s="23">
        <f>EXP(-LN(2)/2)*AW88+(1-EXP(-LN(2)/2))/(LN(2)/2)*AQ89*AT89*VLOOKUP('Données projet'!$B$10,Paramètres!$A$1:$I$89,3,0)*0.475*44/12</f>
        <v>1.3330126084953445E-8</v>
      </c>
      <c r="AX89" s="23">
        <f t="shared" si="60"/>
        <v>0.60437027138609678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4.2</v>
      </c>
      <c r="BD89" s="13">
        <f>IF('Données projet'!$A$88&gt;35,BD88+BC89-BL88,IF(A89&lt;'Données projet'!$A$88,$BA$205^A89,IF(A89='Données projet'!$A$88,'Données projet'!$B$88,BD88+BC89-BL88)))</f>
        <v>190.19999999999985</v>
      </c>
      <c r="BE89" s="14">
        <f>BD89*VLOOKUP('Données projet'!$B$11,Paramètres!$A$1:$I$89,3,0)*VLOOKUP('Données projet'!$B$11,Paramètres!$A$1:$I$89,5,0)</f>
        <v>192.86279999999988</v>
      </c>
      <c r="BF89" s="14">
        <f t="shared" si="91"/>
        <v>48.172325347436733</v>
      </c>
      <c r="BG89" s="22">
        <f t="shared" si="61"/>
        <v>419.80284331345206</v>
      </c>
      <c r="BH89" s="62">
        <f t="shared" si="62"/>
        <v>713.13617664678532</v>
      </c>
      <c r="BI89" s="62">
        <f ca="1">AVERAGE(OFFSET($BH$3,0,0,'Données projet'!$E$11+1,1))-AVERAGE(OFFSET($H$3,0,0,'Données projet'!$E$11+1,1))</f>
        <v>201.65575435598231</v>
      </c>
      <c r="BJ89" s="62">
        <f t="shared" si="92"/>
        <v>103.75701796419935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1.1368683772161603E-13</v>
      </c>
      <c r="BZ89" s="14">
        <f>BY89*VLOOKUP('Données projet'!$B$12,Paramètres!$A$1:$I$89,3,0)*VLOOKUP('Données projet'!$B$12,Paramètres!$A$1:$I$89,5,0)</f>
        <v>6.7984728957526396E-14</v>
      </c>
      <c r="CA89" s="14">
        <f t="shared" si="93"/>
        <v>1.0682447123141398E-12</v>
      </c>
      <c r="CB89" s="22">
        <f t="shared" si="64"/>
        <v>1.978932943548152E-12</v>
      </c>
      <c r="CC89" s="62">
        <f t="shared" si="65"/>
        <v>293.3333333333353</v>
      </c>
      <c r="CD89" s="62">
        <f ca="1">AVERAGE(OFFSET($CC$3,0,0,'Données projet'!$E$12+1,1))-AVERAGE(OFFSET($H$3,0,0,'Données projet'!$E$12+1,1))</f>
        <v>222.32495275055498</v>
      </c>
      <c r="CE89" s="62">
        <f t="shared" si="94"/>
        <v>156.39259018918381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0.19570181512666276</v>
      </c>
      <c r="CM89" s="23">
        <f>EXP(-LN(2)/2)*CM88+(1-EXP(-LN(2)/2))/(LN(2)/2)*CG89*CJ89*VLOOKUP('Données projet'!$B$12,Paramètres!$A$1:$I$89,3,0)*0.475*44/12</f>
        <v>3.960844530653943E-8</v>
      </c>
      <c r="CN89" s="24">
        <f t="shared" si="66"/>
        <v>0.19570185473510807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70.574399999999969</v>
      </c>
      <c r="D90" s="12">
        <f t="shared" si="86"/>
        <v>19.816033420152426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697.75071412047464</v>
      </c>
      <c r="H90" s="70">
        <f t="shared" si="56"/>
        <v>414.09667154009878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-3.4106051316484809E-13</v>
      </c>
      <c r="O90" s="14">
        <f>N90*VLOOKUP('Données projet'!$B$9,Paramètres!$A$1:$I$89,3,0)*VLOOKUP('Données projet'!$B$9,Paramètres!$A$1:$I$89,5,0)</f>
        <v>-1.5961632016114892E-13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273.21086764807194</v>
      </c>
      <c r="T90" s="62">
        <f t="shared" si="88"/>
        <v>259.3474218586631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-1.1368683772161603E-13</v>
      </c>
      <c r="AJ90" s="14">
        <f>AI90*VLOOKUP('Données projet'!$B$10,Paramètres!$A$1:$I$89,3,0)*VLOOKUP('Données projet'!$B$10,Paramètres!$A$1:$I$89,5,0)</f>
        <v>-9.9316821433603781E-14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121.79484266530449</v>
      </c>
      <c r="AO90" s="62">
        <f t="shared" si="90"/>
        <v>129.14577359424788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0.58784372156697962</v>
      </c>
      <c r="AW90" s="23">
        <f>EXP(-LN(2)/2)*AW89+(1-EXP(-LN(2)/2))/(LN(2)/2)*AQ90*AT90*VLOOKUP('Données projet'!$B$10,Paramètres!$A$1:$I$89,3,0)*0.475*44/12</f>
        <v>9.4258225487422653E-9</v>
      </c>
      <c r="AX90" s="23">
        <f t="shared" si="60"/>
        <v>0.58784373099280218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4.2</v>
      </c>
      <c r="BD90" s="13">
        <f>IF('Données projet'!$A$88&gt;35,BD89+BC90-BL89,IF(A90&lt;'Données projet'!$A$88,$BA$205^A90,IF(A90='Données projet'!$A$88,'Données projet'!$B$88,BD89+BC90-BL89)))</f>
        <v>194.39999999999984</v>
      </c>
      <c r="BE90" s="14">
        <f>BD90*VLOOKUP('Données projet'!$B$11,Paramètres!$A$1:$I$89,3,0)*VLOOKUP('Données projet'!$B$11,Paramètres!$A$1:$I$89,5,0)</f>
        <v>197.12159999999986</v>
      </c>
      <c r="BF90" s="14">
        <f t="shared" si="91"/>
        <v>49.111049803800405</v>
      </c>
      <c r="BG90" s="22">
        <f t="shared" si="61"/>
        <v>428.85519840828539</v>
      </c>
      <c r="BH90" s="62">
        <f t="shared" si="62"/>
        <v>722.1885317416187</v>
      </c>
      <c r="BI90" s="62">
        <f ca="1">AVERAGE(OFFSET($BH$3,0,0,'Données projet'!$E$11+1,1))-AVERAGE(OFFSET($H$3,0,0,'Données projet'!$E$11+1,1))</f>
        <v>201.65575435598231</v>
      </c>
      <c r="BJ90" s="62">
        <f t="shared" si="92"/>
        <v>103.75701796419935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1.1368683772161603E-13</v>
      </c>
      <c r="BZ90" s="14">
        <f>BY90*VLOOKUP('Données projet'!$B$12,Paramètres!$A$1:$I$89,3,0)*VLOOKUP('Données projet'!$B$12,Paramètres!$A$1:$I$89,5,0)</f>
        <v>6.7984728957526396E-14</v>
      </c>
      <c r="CA90" s="14">
        <f t="shared" si="93"/>
        <v>1.0682447123141398E-12</v>
      </c>
      <c r="CB90" s="22">
        <f t="shared" si="64"/>
        <v>1.978932943548152E-12</v>
      </c>
      <c r="CC90" s="62">
        <f t="shared" si="65"/>
        <v>293.3333333333353</v>
      </c>
      <c r="CD90" s="62">
        <f ca="1">AVERAGE(OFFSET($CC$3,0,0,'Données projet'!$E$12+1,1))-AVERAGE(OFFSET($H$3,0,0,'Données projet'!$E$12+1,1))</f>
        <v>222.32495275055498</v>
      </c>
      <c r="CE90" s="62">
        <f t="shared" si="94"/>
        <v>156.39259018918381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0.19035033870051299</v>
      </c>
      <c r="CM90" s="23">
        <f>EXP(-LN(2)/2)*CM89+(1-EXP(-LN(2)/2))/(LN(2)/2)*CG90*CJ90*VLOOKUP('Données projet'!$B$12,Paramètres!$A$1:$I$89,3,0)*0.475*44/12</f>
        <v>2.8007400268510512E-8</v>
      </c>
      <c r="CN90" s="24">
        <f t="shared" si="66"/>
        <v>0.19035036670791325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71.385599999999968</v>
      </c>
      <c r="D91" s="12">
        <f t="shared" si="86"/>
        <v>20.017157370878905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705.56514461731058</v>
      </c>
      <c r="H91" s="70">
        <f t="shared" si="56"/>
        <v>415.8598024209474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-3.4106051316484809E-13</v>
      </c>
      <c r="O91" s="14">
        <f>N91*VLOOKUP('Données projet'!$B$9,Paramètres!$A$1:$I$89,3,0)*VLOOKUP('Données projet'!$B$9,Paramètres!$A$1:$I$89,5,0)</f>
        <v>-1.5961632016114892E-13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273.21086764807194</v>
      </c>
      <c r="T91" s="62">
        <f t="shared" si="88"/>
        <v>259.3474218586631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-1.1368683772161603E-13</v>
      </c>
      <c r="AJ91" s="14">
        <f>AI91*VLOOKUP('Données projet'!$B$10,Paramètres!$A$1:$I$89,3,0)*VLOOKUP('Données projet'!$B$10,Paramètres!$A$1:$I$89,5,0)</f>
        <v>-9.9316821433603781E-14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121.79484266530449</v>
      </c>
      <c r="AO91" s="62">
        <f t="shared" si="90"/>
        <v>129.14577359424788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0.5717691040873728</v>
      </c>
      <c r="AW91" s="23">
        <f>EXP(-LN(2)/2)*AW90+(1-EXP(-LN(2)/2))/(LN(2)/2)*AQ91*AT91*VLOOKUP('Données projet'!$B$10,Paramètres!$A$1:$I$89,3,0)*0.475*44/12</f>
        <v>6.6650630424767227E-9</v>
      </c>
      <c r="AX91" s="23">
        <f t="shared" si="60"/>
        <v>0.57176911075243586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4.2</v>
      </c>
      <c r="BD91" s="13">
        <f>IF('Données projet'!$A$88&gt;35,BD90+BC91-BL90,IF(A91&lt;'Données projet'!$A$88,$BA$205^A91,IF(A91='Données projet'!$A$88,'Données projet'!$B$88,BD90+BC91-BL90)))</f>
        <v>198.59999999999982</v>
      </c>
      <c r="BE91" s="14">
        <f>BD91*VLOOKUP('Données projet'!$B$11,Paramètres!$A$1:$I$89,3,0)*VLOOKUP('Données projet'!$B$11,Paramètres!$A$1:$I$89,5,0)</f>
        <v>201.38039999999984</v>
      </c>
      <c r="BF91" s="14">
        <f t="shared" si="91"/>
        <v>50.047416314000095</v>
      </c>
      <c r="BG91" s="22">
        <f t="shared" si="61"/>
        <v>437.90344674688322</v>
      </c>
      <c r="BH91" s="62">
        <f t="shared" si="62"/>
        <v>731.23678008021648</v>
      </c>
      <c r="BI91" s="62">
        <f ca="1">AVERAGE(OFFSET($BH$3,0,0,'Données projet'!$E$11+1,1))-AVERAGE(OFFSET($H$3,0,0,'Données projet'!$E$11+1,1))</f>
        <v>201.65575435598231</v>
      </c>
      <c r="BJ91" s="62">
        <f t="shared" si="92"/>
        <v>103.75701796419935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1.1368683772161603E-13</v>
      </c>
      <c r="BZ91" s="14">
        <f>BY91*VLOOKUP('Données projet'!$B$12,Paramètres!$A$1:$I$89,3,0)*VLOOKUP('Données projet'!$B$12,Paramètres!$A$1:$I$89,5,0)</f>
        <v>6.7984728957526396E-14</v>
      </c>
      <c r="CA91" s="14">
        <f t="shared" si="93"/>
        <v>1.0682447123141398E-12</v>
      </c>
      <c r="CB91" s="22">
        <f t="shared" si="64"/>
        <v>1.978932943548152E-12</v>
      </c>
      <c r="CC91" s="62">
        <f t="shared" si="65"/>
        <v>293.3333333333353</v>
      </c>
      <c r="CD91" s="62">
        <f ca="1">AVERAGE(OFFSET($CC$3,0,0,'Données projet'!$E$12+1,1))-AVERAGE(OFFSET($H$3,0,0,'Données projet'!$E$12+1,1))</f>
        <v>222.32495275055498</v>
      </c>
      <c r="CE91" s="62">
        <f t="shared" si="94"/>
        <v>156.39259018918381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0.1851451986786582</v>
      </c>
      <c r="CM91" s="23">
        <f>EXP(-LN(2)/2)*CM90+(1-EXP(-LN(2)/2))/(LN(2)/2)*CG91*CJ91*VLOOKUP('Données projet'!$B$12,Paramètres!$A$1:$I$89,3,0)*0.475*44/12</f>
        <v>1.9804222653269715E-8</v>
      </c>
      <c r="CN91" s="24">
        <f t="shared" si="66"/>
        <v>0.18514521848288085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72.196799999999968</v>
      </c>
      <c r="D92" s="12">
        <f t="shared" si="86"/>
        <v>20.218015459285905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713.37752284361034</v>
      </c>
      <c r="H92" s="70">
        <f t="shared" si="56"/>
        <v>417.62247025825627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-3.4106051316484809E-13</v>
      </c>
      <c r="O92" s="14">
        <f>N92*VLOOKUP('Données projet'!$B$9,Paramètres!$A$1:$I$89,3,0)*VLOOKUP('Données projet'!$B$9,Paramètres!$A$1:$I$89,5,0)</f>
        <v>-1.5961632016114892E-13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273.21086764807194</v>
      </c>
      <c r="T92" s="62">
        <f t="shared" si="88"/>
        <v>259.3474218586631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-1.1368683772161603E-13</v>
      </c>
      <c r="AJ92" s="14">
        <f>AI92*VLOOKUP('Données projet'!$B$10,Paramètres!$A$1:$I$89,3,0)*VLOOKUP('Données projet'!$B$10,Paramètres!$A$1:$I$89,5,0)</f>
        <v>-9.9316821433603781E-14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121.79484266530449</v>
      </c>
      <c r="AO92" s="62">
        <f t="shared" si="90"/>
        <v>129.14577359424788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0.55613404786807319</v>
      </c>
      <c r="AW92" s="23">
        <f>EXP(-LN(2)/2)*AW91+(1-EXP(-LN(2)/2))/(LN(2)/2)*AQ92*AT92*VLOOKUP('Données projet'!$B$10,Paramètres!$A$1:$I$89,3,0)*0.475*44/12</f>
        <v>4.7129112743711326E-9</v>
      </c>
      <c r="AX92" s="23">
        <f t="shared" si="60"/>
        <v>0.55613405258098447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4.2</v>
      </c>
      <c r="BD92" s="13">
        <f>IF('Données projet'!$A$88&gt;35,BD91+BC92-BL91,IF(A92&lt;'Données projet'!$A$88,$BA$205^A92,IF(A92='Données projet'!$A$88,'Données projet'!$B$88,BD91+BC92-BL91)))</f>
        <v>202.79999999999981</v>
      </c>
      <c r="BE92" s="14">
        <f>BD92*VLOOKUP('Données projet'!$B$11,Paramètres!$A$1:$I$89,3,0)*VLOOKUP('Données projet'!$B$11,Paramètres!$A$1:$I$89,5,0)</f>
        <v>205.63919999999982</v>
      </c>
      <c r="BF92" s="14">
        <f t="shared" si="91"/>
        <v>50.981480488268076</v>
      </c>
      <c r="BG92" s="22">
        <f t="shared" si="61"/>
        <v>446.94768518373326</v>
      </c>
      <c r="BH92" s="62">
        <f t="shared" si="62"/>
        <v>740.28101851706651</v>
      </c>
      <c r="BI92" s="62">
        <f ca="1">AVERAGE(OFFSET($BH$3,0,0,'Données projet'!$E$11+1,1))-AVERAGE(OFFSET($H$3,0,0,'Données projet'!$E$11+1,1))</f>
        <v>201.65575435598231</v>
      </c>
      <c r="BJ92" s="62">
        <f t="shared" si="92"/>
        <v>103.75701796419935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1.1368683772161603E-13</v>
      </c>
      <c r="BZ92" s="14">
        <f>BY92*VLOOKUP('Données projet'!$B$12,Paramètres!$A$1:$I$89,3,0)*VLOOKUP('Données projet'!$B$12,Paramètres!$A$1:$I$89,5,0)</f>
        <v>6.7984728957526396E-14</v>
      </c>
      <c r="CA92" s="14">
        <f t="shared" si="93"/>
        <v>1.0682447123141398E-12</v>
      </c>
      <c r="CB92" s="22">
        <f t="shared" si="64"/>
        <v>1.978932943548152E-12</v>
      </c>
      <c r="CC92" s="62">
        <f t="shared" si="65"/>
        <v>293.3333333333353</v>
      </c>
      <c r="CD92" s="62">
        <f ca="1">AVERAGE(OFFSET($CC$3,0,0,'Données projet'!$E$12+1,1))-AVERAGE(OFFSET($H$3,0,0,'Données projet'!$E$12+1,1))</f>
        <v>222.32495275055498</v>
      </c>
      <c r="CE92" s="62">
        <f t="shared" si="94"/>
        <v>156.39259018918381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0.18008239348442745</v>
      </c>
      <c r="CM92" s="23">
        <f>EXP(-LN(2)/2)*CM91+(1-EXP(-LN(2)/2))/(LN(2)/2)*CG92*CJ92*VLOOKUP('Données projet'!$B$12,Paramètres!$A$1:$I$89,3,0)*0.475*44/12</f>
        <v>1.4003700134255256E-8</v>
      </c>
      <c r="CN92" s="24">
        <f t="shared" si="66"/>
        <v>0.18008240748812759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73.007999999999967</v>
      </c>
      <c r="D93" s="12">
        <f t="shared" si="86"/>
        <v>20.418611018263636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721.18787452694698</v>
      </c>
      <c r="H93" s="70">
        <f t="shared" si="56"/>
        <v>419.38468085680915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-3.4106051316484809E-13</v>
      </c>
      <c r="O93" s="14">
        <f>N93*VLOOKUP('Données projet'!$B$9,Paramètres!$A$1:$I$89,3,0)*VLOOKUP('Données projet'!$B$9,Paramètres!$A$1:$I$89,5,0)</f>
        <v>-1.5961632016114892E-13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273.21086764807194</v>
      </c>
      <c r="T93" s="62">
        <f t="shared" si="88"/>
        <v>259.3474218586631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-1.1368683772161603E-13</v>
      </c>
      <c r="AJ93" s="14">
        <f>AI93*VLOOKUP('Données projet'!$B$10,Paramètres!$A$1:$I$89,3,0)*VLOOKUP('Données projet'!$B$10,Paramètres!$A$1:$I$89,5,0)</f>
        <v>-9.9316821433603781E-14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121.79484266530449</v>
      </c>
      <c r="AO93" s="62">
        <f t="shared" si="90"/>
        <v>129.14577359424788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0.54092653308330219</v>
      </c>
      <c r="AW93" s="23">
        <f>EXP(-LN(2)/2)*AW92+(1-EXP(-LN(2)/2))/(LN(2)/2)*AQ93*AT93*VLOOKUP('Données projet'!$B$10,Paramètres!$A$1:$I$89,3,0)*0.475*44/12</f>
        <v>3.3325315212383614E-9</v>
      </c>
      <c r="AX93" s="23">
        <f t="shared" si="60"/>
        <v>0.54092653641583366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207</v>
      </c>
      <c r="BB93" s="13">
        <f>VLOOKUP(A93,'Données projet'!$A$87:$I$107,9,0)</f>
        <v>4.2</v>
      </c>
      <c r="BC93" s="13">
        <f t="array" ref="BC93">INDEX(BB:BB,MIN(IF(ISNUMBER(BB93:BB289),ROW(BB93:BB289),"")))</f>
        <v>4.2</v>
      </c>
      <c r="BD93" s="13">
        <f>IF('Données projet'!$A$88&gt;35,BD92+BC93-BL92,IF(A93&lt;'Données projet'!$A$88,$BA$205^A93,IF(A93='Données projet'!$A$88,'Données projet'!$B$88,BD92+BC93-BL92)))</f>
        <v>206.9999999999998</v>
      </c>
      <c r="BE93" s="14">
        <f>BD93*VLOOKUP('Données projet'!$B$11,Paramètres!$A$1:$I$89,3,0)*VLOOKUP('Données projet'!$B$11,Paramètres!$A$1:$I$89,5,0)</f>
        <v>209.8979999999998</v>
      </c>
      <c r="BF93" s="14">
        <f t="shared" si="91"/>
        <v>51.913295501810218</v>
      </c>
      <c r="BG93" s="22">
        <f t="shared" si="61"/>
        <v>455.98800633231912</v>
      </c>
      <c r="BH93" s="62">
        <f t="shared" si="62"/>
        <v>749.32133966565243</v>
      </c>
      <c r="BI93" s="62">
        <f ca="1">AVERAGE(OFFSET($BH$3,0,0,'Données projet'!$E$11+1,1))-AVERAGE(OFFSET($H$3,0,0,'Données projet'!$E$11+1,1))</f>
        <v>201.65575435598231</v>
      </c>
      <c r="BJ93" s="62">
        <f t="shared" si="92"/>
        <v>103.75701796419935</v>
      </c>
      <c r="BK93" s="16">
        <f>IF(ISNA(VLOOKUP(A93,'Données projet'!$A$87:$I$107,3,0)),0,VLOOKUP(A93,'Données projet'!$A$87:$I$107,3,0))</f>
        <v>14</v>
      </c>
      <c r="BL93" s="16">
        <f>IF(ISNA(VLOOKUP(A93,'Données projet'!$A$87:$I$107,4,0)),0,VLOOKUP(A93,'Données projet'!$A$87:$I$107,4,0))</f>
        <v>14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1.1368683772161603E-13</v>
      </c>
      <c r="BZ93" s="14">
        <f>BY93*VLOOKUP('Données projet'!$B$12,Paramètres!$A$1:$I$89,3,0)*VLOOKUP('Données projet'!$B$12,Paramètres!$A$1:$I$89,5,0)</f>
        <v>6.7984728957526396E-14</v>
      </c>
      <c r="CA93" s="14">
        <f t="shared" si="93"/>
        <v>1.0682447123141398E-12</v>
      </c>
      <c r="CB93" s="22">
        <f t="shared" si="64"/>
        <v>1.978932943548152E-12</v>
      </c>
      <c r="CC93" s="62">
        <f t="shared" si="65"/>
        <v>293.3333333333353</v>
      </c>
      <c r="CD93" s="62">
        <f ca="1">AVERAGE(OFFSET($CC$3,0,0,'Données projet'!$E$12+1,1))-AVERAGE(OFFSET($H$3,0,0,'Données projet'!$E$12+1,1))</f>
        <v>222.32495275055498</v>
      </c>
      <c r="CE93" s="62">
        <f t="shared" si="94"/>
        <v>156.39259018918381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0.1751580309644743</v>
      </c>
      <c r="CM93" s="23">
        <f>EXP(-LN(2)/2)*CM92+(1-EXP(-LN(2)/2))/(LN(2)/2)*CG93*CJ93*VLOOKUP('Données projet'!$B$12,Paramètres!$A$1:$I$89,3,0)*0.475*44/12</f>
        <v>9.9021113266348574E-9</v>
      </c>
      <c r="CN93" s="24">
        <f t="shared" si="66"/>
        <v>0.17515804086658562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73.819199999999967</v>
      </c>
      <c r="D94" s="12">
        <f t="shared" si="86"/>
        <v>20.618947302373449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728.99622479025095</v>
      </c>
      <c r="H94" s="70">
        <f t="shared" si="56"/>
        <v>421.14643988496704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-3.4106051316484809E-13</v>
      </c>
      <c r="O94" s="14">
        <f>N94*VLOOKUP('Données projet'!$B$9,Paramètres!$A$1:$I$89,3,0)*VLOOKUP('Données projet'!$B$9,Paramètres!$A$1:$I$89,5,0)</f>
        <v>-1.5961632016114892E-13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273.21086764807194</v>
      </c>
      <c r="T94" s="62">
        <f t="shared" si="88"/>
        <v>259.3474218586631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-1.1368683772161603E-13</v>
      </c>
      <c r="AJ94" s="14">
        <f>AI94*VLOOKUP('Données projet'!$B$10,Paramètres!$A$1:$I$89,3,0)*VLOOKUP('Données projet'!$B$10,Paramètres!$A$1:$I$89,5,0)</f>
        <v>-9.9316821433603781E-14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121.79484266530449</v>
      </c>
      <c r="AO94" s="62">
        <f t="shared" si="90"/>
        <v>129.14577359424788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0.52613486859004921</v>
      </c>
      <c r="AW94" s="23">
        <f>EXP(-LN(2)/2)*AW93+(1-EXP(-LN(2)/2))/(LN(2)/2)*AQ94*AT94*VLOOKUP('Données projet'!$B$10,Paramètres!$A$1:$I$89,3,0)*0.475*44/12</f>
        <v>2.3564556371855663E-9</v>
      </c>
      <c r="AX94" s="23">
        <f t="shared" si="60"/>
        <v>0.5261348709465048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3.8</v>
      </c>
      <c r="BD94" s="13">
        <f>IF('Données projet'!$A$88&gt;35,BD93+BC94-BL93,IF(A94&lt;'Données projet'!$A$88,$BA$205^A94,IF(A94='Données projet'!$A$88,'Données projet'!$B$88,BD93+BC94-BL93)))</f>
        <v>196.79999999999981</v>
      </c>
      <c r="BE94" s="14">
        <f>BD94*VLOOKUP('Données projet'!$B$11,Paramètres!$A$1:$I$89,3,0)*VLOOKUP('Données projet'!$B$11,Paramètres!$A$1:$I$89,5,0)</f>
        <v>199.55519999999984</v>
      </c>
      <c r="BF94" s="14">
        <f t="shared" si="91"/>
        <v>49.646401484745567</v>
      </c>
      <c r="BG94" s="22">
        <f t="shared" si="61"/>
        <v>434.02612258593155</v>
      </c>
      <c r="BH94" s="62">
        <f t="shared" si="62"/>
        <v>727.35945591926486</v>
      </c>
      <c r="BI94" s="62">
        <f ca="1">AVERAGE(OFFSET($BH$3,0,0,'Données projet'!$E$11+1,1))-AVERAGE(OFFSET($H$3,0,0,'Données projet'!$E$11+1,1))</f>
        <v>201.65575435598231</v>
      </c>
      <c r="BJ94" s="62">
        <f t="shared" si="92"/>
        <v>103.75701796419935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1.1368683772161603E-13</v>
      </c>
      <c r="BZ94" s="14">
        <f>BY94*VLOOKUP('Données projet'!$B$12,Paramètres!$A$1:$I$89,3,0)*VLOOKUP('Données projet'!$B$12,Paramètres!$A$1:$I$89,5,0)</f>
        <v>6.7984728957526396E-14</v>
      </c>
      <c r="CA94" s="14">
        <f t="shared" si="93"/>
        <v>1.0682447123141398E-12</v>
      </c>
      <c r="CB94" s="22">
        <f t="shared" si="64"/>
        <v>1.978932943548152E-12</v>
      </c>
      <c r="CC94" s="62">
        <f t="shared" si="65"/>
        <v>293.3333333333353</v>
      </c>
      <c r="CD94" s="62">
        <f ca="1">AVERAGE(OFFSET($CC$3,0,0,'Données projet'!$E$12+1,1))-AVERAGE(OFFSET($H$3,0,0,'Données projet'!$E$12+1,1))</f>
        <v>222.32495275055498</v>
      </c>
      <c r="CE94" s="62">
        <f t="shared" si="94"/>
        <v>156.39259018918381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0.17036832539659022</v>
      </c>
      <c r="CM94" s="23">
        <f>EXP(-LN(2)/2)*CM93+(1-EXP(-LN(2)/2))/(LN(2)/2)*CG94*CJ94*VLOOKUP('Données projet'!$B$12,Paramètres!$A$1:$I$89,3,0)*0.475*44/12</f>
        <v>7.001850067127628E-9</v>
      </c>
      <c r="CN94" s="24">
        <f t="shared" si="66"/>
        <v>0.17036833239844029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74.630399999999966</v>
      </c>
      <c r="D95" s="12">
        <f t="shared" si="86"/>
        <v>20.819027490528757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736.80259817250237</v>
      </c>
      <c r="H95" s="70">
        <f t="shared" si="56"/>
        <v>422.90775287933752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-3.4106051316484809E-13</v>
      </c>
      <c r="O95" s="14">
        <f>N95*VLOOKUP('Données projet'!$B$9,Paramètres!$A$1:$I$89,3,0)*VLOOKUP('Données projet'!$B$9,Paramètres!$A$1:$I$89,5,0)</f>
        <v>-1.5961632016114892E-13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273.21086764807194</v>
      </c>
      <c r="T95" s="62">
        <f t="shared" si="88"/>
        <v>259.3474218586631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-1.1368683772161603E-13</v>
      </c>
      <c r="AJ95" s="14">
        <f>AI95*VLOOKUP('Données projet'!$B$10,Paramètres!$A$1:$I$89,3,0)*VLOOKUP('Données projet'!$B$10,Paramètres!$A$1:$I$89,5,0)</f>
        <v>-9.9316821433603781E-14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121.79484266530449</v>
      </c>
      <c r="AO95" s="62">
        <f t="shared" si="90"/>
        <v>129.14577359424788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0.5117476829402241</v>
      </c>
      <c r="AW95" s="23">
        <f>EXP(-LN(2)/2)*AW94+(1-EXP(-LN(2)/2))/(LN(2)/2)*AQ95*AT95*VLOOKUP('Données projet'!$B$10,Paramètres!$A$1:$I$89,3,0)*0.475*44/12</f>
        <v>1.6662657606191807E-9</v>
      </c>
      <c r="AX95" s="23">
        <f t="shared" si="60"/>
        <v>0.51174768460648989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3.8</v>
      </c>
      <c r="BD95" s="13">
        <f>IF('Données projet'!$A$88&gt;35,BD94+BC95-BL94,IF(A95&lt;'Données projet'!$A$88,$BA$205^A95,IF(A95='Données projet'!$A$88,'Données projet'!$B$88,BD94+BC95-BL94)))</f>
        <v>200.59999999999982</v>
      </c>
      <c r="BE95" s="14">
        <f>BD95*VLOOKUP('Données projet'!$B$11,Paramètres!$A$1:$I$89,3,0)*VLOOKUP('Données projet'!$B$11,Paramètres!$A$1:$I$89,5,0)</f>
        <v>203.40839999999986</v>
      </c>
      <c r="BF95" s="14">
        <f t="shared" si="91"/>
        <v>50.492492598976959</v>
      </c>
      <c r="BG95" s="22">
        <f t="shared" si="61"/>
        <v>442.21072127655128</v>
      </c>
      <c r="BH95" s="62">
        <f t="shared" si="62"/>
        <v>735.5440546098846</v>
      </c>
      <c r="BI95" s="62">
        <f ca="1">AVERAGE(OFFSET($BH$3,0,0,'Données projet'!$E$11+1,1))-AVERAGE(OFFSET($H$3,0,0,'Données projet'!$E$11+1,1))</f>
        <v>201.65575435598231</v>
      </c>
      <c r="BJ95" s="62">
        <f t="shared" si="92"/>
        <v>103.75701796419935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1.1368683772161603E-13</v>
      </c>
      <c r="BZ95" s="14">
        <f>BY95*VLOOKUP('Données projet'!$B$12,Paramètres!$A$1:$I$89,3,0)*VLOOKUP('Données projet'!$B$12,Paramètres!$A$1:$I$89,5,0)</f>
        <v>6.7984728957526396E-14</v>
      </c>
      <c r="CA95" s="14">
        <f t="shared" si="93"/>
        <v>1.0682447123141398E-12</v>
      </c>
      <c r="CB95" s="22">
        <f t="shared" si="64"/>
        <v>1.978932943548152E-12</v>
      </c>
      <c r="CC95" s="62">
        <f t="shared" si="65"/>
        <v>293.3333333333353</v>
      </c>
      <c r="CD95" s="62">
        <f ca="1">AVERAGE(OFFSET($CC$3,0,0,'Données projet'!$E$12+1,1))-AVERAGE(OFFSET($H$3,0,0,'Données projet'!$E$12+1,1))</f>
        <v>222.32495275055498</v>
      </c>
      <c r="CE95" s="62">
        <f t="shared" si="94"/>
        <v>156.39259018918381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0.16570959457933962</v>
      </c>
      <c r="CM95" s="23">
        <f>EXP(-LN(2)/2)*CM94+(1-EXP(-LN(2)/2))/(LN(2)/2)*CG95*CJ95*VLOOKUP('Données projet'!$B$12,Paramètres!$A$1:$I$89,3,0)*0.475*44/12</f>
        <v>4.9510556633174287E-9</v>
      </c>
      <c r="CN95" s="24">
        <f t="shared" si="66"/>
        <v>0.1657095995303953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75.441599999999966</v>
      </c>
      <c r="D96" s="12">
        <f t="shared" si="86"/>
        <v>21.018854688556051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744.60701864850262</v>
      </c>
      <c r="H96" s="70">
        <f t="shared" si="56"/>
        <v>424.66862524923505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-3.4106051316484809E-13</v>
      </c>
      <c r="O96" s="14">
        <f>N96*VLOOKUP('Données projet'!$B$9,Paramètres!$A$1:$I$89,3,0)*VLOOKUP('Données projet'!$B$9,Paramètres!$A$1:$I$89,5,0)</f>
        <v>-1.5961632016114892E-13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273.21086764807194</v>
      </c>
      <c r="T96" s="62">
        <f t="shared" si="88"/>
        <v>259.3474218586631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-1.1368683772161603E-13</v>
      </c>
      <c r="AJ96" s="14">
        <f>AI96*VLOOKUP('Données projet'!$B$10,Paramètres!$A$1:$I$89,3,0)*VLOOKUP('Données projet'!$B$10,Paramètres!$A$1:$I$89,5,0)</f>
        <v>-9.9316821433603781E-14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121.79484266530449</v>
      </c>
      <c r="AO96" s="62">
        <f t="shared" si="90"/>
        <v>129.14577359424788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0.49775391563858262</v>
      </c>
      <c r="AW96" s="23">
        <f>EXP(-LN(2)/2)*AW95+(1-EXP(-LN(2)/2))/(LN(2)/2)*AQ96*AT96*VLOOKUP('Données projet'!$B$10,Paramètres!$A$1:$I$89,3,0)*0.475*44/12</f>
        <v>1.1782278185927832E-9</v>
      </c>
      <c r="AX96" s="23">
        <f t="shared" si="60"/>
        <v>0.49775391681681042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3.8</v>
      </c>
      <c r="BD96" s="13">
        <f>IF('Données projet'!$A$88&gt;35,BD95+BC96-BL95,IF(A96&lt;'Données projet'!$A$88,$BA$205^A96,IF(A96='Données projet'!$A$88,'Données projet'!$B$88,BD95+BC96-BL95)))</f>
        <v>204.39999999999984</v>
      </c>
      <c r="BE96" s="14">
        <f>BD96*VLOOKUP('Données projet'!$B$11,Paramètres!$A$1:$I$89,3,0)*VLOOKUP('Données projet'!$B$11,Paramètres!$A$1:$I$89,5,0)</f>
        <v>207.26159999999985</v>
      </c>
      <c r="BF96" s="14">
        <f t="shared" si="91"/>
        <v>51.3367200324452</v>
      </c>
      <c r="BG96" s="22">
        <f t="shared" si="61"/>
        <v>450.39207405650836</v>
      </c>
      <c r="BH96" s="62">
        <f t="shared" si="62"/>
        <v>743.72540738984162</v>
      </c>
      <c r="BI96" s="62">
        <f ca="1">AVERAGE(OFFSET($BH$3,0,0,'Données projet'!$E$11+1,1))-AVERAGE(OFFSET($H$3,0,0,'Données projet'!$E$11+1,1))</f>
        <v>201.65575435598231</v>
      </c>
      <c r="BJ96" s="62">
        <f t="shared" si="92"/>
        <v>103.75701796419935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1.1368683772161603E-13</v>
      </c>
      <c r="BZ96" s="14">
        <f>BY96*VLOOKUP('Données projet'!$B$12,Paramètres!$A$1:$I$89,3,0)*VLOOKUP('Données projet'!$B$12,Paramètres!$A$1:$I$89,5,0)</f>
        <v>6.7984728957526396E-14</v>
      </c>
      <c r="CA96" s="14">
        <f t="shared" si="93"/>
        <v>1.0682447123141398E-12</v>
      </c>
      <c r="CB96" s="22">
        <f t="shared" si="64"/>
        <v>1.978932943548152E-12</v>
      </c>
      <c r="CC96" s="62">
        <f t="shared" si="65"/>
        <v>293.3333333333353</v>
      </c>
      <c r="CD96" s="62">
        <f ca="1">AVERAGE(OFFSET($CC$3,0,0,'Données projet'!$E$12+1,1))-AVERAGE(OFFSET($H$3,0,0,'Données projet'!$E$12+1,1))</f>
        <v>222.32495275055498</v>
      </c>
      <c r="CE96" s="62">
        <f t="shared" si="94"/>
        <v>156.39259018918381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0.16117825700127875</v>
      </c>
      <c r="CM96" s="23">
        <f>EXP(-LN(2)/2)*CM95+(1-EXP(-LN(2)/2))/(LN(2)/2)*CG96*CJ96*VLOOKUP('Données projet'!$B$12,Paramètres!$A$1:$I$89,3,0)*0.475*44/12</f>
        <v>3.500925033563814E-9</v>
      </c>
      <c r="CN96" s="24">
        <f t="shared" si="66"/>
        <v>0.16117826050220377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76.252799999999965</v>
      </c>
      <c r="D97" s="12">
        <f t="shared" si="86"/>
        <v>21.21843193164284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752.40950964776903</v>
      </c>
      <c r="H97" s="70">
        <f t="shared" si="56"/>
        <v>426.42906228094455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-3.4106051316484809E-13</v>
      </c>
      <c r="O97" s="14">
        <f>N97*VLOOKUP('Données projet'!$B$9,Paramètres!$A$1:$I$89,3,0)*VLOOKUP('Données projet'!$B$9,Paramètres!$A$1:$I$89,5,0)</f>
        <v>-1.5961632016114892E-13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273.21086764807194</v>
      </c>
      <c r="T97" s="62">
        <f t="shared" si="88"/>
        <v>259.3474218586631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-1.1368683772161603E-13</v>
      </c>
      <c r="AJ97" s="14">
        <f>AI97*VLOOKUP('Données projet'!$B$10,Paramètres!$A$1:$I$89,3,0)*VLOOKUP('Données projet'!$B$10,Paramètres!$A$1:$I$89,5,0)</f>
        <v>-9.9316821433603781E-14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121.79484266530449</v>
      </c>
      <c r="AO97" s="62">
        <f t="shared" si="90"/>
        <v>129.14577359424788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0.48414280863970477</v>
      </c>
      <c r="AW97" s="23">
        <f>EXP(-LN(2)/2)*AW96+(1-EXP(-LN(2)/2))/(LN(2)/2)*AQ97*AT97*VLOOKUP('Données projet'!$B$10,Paramètres!$A$1:$I$89,3,0)*0.475*44/12</f>
        <v>8.3313288030959034E-10</v>
      </c>
      <c r="AX97" s="23">
        <f t="shared" si="60"/>
        <v>0.48414280947283767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3.8</v>
      </c>
      <c r="BD97" s="13">
        <f>IF('Données projet'!$A$88&gt;35,BD96+BC97-BL96,IF(A97&lt;'Données projet'!$A$88,$BA$205^A97,IF(A97='Données projet'!$A$88,'Données projet'!$B$88,BD96+BC97-BL96)))</f>
        <v>208.19999999999985</v>
      </c>
      <c r="BE97" s="14">
        <f>BD97*VLOOKUP('Données projet'!$B$11,Paramètres!$A$1:$I$89,3,0)*VLOOKUP('Données projet'!$B$11,Paramètres!$A$1:$I$89,5,0)</f>
        <v>211.11479999999986</v>
      </c>
      <c r="BF97" s="14">
        <f t="shared" si="91"/>
        <v>52.179122428493628</v>
      </c>
      <c r="BG97" s="22">
        <f t="shared" si="61"/>
        <v>458.57024822962609</v>
      </c>
      <c r="BH97" s="62">
        <f t="shared" si="62"/>
        <v>751.9035815629594</v>
      </c>
      <c r="BI97" s="62">
        <f ca="1">AVERAGE(OFFSET($BH$3,0,0,'Données projet'!$E$11+1,1))-AVERAGE(OFFSET($H$3,0,0,'Données projet'!$E$11+1,1))</f>
        <v>201.65575435598231</v>
      </c>
      <c r="BJ97" s="62">
        <f t="shared" si="92"/>
        <v>103.75701796419935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1.1368683772161603E-13</v>
      </c>
      <c r="BZ97" s="14">
        <f>BY97*VLOOKUP('Données projet'!$B$12,Paramètres!$A$1:$I$89,3,0)*VLOOKUP('Données projet'!$B$12,Paramètres!$A$1:$I$89,5,0)</f>
        <v>6.7984728957526396E-14</v>
      </c>
      <c r="CA97" s="14">
        <f t="shared" si="93"/>
        <v>1.0682447123141398E-12</v>
      </c>
      <c r="CB97" s="22">
        <f t="shared" si="64"/>
        <v>1.978932943548152E-12</v>
      </c>
      <c r="CC97" s="62">
        <f t="shared" si="65"/>
        <v>293.3333333333353</v>
      </c>
      <c r="CD97" s="62">
        <f ca="1">AVERAGE(OFFSET($CC$3,0,0,'Données projet'!$E$12+1,1))-AVERAGE(OFFSET($H$3,0,0,'Données projet'!$E$12+1,1))</f>
        <v>222.32495275055498</v>
      </c>
      <c r="CE97" s="62">
        <f t="shared" si="94"/>
        <v>156.39259018918381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0.15677082908758261</v>
      </c>
      <c r="CM97" s="23">
        <f>EXP(-LN(2)/2)*CM96+(1-EXP(-LN(2)/2))/(LN(2)/2)*CG97*CJ97*VLOOKUP('Données projet'!$B$12,Paramètres!$A$1:$I$89,3,0)*0.475*44/12</f>
        <v>2.4755278316587143E-9</v>
      </c>
      <c r="CN97" s="24">
        <f t="shared" si="66"/>
        <v>0.15677083156311045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77.063999999999965</v>
      </c>
      <c r="D98" s="12">
        <f t="shared" si="86"/>
        <v>21.417762186678065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760.21009407260237</v>
      </c>
      <c r="H98" s="70">
        <f t="shared" si="56"/>
        <v>428.18906914179757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-3.4106051316484809E-13</v>
      </c>
      <c r="O98" s="14">
        <f>N98*VLOOKUP('Données projet'!$B$9,Paramètres!$A$1:$I$89,3,0)*VLOOKUP('Données projet'!$B$9,Paramètres!$A$1:$I$89,5,0)</f>
        <v>-1.5961632016114892E-13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273.21086764807194</v>
      </c>
      <c r="T98" s="62">
        <f t="shared" si="88"/>
        <v>259.3474218586631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-1.1368683772161603E-13</v>
      </c>
      <c r="AJ98" s="14">
        <f>AI98*VLOOKUP('Données projet'!$B$10,Paramètres!$A$1:$I$89,3,0)*VLOOKUP('Données projet'!$B$10,Paramètres!$A$1:$I$89,5,0)</f>
        <v>-9.9316821433603781E-14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121.79484266530449</v>
      </c>
      <c r="AO98" s="62">
        <f t="shared" si="90"/>
        <v>129.14577359424788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0.47090389807748828</v>
      </c>
      <c r="AW98" s="23">
        <f>EXP(-LN(2)/2)*AW97+(1-EXP(-LN(2)/2))/(LN(2)/2)*AQ98*AT98*VLOOKUP('Données projet'!$B$10,Paramètres!$A$1:$I$89,3,0)*0.475*44/12</f>
        <v>5.8911390929639158E-10</v>
      </c>
      <c r="AX98" s="23">
        <f t="shared" si="60"/>
        <v>0.47090389866660221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>
        <f>VLOOKUP(A98,'Données projet'!$A$87:$I$107,2,0)</f>
        <v>212</v>
      </c>
      <c r="BB98" s="13">
        <f>VLOOKUP(A98,'Données projet'!$A$87:$I$107,9,0)</f>
        <v>3.8</v>
      </c>
      <c r="BC98" s="13">
        <f t="array" ref="BC98">INDEX(BB:BB,MIN(IF(ISNUMBER(BB98:BB294),ROW(BB98:BB294),"")))</f>
        <v>3.8</v>
      </c>
      <c r="BD98" s="13">
        <f>IF('Données projet'!$A$88&gt;35,BD97+BC98-BL97,IF(A98&lt;'Données projet'!$A$88,$BA$205^A98,IF(A98='Données projet'!$A$88,'Données projet'!$B$88,BD97+BC98-BL97)))</f>
        <v>211.99999999999986</v>
      </c>
      <c r="BE98" s="14">
        <f>BD98*VLOOKUP('Données projet'!$B$11,Paramètres!$A$1:$I$89,3,0)*VLOOKUP('Données projet'!$B$11,Paramètres!$A$1:$I$89,5,0)</f>
        <v>214.9679999999999</v>
      </c>
      <c r="BF98" s="14">
        <f t="shared" si="91"/>
        <v>53.019736939092994</v>
      </c>
      <c r="BG98" s="22">
        <f t="shared" si="61"/>
        <v>466.74530850225341</v>
      </c>
      <c r="BH98" s="62">
        <f t="shared" si="62"/>
        <v>760.07864183558672</v>
      </c>
      <c r="BI98" s="62">
        <f ca="1">AVERAGE(OFFSET($BH$3,0,0,'Données projet'!$E$11+1,1))-AVERAGE(OFFSET($H$3,0,0,'Données projet'!$E$11+1,1))</f>
        <v>201.65575435598231</v>
      </c>
      <c r="BJ98" s="62">
        <f t="shared" si="92"/>
        <v>103.75701796419935</v>
      </c>
      <c r="BK98" s="16">
        <f>IF(ISNA(VLOOKUP(A98,'Données projet'!$A$87:$I$107,3,0)),0,VLOOKUP(A98,'Données projet'!$A$87:$I$107,3,0))</f>
        <v>15</v>
      </c>
      <c r="BL98" s="16">
        <f>IF(ISNA(VLOOKUP(A98,'Données projet'!$A$87:$I$107,4,0)),0,VLOOKUP(A98,'Données projet'!$A$87:$I$107,4,0))</f>
        <v>14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1.1368683772161603E-13</v>
      </c>
      <c r="BZ98" s="14">
        <f>BY98*VLOOKUP('Données projet'!$B$12,Paramètres!$A$1:$I$89,3,0)*VLOOKUP('Données projet'!$B$12,Paramètres!$A$1:$I$89,5,0)</f>
        <v>6.7984728957526396E-14</v>
      </c>
      <c r="CA98" s="14">
        <f t="shared" si="93"/>
        <v>1.0682447123141398E-12</v>
      </c>
      <c r="CB98" s="22">
        <f t="shared" si="64"/>
        <v>1.978932943548152E-12</v>
      </c>
      <c r="CC98" s="62">
        <f t="shared" si="65"/>
        <v>293.3333333333353</v>
      </c>
      <c r="CD98" s="62">
        <f ca="1">AVERAGE(OFFSET($CC$3,0,0,'Données projet'!$E$12+1,1))-AVERAGE(OFFSET($H$3,0,0,'Données projet'!$E$12+1,1))</f>
        <v>222.32495275055498</v>
      </c>
      <c r="CE98" s="62">
        <f t="shared" si="94"/>
        <v>156.39259018918381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0.15248392252196308</v>
      </c>
      <c r="CM98" s="23">
        <f>EXP(-LN(2)/2)*CM97+(1-EXP(-LN(2)/2))/(LN(2)/2)*CG98*CJ98*VLOOKUP('Données projet'!$B$12,Paramètres!$A$1:$I$89,3,0)*0.475*44/12</f>
        <v>1.750462516781907E-9</v>
      </c>
      <c r="CN98" s="24">
        <f t="shared" si="66"/>
        <v>0.1524839242724256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77.875199999999964</v>
      </c>
      <c r="D99" s="12">
        <f t="shared" si="86"/>
        <v>21.616848354491538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768.00879431537305</v>
      </c>
      <c r="H99" s="70">
        <f t="shared" si="56"/>
        <v>429.94865088407272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-3.4106051316484809E-13</v>
      </c>
      <c r="O99" s="14">
        <f>N99*VLOOKUP('Données projet'!$B$9,Paramètres!$A$1:$I$89,3,0)*VLOOKUP('Données projet'!$B$9,Paramètres!$A$1:$I$89,5,0)</f>
        <v>-1.5961632016114892E-13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273.21086764807194</v>
      </c>
      <c r="T99" s="62">
        <f t="shared" si="88"/>
        <v>259.3474218586631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-1.1368683772161603E-13</v>
      </c>
      <c r="AJ99" s="14">
        <f>AI99*VLOOKUP('Données projet'!$B$10,Paramètres!$A$1:$I$89,3,0)*VLOOKUP('Données projet'!$B$10,Paramètres!$A$1:$I$89,5,0)</f>
        <v>-9.9316821433603781E-14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121.79484266530449</v>
      </c>
      <c r="AO99" s="62">
        <f t="shared" si="90"/>
        <v>129.14577359424788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0.45802700622079962</v>
      </c>
      <c r="AW99" s="23">
        <f>EXP(-LN(2)/2)*AW98+(1-EXP(-LN(2)/2))/(LN(2)/2)*AQ99*AT99*VLOOKUP('Données projet'!$B$10,Paramètres!$A$1:$I$89,3,0)*0.475*44/12</f>
        <v>4.1656644015479517E-10</v>
      </c>
      <c r="AX99" s="23">
        <f t="shared" si="60"/>
        <v>0.45802700663736606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3.6</v>
      </c>
      <c r="BD99" s="13">
        <f>IF('Données projet'!$A$88&gt;35,BD98+BC99-BL98,IF(A99&lt;'Données projet'!$A$88,$BA$205^A99,IF(A99='Données projet'!$A$88,'Données projet'!$B$88,BD98+BC99-BL98)))</f>
        <v>201.59999999999985</v>
      </c>
      <c r="BE99" s="14">
        <f>BD99*VLOOKUP('Données projet'!$B$11,Paramètres!$A$1:$I$89,3,0)*VLOOKUP('Données projet'!$B$11,Paramètres!$A$1:$I$89,5,0)</f>
        <v>204.42239999999987</v>
      </c>
      <c r="BF99" s="14">
        <f t="shared" si="91"/>
        <v>50.714836797527262</v>
      </c>
      <c r="BG99" s="22">
        <f t="shared" si="61"/>
        <v>444.36402075569305</v>
      </c>
      <c r="BH99" s="62">
        <f t="shared" si="62"/>
        <v>737.69735408902636</v>
      </c>
      <c r="BI99" s="62">
        <f ca="1">AVERAGE(OFFSET($BH$3,0,0,'Données projet'!$E$11+1,1))-AVERAGE(OFFSET($H$3,0,0,'Données projet'!$E$11+1,1))</f>
        <v>201.65575435598231</v>
      </c>
      <c r="BJ99" s="62">
        <f t="shared" si="92"/>
        <v>103.75701796419935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1.1368683772161603E-13</v>
      </c>
      <c r="BZ99" s="14">
        <f>BY99*VLOOKUP('Données projet'!$B$12,Paramètres!$A$1:$I$89,3,0)*VLOOKUP('Données projet'!$B$12,Paramètres!$A$1:$I$89,5,0)</f>
        <v>6.7984728957526396E-14</v>
      </c>
      <c r="CA99" s="14">
        <f t="shared" si="93"/>
        <v>1.0682447123141398E-12</v>
      </c>
      <c r="CB99" s="22">
        <f t="shared" si="64"/>
        <v>1.978932943548152E-12</v>
      </c>
      <c r="CC99" s="62">
        <f t="shared" si="65"/>
        <v>293.3333333333353</v>
      </c>
      <c r="CD99" s="62">
        <f ca="1">AVERAGE(OFFSET($CC$3,0,0,'Données projet'!$E$12+1,1))-AVERAGE(OFFSET($H$3,0,0,'Données projet'!$E$12+1,1))</f>
        <v>222.32495275055498</v>
      </c>
      <c r="CE99" s="62">
        <f t="shared" si="94"/>
        <v>156.39259018918381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0.14831424164181903</v>
      </c>
      <c r="CM99" s="23">
        <f>EXP(-LN(2)/2)*CM98+(1-EXP(-LN(2)/2))/(LN(2)/2)*CG99*CJ99*VLOOKUP('Données projet'!$B$12,Paramètres!$A$1:$I$89,3,0)*0.475*44/12</f>
        <v>1.2377639158293572E-9</v>
      </c>
      <c r="CN99" s="24">
        <f t="shared" si="66"/>
        <v>0.14831424287958295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78.686399999999963</v>
      </c>
      <c r="D100" s="12">
        <f t="shared" si="86"/>
        <v>21.815693271997169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775.80563227506548</v>
      </c>
      <c r="H100" s="70">
        <f t="shared" si="56"/>
        <v>431.7078124487283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-3.4106051316484809E-13</v>
      </c>
      <c r="O100" s="14">
        <f>N100*VLOOKUP('Données projet'!$B$9,Paramètres!$A$1:$I$89,3,0)*VLOOKUP('Données projet'!$B$9,Paramètres!$A$1:$I$89,5,0)</f>
        <v>-1.5961632016114892E-13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273.21086764807194</v>
      </c>
      <c r="T100" s="62">
        <f t="shared" si="88"/>
        <v>259.3474218586631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-1.1368683772161603E-13</v>
      </c>
      <c r="AJ100" s="14">
        <f>AI100*VLOOKUP('Données projet'!$B$10,Paramètres!$A$1:$I$89,3,0)*VLOOKUP('Données projet'!$B$10,Paramètres!$A$1:$I$89,5,0)</f>
        <v>-9.9316821433603781E-14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121.79484266530449</v>
      </c>
      <c r="AO100" s="62">
        <f t="shared" si="90"/>
        <v>129.14577359424788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0.44550223364909841</v>
      </c>
      <c r="AW100" s="23">
        <f>EXP(-LN(2)/2)*AW99+(1-EXP(-LN(2)/2))/(LN(2)/2)*AQ100*AT100*VLOOKUP('Données projet'!$B$10,Paramètres!$A$1:$I$89,3,0)*0.475*44/12</f>
        <v>2.9455695464819579E-10</v>
      </c>
      <c r="AX100" s="23">
        <f t="shared" si="60"/>
        <v>0.44550223394365535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3.6</v>
      </c>
      <c r="BD100" s="13">
        <f>IF('Données projet'!$A$88&gt;35,BD99+BC100-BL99,IF(A100&lt;'Données projet'!$A$88,$BA$205^A100,IF(A100='Données projet'!$A$88,'Données projet'!$B$88,BD99+BC100-BL99)))</f>
        <v>205.19999999999985</v>
      </c>
      <c r="BE100" s="14">
        <f>BD100*VLOOKUP('Données projet'!$B$11,Paramètres!$A$1:$I$89,3,0)*VLOOKUP('Données projet'!$B$11,Paramètres!$A$1:$I$89,5,0)</f>
        <v>208.07279999999986</v>
      </c>
      <c r="BF100" s="14">
        <f t="shared" si="91"/>
        <v>51.514218302854317</v>
      </c>
      <c r="BG100" s="22">
        <f t="shared" si="61"/>
        <v>452.114056877471</v>
      </c>
      <c r="BH100" s="62">
        <f t="shared" si="62"/>
        <v>745.44739021080431</v>
      </c>
      <c r="BI100" s="62">
        <f ca="1">AVERAGE(OFFSET($BH$3,0,0,'Données projet'!$E$11+1,1))-AVERAGE(OFFSET($H$3,0,0,'Données projet'!$E$11+1,1))</f>
        <v>201.65575435598231</v>
      </c>
      <c r="BJ100" s="62">
        <f t="shared" si="92"/>
        <v>103.75701796419935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1.1368683772161603E-13</v>
      </c>
      <c r="BZ100" s="14">
        <f>BY100*VLOOKUP('Données projet'!$B$12,Paramètres!$A$1:$I$89,3,0)*VLOOKUP('Données projet'!$B$12,Paramètres!$A$1:$I$89,5,0)</f>
        <v>6.7984728957526396E-14</v>
      </c>
      <c r="CA100" s="14">
        <f t="shared" si="93"/>
        <v>1.0682447123141398E-12</v>
      </c>
      <c r="CB100" s="22">
        <f t="shared" si="64"/>
        <v>1.978932943548152E-12</v>
      </c>
      <c r="CC100" s="62">
        <f t="shared" si="65"/>
        <v>293.3333333333353</v>
      </c>
      <c r="CD100" s="62">
        <f ca="1">AVERAGE(OFFSET($CC$3,0,0,'Données projet'!$E$12+1,1))-AVERAGE(OFFSET($H$3,0,0,'Données projet'!$E$12+1,1))</f>
        <v>222.32495275055498</v>
      </c>
      <c r="CE100" s="62">
        <f t="shared" si="94"/>
        <v>156.39259018918381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0.14425858090461649</v>
      </c>
      <c r="CM100" s="23">
        <f>EXP(-LN(2)/2)*CM99+(1-EXP(-LN(2)/2))/(LN(2)/2)*CG100*CJ100*VLOOKUP('Données projet'!$B$12,Paramètres!$A$1:$I$89,3,0)*0.475*44/12</f>
        <v>8.752312583909535E-10</v>
      </c>
      <c r="CN100" s="24">
        <f t="shared" si="66"/>
        <v>0.14425858177984774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79.497599999999963</v>
      </c>
      <c r="D101" s="12">
        <f t="shared" si="86"/>
        <v>22.014299714245336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783.60062937312159</v>
      </c>
      <c r="H101" s="70">
        <f t="shared" si="56"/>
        <v>433.46655866897726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-3.4106051316484809E-13</v>
      </c>
      <c r="O101" s="14">
        <f>N101*VLOOKUP('Données projet'!$B$9,Paramètres!$A$1:$I$89,3,0)*VLOOKUP('Données projet'!$B$9,Paramètres!$A$1:$I$89,5,0)</f>
        <v>-1.5961632016114892E-13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273.21086764807194</v>
      </c>
      <c r="T101" s="62">
        <f t="shared" si="88"/>
        <v>259.3474218586631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-1.1368683772161603E-13</v>
      </c>
      <c r="AJ101" s="14">
        <f>AI101*VLOOKUP('Données projet'!$B$10,Paramètres!$A$1:$I$89,3,0)*VLOOKUP('Données projet'!$B$10,Paramètres!$A$1:$I$89,5,0)</f>
        <v>-9.9316821433603781E-14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121.79484266530449</v>
      </c>
      <c r="AO101" s="62">
        <f t="shared" si="90"/>
        <v>129.14577359424788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0.43331995164201953</v>
      </c>
      <c r="AW101" s="23">
        <f>EXP(-LN(2)/2)*AW100+(1-EXP(-LN(2)/2))/(LN(2)/2)*AQ101*AT101*VLOOKUP('Données projet'!$B$10,Paramètres!$A$1:$I$89,3,0)*0.475*44/12</f>
        <v>2.0828322007739759E-10</v>
      </c>
      <c r="AX101" s="23">
        <f t="shared" si="60"/>
        <v>0.43331995185030275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3.6</v>
      </c>
      <c r="BD101" s="13">
        <f>IF('Données projet'!$A$88&gt;35,BD100+BC101-BL100,IF(A101&lt;'Données projet'!$A$88,$BA$205^A101,IF(A101='Données projet'!$A$88,'Données projet'!$B$88,BD100+BC101-BL100)))</f>
        <v>208.79999999999984</v>
      </c>
      <c r="BE101" s="14">
        <f>BD101*VLOOKUP('Données projet'!$B$11,Paramètres!$A$1:$I$89,3,0)*VLOOKUP('Données projet'!$B$11,Paramètres!$A$1:$I$89,5,0)</f>
        <v>211.72319999999988</v>
      </c>
      <c r="BF101" s="14">
        <f t="shared" si="91"/>
        <v>52.311968964212028</v>
      </c>
      <c r="BG101" s="22">
        <f t="shared" si="61"/>
        <v>459.86125261266903</v>
      </c>
      <c r="BH101" s="62">
        <f t="shared" si="62"/>
        <v>753.19458594600235</v>
      </c>
      <c r="BI101" s="62">
        <f ca="1">AVERAGE(OFFSET($BH$3,0,0,'Données projet'!$E$11+1,1))-AVERAGE(OFFSET($H$3,0,0,'Données projet'!$E$11+1,1))</f>
        <v>201.65575435598231</v>
      </c>
      <c r="BJ101" s="62">
        <f t="shared" si="92"/>
        <v>103.75701796419935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1.1368683772161603E-13</v>
      </c>
      <c r="BZ101" s="14">
        <f>BY101*VLOOKUP('Données projet'!$B$12,Paramètres!$A$1:$I$89,3,0)*VLOOKUP('Données projet'!$B$12,Paramètres!$A$1:$I$89,5,0)</f>
        <v>6.7984728957526396E-14</v>
      </c>
      <c r="CA101" s="14">
        <f t="shared" si="93"/>
        <v>1.0682447123141398E-12</v>
      </c>
      <c r="CB101" s="22">
        <f t="shared" si="64"/>
        <v>1.978932943548152E-12</v>
      </c>
      <c r="CC101" s="62">
        <f t="shared" si="65"/>
        <v>293.3333333333353</v>
      </c>
      <c r="CD101" s="62">
        <f ca="1">AVERAGE(OFFSET($CC$3,0,0,'Données projet'!$E$12+1,1))-AVERAGE(OFFSET($H$3,0,0,'Données projet'!$E$12+1,1))</f>
        <v>222.32495275055498</v>
      </c>
      <c r="CE101" s="62">
        <f t="shared" si="94"/>
        <v>156.39259018918381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0.1403138224235507</v>
      </c>
      <c r="CM101" s="23">
        <f>EXP(-LN(2)/2)*CM100+(1-EXP(-LN(2)/2))/(LN(2)/2)*CG101*CJ101*VLOOKUP('Données projet'!$B$12,Paramètres!$A$1:$I$89,3,0)*0.475*44/12</f>
        <v>6.1888195791467859E-10</v>
      </c>
      <c r="CN101" s="24">
        <f t="shared" si="66"/>
        <v>0.14031382304243264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80.308799999999962</v>
      </c>
      <c r="D102" s="12">
        <f t="shared" si="86"/>
        <v>22.212670396389218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791.39380656861829</v>
      </c>
      <c r="H102" s="70">
        <f t="shared" si="56"/>
        <v>435.22489427371119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-3.4106051316484809E-13</v>
      </c>
      <c r="O102" s="14">
        <f>N102*VLOOKUP('Données projet'!$B$9,Paramètres!$A$1:$I$89,3,0)*VLOOKUP('Données projet'!$B$9,Paramètres!$A$1:$I$89,5,0)</f>
        <v>-1.5961632016114892E-13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273.21086764807194</v>
      </c>
      <c r="T102" s="62">
        <f t="shared" si="88"/>
        <v>259.3474218586631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-1.1368683772161603E-13</v>
      </c>
      <c r="AJ102" s="14">
        <f>AI102*VLOOKUP('Données projet'!$B$10,Paramètres!$A$1:$I$89,3,0)*VLOOKUP('Données projet'!$B$10,Paramètres!$A$1:$I$89,5,0)</f>
        <v>-9.9316821433603781E-14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121.79484266530449</v>
      </c>
      <c r="AO102" s="62">
        <f t="shared" si="90"/>
        <v>129.14577359424788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0.42147079477706262</v>
      </c>
      <c r="AW102" s="23">
        <f>EXP(-LN(2)/2)*AW101+(1-EXP(-LN(2)/2))/(LN(2)/2)*AQ102*AT102*VLOOKUP('Données projet'!$B$10,Paramètres!$A$1:$I$89,3,0)*0.475*44/12</f>
        <v>1.4727847732409789E-10</v>
      </c>
      <c r="AX102" s="23">
        <f t="shared" si="60"/>
        <v>0.42147079492434109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3.6</v>
      </c>
      <c r="BD102" s="13">
        <f>IF('Données projet'!$A$88&gt;35,BD101+BC102-BL101,IF(A102&lt;'Données projet'!$A$88,$BA$205^A102,IF(A102='Données projet'!$A$88,'Données projet'!$B$88,BD101+BC102-BL101)))</f>
        <v>212.39999999999984</v>
      </c>
      <c r="BE102" s="14">
        <f>BD102*VLOOKUP('Données projet'!$B$11,Paramètres!$A$1:$I$89,3,0)*VLOOKUP('Données projet'!$B$11,Paramètres!$A$1:$I$89,5,0)</f>
        <v>215.37359999999984</v>
      </c>
      <c r="BF102" s="14">
        <f t="shared" si="91"/>
        <v>53.108120144188867</v>
      </c>
      <c r="BG102" s="22">
        <f t="shared" si="61"/>
        <v>467.60566258446198</v>
      </c>
      <c r="BH102" s="62">
        <f t="shared" si="62"/>
        <v>760.9389959177953</v>
      </c>
      <c r="BI102" s="62">
        <f ca="1">AVERAGE(OFFSET($BH$3,0,0,'Données projet'!$E$11+1,1))-AVERAGE(OFFSET($H$3,0,0,'Données projet'!$E$11+1,1))</f>
        <v>201.65575435598231</v>
      </c>
      <c r="BJ102" s="62">
        <f t="shared" si="92"/>
        <v>103.75701796419935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1.1368683772161603E-13</v>
      </c>
      <c r="BZ102" s="14">
        <f>BY102*VLOOKUP('Données projet'!$B$12,Paramètres!$A$1:$I$89,3,0)*VLOOKUP('Données projet'!$B$12,Paramètres!$A$1:$I$89,5,0)</f>
        <v>6.7984728957526396E-14</v>
      </c>
      <c r="CA102" s="14">
        <f t="shared" si="93"/>
        <v>1.0682447123141398E-12</v>
      </c>
      <c r="CB102" s="22">
        <f t="shared" si="64"/>
        <v>1.978932943548152E-12</v>
      </c>
      <c r="CC102" s="62">
        <f t="shared" si="65"/>
        <v>293.3333333333353</v>
      </c>
      <c r="CD102" s="62">
        <f ca="1">AVERAGE(OFFSET($CC$3,0,0,'Données projet'!$E$12+1,1))-AVERAGE(OFFSET($H$3,0,0,'Données projet'!$E$12+1,1))</f>
        <v>222.32495275055498</v>
      </c>
      <c r="CE102" s="62">
        <f t="shared" si="94"/>
        <v>156.39259018918381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0.13647693357059548</v>
      </c>
      <c r="CM102" s="23">
        <f>EXP(-LN(2)/2)*CM101+(1-EXP(-LN(2)/2))/(LN(2)/2)*CG102*CJ102*VLOOKUP('Données projet'!$B$12,Paramètres!$A$1:$I$89,3,0)*0.475*44/12</f>
        <v>4.3761562919547675E-10</v>
      </c>
      <c r="CN102" s="24">
        <f t="shared" si="66"/>
        <v>0.13647693400821112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81.119999999999962</v>
      </c>
      <c r="D103" s="12">
        <f t="shared" si="86"/>
        <v>22.410807975569163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799.18518437281443</v>
      </c>
      <c r="H103" s="70">
        <f t="shared" si="56"/>
        <v>436.98282389078292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-3.4106051316484809E-13</v>
      </c>
      <c r="O103" s="14">
        <f>N103*VLOOKUP('Données projet'!$B$9,Paramètres!$A$1:$I$89,3,0)*VLOOKUP('Données projet'!$B$9,Paramètres!$A$1:$I$89,5,0)</f>
        <v>-1.5961632016114892E-13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273.21086764807194</v>
      </c>
      <c r="T103" s="62">
        <f t="shared" si="88"/>
        <v>259.3474218586631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-1.1368683772161603E-13</v>
      </c>
      <c r="AJ103" s="14">
        <f>AI103*VLOOKUP('Données projet'!$B$10,Paramètres!$A$1:$I$89,3,0)*VLOOKUP('Données projet'!$B$10,Paramètres!$A$1:$I$89,5,0)</f>
        <v>-9.9316821433603781E-14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121.79484266530449</v>
      </c>
      <c r="AO103" s="62">
        <f t="shared" si="90"/>
        <v>129.14577359424788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0.40994565372969805</v>
      </c>
      <c r="AW103" s="23">
        <f>EXP(-LN(2)/2)*AW102+(1-EXP(-LN(2)/2))/(LN(2)/2)*AQ103*AT103*VLOOKUP('Données projet'!$B$10,Paramètres!$A$1:$I$89,3,0)*0.475*44/12</f>
        <v>1.0414161003869879E-10</v>
      </c>
      <c r="AX103" s="23">
        <f t="shared" si="60"/>
        <v>0.40994565383383963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216</v>
      </c>
      <c r="BB103" s="13">
        <f>VLOOKUP(A103,'Données projet'!$A$87:$I$107,9,0)</f>
        <v>3.6</v>
      </c>
      <c r="BC103" s="13">
        <f t="array" ref="BC103">INDEX(BB:BB,MIN(IF(ISNUMBER(BB103:BB299),ROW(BB103:BB299),"")))</f>
        <v>3.6</v>
      </c>
      <c r="BD103" s="13">
        <f>IF('Données projet'!$A$88&gt;35,BD102+BC103-BL102,IF(A103&lt;'Données projet'!$A$88,$BA$205^A103,IF(A103='Données projet'!$A$88,'Données projet'!$B$88,BD102+BC103-BL102)))</f>
        <v>215.99999999999983</v>
      </c>
      <c r="BE103" s="14">
        <f>BD103*VLOOKUP('Données projet'!$B$11,Paramètres!$A$1:$I$89,3,0)*VLOOKUP('Données projet'!$B$11,Paramètres!$A$1:$I$89,5,0)</f>
        <v>219.02399999999983</v>
      </c>
      <c r="BF103" s="14">
        <f t="shared" si="91"/>
        <v>53.902702081308306</v>
      </c>
      <c r="BG103" s="22">
        <f t="shared" si="61"/>
        <v>475.34733945827821</v>
      </c>
      <c r="BH103" s="62">
        <f t="shared" si="62"/>
        <v>768.68067279161153</v>
      </c>
      <c r="BI103" s="62">
        <f ca="1">AVERAGE(OFFSET($BH$3,0,0,'Données projet'!$E$11+1,1))-AVERAGE(OFFSET($H$3,0,0,'Données projet'!$E$11+1,1))</f>
        <v>201.65575435598231</v>
      </c>
      <c r="BJ103" s="62">
        <f t="shared" si="92"/>
        <v>103.75701796419935</v>
      </c>
      <c r="BK103" s="16">
        <f>IF(ISNA(VLOOKUP(A103,'Données projet'!$A$87:$I$107,3,0)),0,VLOOKUP(A103,'Données projet'!$A$87:$I$107,3,0))</f>
        <v>16</v>
      </c>
      <c r="BL103" s="16">
        <f>IF(ISNA(VLOOKUP(A103,'Données projet'!$A$87:$I$107,4,0)),0,VLOOKUP(A103,'Données projet'!$A$87:$I$107,4,0))</f>
        <v>13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1.1368683772161603E-13</v>
      </c>
      <c r="BZ103" s="14">
        <f>BY103*VLOOKUP('Données projet'!$B$12,Paramètres!$A$1:$I$89,3,0)*VLOOKUP('Données projet'!$B$12,Paramètres!$A$1:$I$89,5,0)</f>
        <v>6.7984728957526396E-14</v>
      </c>
      <c r="CA103" s="14">
        <f t="shared" si="93"/>
        <v>1.0682447123141398E-12</v>
      </c>
      <c r="CB103" s="22">
        <f t="shared" si="64"/>
        <v>1.978932943548152E-12</v>
      </c>
      <c r="CC103" s="62">
        <f t="shared" si="65"/>
        <v>293.3333333333353</v>
      </c>
      <c r="CD103" s="62">
        <f ca="1">AVERAGE(OFFSET($CC$3,0,0,'Données projet'!$E$12+1,1))-AVERAGE(OFFSET($H$3,0,0,'Données projet'!$E$12+1,1))</f>
        <v>222.32495275055498</v>
      </c>
      <c r="CE103" s="62">
        <f t="shared" si="94"/>
        <v>156.39259018918381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0.13274496464509752</v>
      </c>
      <c r="CM103" s="23">
        <f>EXP(-LN(2)/2)*CM102+(1-EXP(-LN(2)/2))/(LN(2)/2)*CG103*CJ103*VLOOKUP('Données projet'!$B$12,Paramètres!$A$1:$I$89,3,0)*0.475*44/12</f>
        <v>3.0944097895733929E-10</v>
      </c>
      <c r="CN103" s="24">
        <f t="shared" si="66"/>
        <v>0.1327449649545385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81.931199999999961</v>
      </c>
      <c r="D104" s="12">
        <f t="shared" si="86"/>
        <v>22.608715052719756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806.97478286309968</v>
      </c>
      <c r="H104" s="70">
        <f t="shared" si="56"/>
        <v>438.74035205015355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-3.4106051316484809E-13</v>
      </c>
      <c r="O104" s="14">
        <f>N104*VLOOKUP('Données projet'!$B$9,Paramètres!$A$1:$I$89,3,0)*VLOOKUP('Données projet'!$B$9,Paramètres!$A$1:$I$89,5,0)</f>
        <v>-1.5961632016114892E-13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273.21086764807194</v>
      </c>
      <c r="T104" s="62">
        <f t="shared" si="88"/>
        <v>259.3474218586631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-1.1368683772161603E-13</v>
      </c>
      <c r="AJ104" s="14">
        <f>AI104*VLOOKUP('Données projet'!$B$10,Paramètres!$A$1:$I$89,3,0)*VLOOKUP('Données projet'!$B$10,Paramètres!$A$1:$I$89,5,0)</f>
        <v>-9.9316821433603781E-14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121.79484266530449</v>
      </c>
      <c r="AO104" s="62">
        <f t="shared" si="90"/>
        <v>129.14577359424788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0.39873566827035445</v>
      </c>
      <c r="AW104" s="23">
        <f>EXP(-LN(2)/2)*AW103+(1-EXP(-LN(2)/2))/(LN(2)/2)*AQ104*AT104*VLOOKUP('Données projet'!$B$10,Paramètres!$A$1:$I$89,3,0)*0.475*44/12</f>
        <v>7.3639238662048947E-11</v>
      </c>
      <c r="AX104" s="23">
        <f t="shared" si="60"/>
        <v>0.39873566834399371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3.4</v>
      </c>
      <c r="BD104" s="13">
        <f>IF('Données projet'!$A$88&gt;35,BD103+BC104-BL103,IF(A104&lt;'Données projet'!$A$88,$BA$205^A104,IF(A104='Données projet'!$A$88,'Données projet'!$B$88,BD103+BC104-BL103)))</f>
        <v>206.39999999999984</v>
      </c>
      <c r="BE104" s="14">
        <f>BD104*VLOOKUP('Données projet'!$B$11,Paramètres!$A$1:$I$89,3,0)*VLOOKUP('Données projet'!$B$11,Paramètres!$A$1:$I$89,5,0)</f>
        <v>209.28959999999987</v>
      </c>
      <c r="BF104" s="14">
        <f t="shared" si="91"/>
        <v>51.780314822292169</v>
      </c>
      <c r="BG104" s="22">
        <f t="shared" si="61"/>
        <v>454.69676831549197</v>
      </c>
      <c r="BH104" s="62">
        <f t="shared" si="62"/>
        <v>748.03010164882528</v>
      </c>
      <c r="BI104" s="62">
        <f ca="1">AVERAGE(OFFSET($BH$3,0,0,'Données projet'!$E$11+1,1))-AVERAGE(OFFSET($H$3,0,0,'Données projet'!$E$11+1,1))</f>
        <v>201.65575435598231</v>
      </c>
      <c r="BJ104" s="62">
        <f t="shared" si="92"/>
        <v>103.75701796419935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1.1368683772161603E-13</v>
      </c>
      <c r="BZ104" s="14">
        <f>BY104*VLOOKUP('Données projet'!$B$12,Paramètres!$A$1:$I$89,3,0)*VLOOKUP('Données projet'!$B$12,Paramètres!$A$1:$I$89,5,0)</f>
        <v>6.7984728957526396E-14</v>
      </c>
      <c r="CA104" s="14">
        <f t="shared" si="93"/>
        <v>1.0682447123141398E-12</v>
      </c>
      <c r="CB104" s="22">
        <f t="shared" si="64"/>
        <v>1.978932943548152E-12</v>
      </c>
      <c r="CC104" s="62">
        <f t="shared" si="65"/>
        <v>293.3333333333353</v>
      </c>
      <c r="CD104" s="62">
        <f ca="1">AVERAGE(OFFSET($CC$3,0,0,'Données projet'!$E$12+1,1))-AVERAGE(OFFSET($H$3,0,0,'Données projet'!$E$12+1,1))</f>
        <v>222.32495275055498</v>
      </c>
      <c r="CE104" s="62">
        <f t="shared" si="94"/>
        <v>156.39259018918381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0.12911504660612302</v>
      </c>
      <c r="CM104" s="23">
        <f>EXP(-LN(2)/2)*CM103+(1-EXP(-LN(2)/2))/(LN(2)/2)*CG104*CJ104*VLOOKUP('Données projet'!$B$12,Paramètres!$A$1:$I$89,3,0)*0.475*44/12</f>
        <v>2.1880781459773838E-10</v>
      </c>
      <c r="CN104" s="24">
        <f t="shared" si="66"/>
        <v>0.12911504682493083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82.742399999999961</v>
      </c>
      <c r="D105" s="12">
        <f t="shared" si="86"/>
        <v>22.806394174303183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814.76262169637505</v>
      </c>
      <c r="H105" s="70">
        <f t="shared" si="56"/>
        <v>440.49748318691132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-3.4106051316484809E-13</v>
      </c>
      <c r="O105" s="14">
        <f>N105*VLOOKUP('Données projet'!$B$9,Paramètres!$A$1:$I$89,3,0)*VLOOKUP('Données projet'!$B$9,Paramètres!$A$1:$I$89,5,0)</f>
        <v>-1.5961632016114892E-13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273.21086764807194</v>
      </c>
      <c r="T105" s="62">
        <f t="shared" si="88"/>
        <v>259.3474218586631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-1.1368683772161603E-13</v>
      </c>
      <c r="AJ105" s="14">
        <f>AI105*VLOOKUP('Données projet'!$B$10,Paramètres!$A$1:$I$89,3,0)*VLOOKUP('Données projet'!$B$10,Paramètres!$A$1:$I$89,5,0)</f>
        <v>-9.9316821433603781E-14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121.79484266530449</v>
      </c>
      <c r="AO105" s="62">
        <f t="shared" si="90"/>
        <v>129.14577359424788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0.38783222045290411</v>
      </c>
      <c r="AW105" s="23">
        <f>EXP(-LN(2)/2)*AW104+(1-EXP(-LN(2)/2))/(LN(2)/2)*AQ105*AT105*VLOOKUP('Données projet'!$B$10,Paramètres!$A$1:$I$89,3,0)*0.475*44/12</f>
        <v>5.2070805019349396E-11</v>
      </c>
      <c r="AX105" s="23">
        <f t="shared" si="60"/>
        <v>0.3878322205049749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3.4</v>
      </c>
      <c r="BD105" s="13">
        <f>IF('Données projet'!$A$88&gt;35,BD104+BC105-BL104,IF(A105&lt;'Données projet'!$A$88,$BA$205^A105,IF(A105='Données projet'!$A$88,'Données projet'!$B$88,BD104+BC105-BL104)))</f>
        <v>209.79999999999984</v>
      </c>
      <c r="BE105" s="14">
        <f>BD105*VLOOKUP('Données projet'!$B$11,Paramètres!$A$1:$I$89,3,0)*VLOOKUP('Données projet'!$B$11,Paramètres!$A$1:$I$89,5,0)</f>
        <v>212.73719999999983</v>
      </c>
      <c r="BF105" s="14">
        <f t="shared" si="91"/>
        <v>52.533281199481387</v>
      </c>
      <c r="BG105" s="22">
        <f t="shared" si="61"/>
        <v>462.01275475576307</v>
      </c>
      <c r="BH105" s="62">
        <f t="shared" si="62"/>
        <v>755.34608808909638</v>
      </c>
      <c r="BI105" s="62">
        <f ca="1">AVERAGE(OFFSET($BH$3,0,0,'Données projet'!$E$11+1,1))-AVERAGE(OFFSET($H$3,0,0,'Données projet'!$E$11+1,1))</f>
        <v>201.65575435598231</v>
      </c>
      <c r="BJ105" s="62">
        <f t="shared" si="92"/>
        <v>103.75701796419935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1.1368683772161603E-13</v>
      </c>
      <c r="BZ105" s="14">
        <f>BY105*VLOOKUP('Données projet'!$B$12,Paramètres!$A$1:$I$89,3,0)*VLOOKUP('Données projet'!$B$12,Paramètres!$A$1:$I$89,5,0)</f>
        <v>6.7984728957526396E-14</v>
      </c>
      <c r="CA105" s="14">
        <f t="shared" si="93"/>
        <v>1.0682447123141398E-12</v>
      </c>
      <c r="CB105" s="22">
        <f t="shared" si="64"/>
        <v>1.978932943548152E-12</v>
      </c>
      <c r="CC105" s="62">
        <f t="shared" si="65"/>
        <v>293.3333333333353</v>
      </c>
      <c r="CD105" s="62">
        <f ca="1">AVERAGE(OFFSET($CC$3,0,0,'Données projet'!$E$12+1,1))-AVERAGE(OFFSET($H$3,0,0,'Données projet'!$E$12+1,1))</f>
        <v>222.32495275055498</v>
      </c>
      <c r="CE105" s="62">
        <f t="shared" si="94"/>
        <v>156.39259018918381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0.12558438886681339</v>
      </c>
      <c r="CM105" s="23">
        <f>EXP(-LN(2)/2)*CM104+(1-EXP(-LN(2)/2))/(LN(2)/2)*CG105*CJ105*VLOOKUP('Données projet'!$B$12,Paramètres!$A$1:$I$89,3,0)*0.475*44/12</f>
        <v>1.5472048947866965E-10</v>
      </c>
      <c r="CN105" s="24">
        <f t="shared" si="66"/>
        <v>0.12558438902153388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83.55359999999996</v>
      </c>
      <c r="D106" s="12">
        <f t="shared" si="86"/>
        <v>23.00384783397265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822.54872012189389</v>
      </c>
      <c r="H106" s="70">
        <f t="shared" si="56"/>
        <v>442.25422164416898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-3.4106051316484809E-13</v>
      </c>
      <c r="O106" s="14">
        <f>N106*VLOOKUP('Données projet'!$B$9,Paramètres!$A$1:$I$89,3,0)*VLOOKUP('Données projet'!$B$9,Paramètres!$A$1:$I$89,5,0)</f>
        <v>-1.5961632016114892E-13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273.21086764807194</v>
      </c>
      <c r="T106" s="62">
        <f t="shared" si="88"/>
        <v>259.3474218586631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-1.1368683772161603E-13</v>
      </c>
      <c r="AJ106" s="14">
        <f>AI106*VLOOKUP('Données projet'!$B$10,Paramètres!$A$1:$I$89,3,0)*VLOOKUP('Données projet'!$B$10,Paramètres!$A$1:$I$89,5,0)</f>
        <v>-9.9316821433603781E-14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121.79484266530449</v>
      </c>
      <c r="AO106" s="62">
        <f t="shared" si="90"/>
        <v>129.14577359424788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0.37722692798940938</v>
      </c>
      <c r="AW106" s="23">
        <f>EXP(-LN(2)/2)*AW105+(1-EXP(-LN(2)/2))/(LN(2)/2)*AQ106*AT106*VLOOKUP('Données projet'!$B$10,Paramètres!$A$1:$I$89,3,0)*0.475*44/12</f>
        <v>3.6819619331024474E-11</v>
      </c>
      <c r="AX106" s="23">
        <f t="shared" si="60"/>
        <v>0.37722692802622898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3.4</v>
      </c>
      <c r="BD106" s="13">
        <f>IF('Données projet'!$A$88&gt;35,BD105+BC106-BL105,IF(A106&lt;'Données projet'!$A$88,$BA$205^A106,IF(A106='Données projet'!$A$88,'Données projet'!$B$88,BD105+BC106-BL105)))</f>
        <v>213.19999999999985</v>
      </c>
      <c r="BE106" s="14">
        <f>BD106*VLOOKUP('Données projet'!$B$11,Paramètres!$A$1:$I$89,3,0)*VLOOKUP('Données projet'!$B$11,Paramètres!$A$1:$I$89,5,0)</f>
        <v>216.18479999999985</v>
      </c>
      <c r="BF106" s="14">
        <f t="shared" si="91"/>
        <v>53.284828478170326</v>
      </c>
      <c r="BG106" s="22">
        <f t="shared" si="61"/>
        <v>469.32626959947976</v>
      </c>
      <c r="BH106" s="62">
        <f t="shared" si="62"/>
        <v>762.65960293281307</v>
      </c>
      <c r="BI106" s="62">
        <f ca="1">AVERAGE(OFFSET($BH$3,0,0,'Données projet'!$E$11+1,1))-AVERAGE(OFFSET($H$3,0,0,'Données projet'!$E$11+1,1))</f>
        <v>201.65575435598231</v>
      </c>
      <c r="BJ106" s="62">
        <f t="shared" si="92"/>
        <v>103.75701796419935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1.1368683772161603E-13</v>
      </c>
      <c r="BZ106" s="14">
        <f>BY106*VLOOKUP('Données projet'!$B$12,Paramètres!$A$1:$I$89,3,0)*VLOOKUP('Données projet'!$B$12,Paramètres!$A$1:$I$89,5,0)</f>
        <v>6.7984728957526396E-14</v>
      </c>
      <c r="CA106" s="14">
        <f t="shared" si="93"/>
        <v>1.0682447123141398E-12</v>
      </c>
      <c r="CB106" s="22">
        <f t="shared" si="64"/>
        <v>1.978932943548152E-12</v>
      </c>
      <c r="CC106" s="62">
        <f t="shared" si="65"/>
        <v>293.3333333333353</v>
      </c>
      <c r="CD106" s="62">
        <f ca="1">AVERAGE(OFFSET($CC$3,0,0,'Données projet'!$E$12+1,1))-AVERAGE(OFFSET($H$3,0,0,'Données projet'!$E$12+1,1))</f>
        <v>222.32495275055498</v>
      </c>
      <c r="CE106" s="62">
        <f t="shared" si="94"/>
        <v>156.39259018918381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0.1221502771490544</v>
      </c>
      <c r="CM106" s="23">
        <f>EXP(-LN(2)/2)*CM105+(1-EXP(-LN(2)/2))/(LN(2)/2)*CG106*CJ106*VLOOKUP('Données projet'!$B$12,Paramètres!$A$1:$I$89,3,0)*0.475*44/12</f>
        <v>1.0940390729886919E-10</v>
      </c>
      <c r="CN106" s="24">
        <f t="shared" si="66"/>
        <v>0.1221502772584583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84.36479999999996</v>
      </c>
      <c r="D107" s="12">
        <f t="shared" si="86"/>
        <v>23.201078474169361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830.33309699358779</v>
      </c>
      <c r="H107" s="70">
        <f t="shared" si="56"/>
        <v>444.01057167584491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-3.4106051316484809E-13</v>
      </c>
      <c r="O107" s="14">
        <f>N107*VLOOKUP('Données projet'!$B$9,Paramètres!$A$1:$I$89,3,0)*VLOOKUP('Données projet'!$B$9,Paramètres!$A$1:$I$89,5,0)</f>
        <v>-1.5961632016114892E-13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273.21086764807194</v>
      </c>
      <c r="T107" s="62">
        <f t="shared" si="88"/>
        <v>259.3474218586631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-1.1368683772161603E-13</v>
      </c>
      <c r="AJ107" s="14">
        <f>AI107*VLOOKUP('Données projet'!$B$10,Paramètres!$A$1:$I$89,3,0)*VLOOKUP('Données projet'!$B$10,Paramètres!$A$1:$I$89,5,0)</f>
        <v>-9.9316821433603781E-14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121.79484266530449</v>
      </c>
      <c r="AO107" s="62">
        <f t="shared" si="90"/>
        <v>129.14577359424788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0.36691163780603697</v>
      </c>
      <c r="AW107" s="23">
        <f>EXP(-LN(2)/2)*AW106+(1-EXP(-LN(2)/2))/(LN(2)/2)*AQ107*AT107*VLOOKUP('Données projet'!$B$10,Paramètres!$A$1:$I$89,3,0)*0.475*44/12</f>
        <v>2.6035402509674698E-11</v>
      </c>
      <c r="AX107" s="23">
        <f t="shared" si="60"/>
        <v>0.36691163783207237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3.4</v>
      </c>
      <c r="BD107" s="13">
        <f>IF('Données projet'!$A$88&gt;35,BD106+BC107-BL106,IF(A107&lt;'Données projet'!$A$88,$BA$205^A107,IF(A107='Données projet'!$A$88,'Données projet'!$B$88,BD106+BC107-BL106)))</f>
        <v>216.59999999999985</v>
      </c>
      <c r="BE107" s="14">
        <f>BD107*VLOOKUP('Données projet'!$B$11,Paramètres!$A$1:$I$89,3,0)*VLOOKUP('Données projet'!$B$11,Paramètres!$A$1:$I$89,5,0)</f>
        <v>219.63239999999988</v>
      </c>
      <c r="BF107" s="14">
        <f t="shared" si="91"/>
        <v>54.034981902357458</v>
      </c>
      <c r="BG107" s="22">
        <f t="shared" si="61"/>
        <v>476.63735681327233</v>
      </c>
      <c r="BH107" s="62">
        <f t="shared" si="62"/>
        <v>769.97069014660565</v>
      </c>
      <c r="BI107" s="62">
        <f ca="1">AVERAGE(OFFSET($BH$3,0,0,'Données projet'!$E$11+1,1))-AVERAGE(OFFSET($H$3,0,0,'Données projet'!$E$11+1,1))</f>
        <v>201.65575435598231</v>
      </c>
      <c r="BJ107" s="62">
        <f t="shared" si="92"/>
        <v>103.75701796419935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1.1368683772161603E-13</v>
      </c>
      <c r="BZ107" s="14">
        <f>BY107*VLOOKUP('Données projet'!$B$12,Paramètres!$A$1:$I$89,3,0)*VLOOKUP('Données projet'!$B$12,Paramètres!$A$1:$I$89,5,0)</f>
        <v>6.7984728957526396E-14</v>
      </c>
      <c r="CA107" s="14">
        <f t="shared" si="93"/>
        <v>1.0682447123141398E-12</v>
      </c>
      <c r="CB107" s="22">
        <f t="shared" si="64"/>
        <v>1.978932943548152E-12</v>
      </c>
      <c r="CC107" s="62">
        <f t="shared" si="65"/>
        <v>293.3333333333353</v>
      </c>
      <c r="CD107" s="62">
        <f ca="1">AVERAGE(OFFSET($CC$3,0,0,'Données projet'!$E$12+1,1))-AVERAGE(OFFSET($H$3,0,0,'Données projet'!$E$12+1,1))</f>
        <v>222.32495275055498</v>
      </c>
      <c r="CE107" s="62">
        <f t="shared" si="94"/>
        <v>156.39259018918381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0.1188100713968096</v>
      </c>
      <c r="CM107" s="23">
        <f>EXP(-LN(2)/2)*CM106+(1-EXP(-LN(2)/2))/(LN(2)/2)*CG107*CJ107*VLOOKUP('Données projet'!$B$12,Paramètres!$A$1:$I$89,3,0)*0.475*44/12</f>
        <v>7.7360244739334823E-11</v>
      </c>
      <c r="CN107" s="24">
        <f t="shared" si="66"/>
        <v>0.11881007147416985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85.175999999999959</v>
      </c>
      <c r="D108" s="12">
        <f t="shared" si="86"/>
        <v>23.398088487656434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838.11577078190919</v>
      </c>
      <c r="H108" s="70">
        <f t="shared" si="56"/>
        <v>445.76653744933492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-3.4106051316484809E-13</v>
      </c>
      <c r="O108" s="14">
        <f>N108*VLOOKUP('Données projet'!$B$9,Paramètres!$A$1:$I$89,3,0)*VLOOKUP('Données projet'!$B$9,Paramètres!$A$1:$I$89,5,0)</f>
        <v>-1.5961632016114892E-13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273.21086764807194</v>
      </c>
      <c r="T108" s="62">
        <f t="shared" si="88"/>
        <v>259.3474218586631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-1.1368683772161603E-13</v>
      </c>
      <c r="AJ108" s="14">
        <f>AI108*VLOOKUP('Données projet'!$B$10,Paramètres!$A$1:$I$89,3,0)*VLOOKUP('Données projet'!$B$10,Paramètres!$A$1:$I$89,5,0)</f>
        <v>-9.9316821433603781E-14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121.79484266530449</v>
      </c>
      <c r="AO108" s="62">
        <f t="shared" si="90"/>
        <v>129.14577359424788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0.35687841977518647</v>
      </c>
      <c r="AW108" s="23">
        <f>EXP(-LN(2)/2)*AW107+(1-EXP(-LN(2)/2))/(LN(2)/2)*AQ108*AT108*VLOOKUP('Données projet'!$B$10,Paramètres!$A$1:$I$89,3,0)*0.475*44/12</f>
        <v>1.8409809665512237E-11</v>
      </c>
      <c r="AX108" s="23">
        <f t="shared" si="60"/>
        <v>0.3568784197935963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>
        <f>VLOOKUP(A108,'Données projet'!$A$87:$I$107,2,0)</f>
        <v>220</v>
      </c>
      <c r="BB108" s="13">
        <f>VLOOKUP(A108,'Données projet'!$A$87:$I$107,9,0)</f>
        <v>3.4</v>
      </c>
      <c r="BC108" s="13">
        <f t="array" ref="BC108">INDEX(BB:BB,MIN(IF(ISNUMBER(BB108:BB304),ROW(BB108:BB304),"")))</f>
        <v>3.4</v>
      </c>
      <c r="BD108" s="13">
        <f>IF('Données projet'!$A$88&gt;35,BD107+BC108-BL107,IF(A108&lt;'Données projet'!$A$88,$BA$205^A108,IF(A108='Données projet'!$A$88,'Données projet'!$B$88,BD107+BC108-BL107)))</f>
        <v>219.99999999999986</v>
      </c>
      <c r="BE108" s="14">
        <f>BD108*VLOOKUP('Données projet'!$B$11,Paramètres!$A$1:$I$89,3,0)*VLOOKUP('Données projet'!$B$11,Paramètres!$A$1:$I$89,5,0)</f>
        <v>223.07999999999987</v>
      </c>
      <c r="BF108" s="14">
        <f t="shared" si="91"/>
        <v>54.783765878062617</v>
      </c>
      <c r="BG108" s="22">
        <f t="shared" si="61"/>
        <v>483.94605890429216</v>
      </c>
      <c r="BH108" s="62">
        <f t="shared" si="62"/>
        <v>777.27939223762542</v>
      </c>
      <c r="BI108" s="62">
        <f ca="1">AVERAGE(OFFSET($BH$3,0,0,'Données projet'!$E$11+1,1))-AVERAGE(OFFSET($H$3,0,0,'Données projet'!$E$11+1,1))</f>
        <v>201.65575435598231</v>
      </c>
      <c r="BJ108" s="62">
        <f t="shared" si="92"/>
        <v>103.75701796419935</v>
      </c>
      <c r="BK108" s="16">
        <f>IF(ISNA(VLOOKUP(A108,'Données projet'!$A$87:$I$107,3,0)),0,VLOOKUP(A108,'Données projet'!$A$87:$I$107,3,0))</f>
        <v>17</v>
      </c>
      <c r="BL108" s="16">
        <f>IF(ISNA(VLOOKUP(A108,'Données projet'!$A$87:$I$107,4,0)),0,VLOOKUP(A108,'Données projet'!$A$87:$I$107,4,0))</f>
        <v>13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1.1368683772161603E-13</v>
      </c>
      <c r="BZ108" s="14">
        <f>BY108*VLOOKUP('Données projet'!$B$12,Paramètres!$A$1:$I$89,3,0)*VLOOKUP('Données projet'!$B$12,Paramètres!$A$1:$I$89,5,0)</f>
        <v>6.7984728957526396E-14</v>
      </c>
      <c r="CA108" s="14">
        <f t="shared" si="93"/>
        <v>1.0682447123141398E-12</v>
      </c>
      <c r="CB108" s="22">
        <f t="shared" si="64"/>
        <v>1.978932943548152E-12</v>
      </c>
      <c r="CC108" s="62">
        <f t="shared" si="65"/>
        <v>293.3333333333353</v>
      </c>
      <c r="CD108" s="62">
        <f ca="1">AVERAGE(OFFSET($CC$3,0,0,'Données projet'!$E$12+1,1))-AVERAGE(OFFSET($H$3,0,0,'Données projet'!$E$12+1,1))</f>
        <v>222.32495275055498</v>
      </c>
      <c r="CE108" s="62">
        <f t="shared" si="94"/>
        <v>156.39259018918381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0.11556120374651373</v>
      </c>
      <c r="CM108" s="23">
        <f>EXP(-LN(2)/2)*CM107+(1-EXP(-LN(2)/2))/(LN(2)/2)*CG108*CJ108*VLOOKUP('Données projet'!$B$12,Paramètres!$A$1:$I$89,3,0)*0.475*44/12</f>
        <v>5.4701953649434594E-11</v>
      </c>
      <c r="CN108" s="24">
        <f t="shared" si="66"/>
        <v>0.11556120380121568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85.987199999999959</v>
      </c>
      <c r="D109" s="12">
        <f t="shared" si="86"/>
        <v>23.594880218992504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845.89675958520502</v>
      </c>
      <c r="H109" s="70">
        <f t="shared" si="56"/>
        <v>447.52212304807853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-3.4106051316484809E-13</v>
      </c>
      <c r="O109" s="14">
        <f>N109*VLOOKUP('Données projet'!$B$9,Paramètres!$A$1:$I$89,3,0)*VLOOKUP('Données projet'!$B$9,Paramètres!$A$1:$I$89,5,0)</f>
        <v>-1.5961632016114892E-13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273.21086764807194</v>
      </c>
      <c r="T109" s="62">
        <f t="shared" si="88"/>
        <v>259.3474218586631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-1.1368683772161603E-13</v>
      </c>
      <c r="AJ109" s="14">
        <f>AI109*VLOOKUP('Données projet'!$B$10,Paramètres!$A$1:$I$89,3,0)*VLOOKUP('Données projet'!$B$10,Paramètres!$A$1:$I$89,5,0)</f>
        <v>-9.9316821433603781E-14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121.79484266530449</v>
      </c>
      <c r="AO109" s="62">
        <f t="shared" si="90"/>
        <v>129.14577359424788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0.34711956061901356</v>
      </c>
      <c r="AW109" s="23">
        <f>EXP(-LN(2)/2)*AW108+(1-EXP(-LN(2)/2))/(LN(2)/2)*AQ109*AT109*VLOOKUP('Données projet'!$B$10,Paramètres!$A$1:$I$89,3,0)*0.475*44/12</f>
        <v>1.3017701254837349E-11</v>
      </c>
      <c r="AX109" s="23">
        <f t="shared" si="60"/>
        <v>0.34711956063203125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3</v>
      </c>
      <c r="BD109" s="13">
        <f>IF('Données projet'!$A$88&gt;35,BD108+BC109-BL108,IF(A109&lt;'Données projet'!$A$88,$BA$205^A109,IF(A109='Données projet'!$A$88,'Données projet'!$B$88,BD108+BC109-BL108)))</f>
        <v>209.99999999999986</v>
      </c>
      <c r="BE109" s="14">
        <f>BD109*VLOOKUP('Données projet'!$B$11,Paramètres!$A$1:$I$89,3,0)*VLOOKUP('Données projet'!$B$11,Paramètres!$A$1:$I$89,5,0)</f>
        <v>212.93999999999988</v>
      </c>
      <c r="BF109" s="14">
        <f t="shared" si="91"/>
        <v>52.577528895212815</v>
      </c>
      <c r="BG109" s="22">
        <f t="shared" si="61"/>
        <v>462.44302949249544</v>
      </c>
      <c r="BH109" s="62">
        <f t="shared" si="62"/>
        <v>755.77636282582876</v>
      </c>
      <c r="BI109" s="62">
        <f ca="1">AVERAGE(OFFSET($BH$3,0,0,'Données projet'!$E$11+1,1))-AVERAGE(OFFSET($H$3,0,0,'Données projet'!$E$11+1,1))</f>
        <v>201.65575435598231</v>
      </c>
      <c r="BJ109" s="62">
        <f t="shared" si="92"/>
        <v>103.75701796419935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1.1368683772161603E-13</v>
      </c>
      <c r="BZ109" s="14">
        <f>BY109*VLOOKUP('Données projet'!$B$12,Paramètres!$A$1:$I$89,3,0)*VLOOKUP('Données projet'!$B$12,Paramètres!$A$1:$I$89,5,0)</f>
        <v>6.7984728957526396E-14</v>
      </c>
      <c r="CA109" s="14">
        <f t="shared" si="93"/>
        <v>1.0682447123141398E-12</v>
      </c>
      <c r="CB109" s="22">
        <f t="shared" si="64"/>
        <v>1.978932943548152E-12</v>
      </c>
      <c r="CC109" s="62">
        <f t="shared" si="65"/>
        <v>293.3333333333353</v>
      </c>
      <c r="CD109" s="62">
        <f ca="1">AVERAGE(OFFSET($CC$3,0,0,'Données projet'!$E$12+1,1))-AVERAGE(OFFSET($H$3,0,0,'Données projet'!$E$12+1,1))</f>
        <v>222.32495275055498</v>
      </c>
      <c r="CE109" s="62">
        <f t="shared" si="94"/>
        <v>156.39259018918381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0.11240117655296572</v>
      </c>
      <c r="CM109" s="23">
        <f>EXP(-LN(2)/2)*CM108+(1-EXP(-LN(2)/2))/(LN(2)/2)*CG109*CJ109*VLOOKUP('Données projet'!$B$12,Paramètres!$A$1:$I$89,3,0)*0.475*44/12</f>
        <v>3.8680122369667412E-11</v>
      </c>
      <c r="CN109" s="24">
        <f t="shared" si="66"/>
        <v>0.11240117659164585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86.798399999999958</v>
      </c>
      <c r="D110" s="12">
        <f t="shared" si="86"/>
        <v>23.79145596594833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853.67608114065354</v>
      </c>
      <c r="H110" s="70">
        <f t="shared" si="56"/>
        <v>449.27733247402659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-3.4106051316484809E-13</v>
      </c>
      <c r="O110" s="14">
        <f>N110*VLOOKUP('Données projet'!$B$9,Paramètres!$A$1:$I$89,3,0)*VLOOKUP('Données projet'!$B$9,Paramètres!$A$1:$I$89,5,0)</f>
        <v>-1.5961632016114892E-13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273.21086764807194</v>
      </c>
      <c r="T110" s="62">
        <f t="shared" si="88"/>
        <v>259.3474218586631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-1.1368683772161603E-13</v>
      </c>
      <c r="AJ110" s="14">
        <f>AI110*VLOOKUP('Données projet'!$B$10,Paramètres!$A$1:$I$89,3,0)*VLOOKUP('Données projet'!$B$10,Paramètres!$A$1:$I$89,5,0)</f>
        <v>-9.9316821433603781E-14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121.79484266530449</v>
      </c>
      <c r="AO110" s="62">
        <f t="shared" si="90"/>
        <v>129.14577359424788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0.33762755797966226</v>
      </c>
      <c r="AW110" s="23">
        <f>EXP(-LN(2)/2)*AW109+(1-EXP(-LN(2)/2))/(LN(2)/2)*AQ110*AT110*VLOOKUP('Données projet'!$B$10,Paramètres!$A$1:$I$89,3,0)*0.475*44/12</f>
        <v>9.2049048327561184E-12</v>
      </c>
      <c r="AX110" s="23">
        <f t="shared" si="60"/>
        <v>0.33762755798886718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3</v>
      </c>
      <c r="BD110" s="13">
        <f>IF('Données projet'!$A$88&gt;35,BD109+BC110-BL109,IF(A110&lt;'Données projet'!$A$88,$BA$205^A110,IF(A110='Données projet'!$A$88,'Données projet'!$B$88,BD109+BC110-BL109)))</f>
        <v>212.99999999999986</v>
      </c>
      <c r="BE110" s="14">
        <f>BD110*VLOOKUP('Données projet'!$B$11,Paramètres!$A$1:$I$89,3,0)*VLOOKUP('Données projet'!$B$11,Paramètres!$A$1:$I$89,5,0)</f>
        <v>215.98199999999986</v>
      </c>
      <c r="BF110" s="14">
        <f t="shared" si="91"/>
        <v>53.240658641504993</v>
      </c>
      <c r="BG110" s="22">
        <f t="shared" si="61"/>
        <v>468.89613046728755</v>
      </c>
      <c r="BH110" s="62">
        <f t="shared" si="62"/>
        <v>762.22946380062081</v>
      </c>
      <c r="BI110" s="62">
        <f ca="1">AVERAGE(OFFSET($BH$3,0,0,'Données projet'!$E$11+1,1))-AVERAGE(OFFSET($H$3,0,0,'Données projet'!$E$11+1,1))</f>
        <v>201.65575435598231</v>
      </c>
      <c r="BJ110" s="62">
        <f t="shared" si="92"/>
        <v>103.75701796419935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1.1368683772161603E-13</v>
      </c>
      <c r="BZ110" s="14">
        <f>BY110*VLOOKUP('Données projet'!$B$12,Paramètres!$A$1:$I$89,3,0)*VLOOKUP('Données projet'!$B$12,Paramètres!$A$1:$I$89,5,0)</f>
        <v>6.7984728957526396E-14</v>
      </c>
      <c r="CA110" s="14">
        <f t="shared" si="93"/>
        <v>1.0682447123141398E-12</v>
      </c>
      <c r="CB110" s="22">
        <f t="shared" si="64"/>
        <v>1.978932943548152E-12</v>
      </c>
      <c r="CC110" s="62">
        <f t="shared" si="65"/>
        <v>293.3333333333353</v>
      </c>
      <c r="CD110" s="62">
        <f ca="1">AVERAGE(OFFSET($CC$3,0,0,'Données projet'!$E$12+1,1))-AVERAGE(OFFSET($H$3,0,0,'Données projet'!$E$12+1,1))</f>
        <v>222.32495275055498</v>
      </c>
      <c r="CE110" s="62">
        <f t="shared" si="94"/>
        <v>156.39259018918381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0.10932756046920389</v>
      </c>
      <c r="CM110" s="23">
        <f>EXP(-LN(2)/2)*CM109+(1-EXP(-LN(2)/2))/(LN(2)/2)*CG110*CJ110*VLOOKUP('Données projet'!$B$12,Paramètres!$A$1:$I$89,3,0)*0.475*44/12</f>
        <v>2.7350976824717297E-11</v>
      </c>
      <c r="CN110" s="24">
        <f t="shared" si="66"/>
        <v>0.10932756049655487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87.609599999999958</v>
      </c>
      <c r="D111" s="12">
        <f t="shared" si="86"/>
        <v>23.987817980868776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861.45375283477608</v>
      </c>
      <c r="H111" s="70">
        <f t="shared" si="56"/>
        <v>451.03216965001303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-3.4106051316484809E-13</v>
      </c>
      <c r="O111" s="14">
        <f>N111*VLOOKUP('Données projet'!$B$9,Paramètres!$A$1:$I$89,3,0)*VLOOKUP('Données projet'!$B$9,Paramètres!$A$1:$I$89,5,0)</f>
        <v>-1.5961632016114892E-13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273.21086764807194</v>
      </c>
      <c r="T111" s="62">
        <f t="shared" si="88"/>
        <v>259.3474218586631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-1.1368683772161603E-13</v>
      </c>
      <c r="AJ111" s="14">
        <f>AI111*VLOOKUP('Données projet'!$B$10,Paramètres!$A$1:$I$89,3,0)*VLOOKUP('Données projet'!$B$10,Paramètres!$A$1:$I$89,5,0)</f>
        <v>-9.9316821433603781E-14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121.79484266530449</v>
      </c>
      <c r="AO111" s="62">
        <f t="shared" si="90"/>
        <v>129.14577359424788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0.32839511465164678</v>
      </c>
      <c r="AW111" s="23">
        <f>EXP(-LN(2)/2)*AW110+(1-EXP(-LN(2)/2))/(LN(2)/2)*AQ111*AT111*VLOOKUP('Données projet'!$B$10,Paramètres!$A$1:$I$89,3,0)*0.475*44/12</f>
        <v>6.5088506274186745E-12</v>
      </c>
      <c r="AX111" s="23">
        <f t="shared" si="60"/>
        <v>0.32839511465815563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3</v>
      </c>
      <c r="BD111" s="13">
        <f>IF('Données projet'!$A$88&gt;35,BD110+BC111-BL110,IF(A111&lt;'Données projet'!$A$88,$BA$205^A111,IF(A111='Données projet'!$A$88,'Données projet'!$B$88,BD110+BC111-BL110)))</f>
        <v>215.99999999999986</v>
      </c>
      <c r="BE111" s="14">
        <f>BD111*VLOOKUP('Données projet'!$B$11,Paramètres!$A$1:$I$89,3,0)*VLOOKUP('Données projet'!$B$11,Paramètres!$A$1:$I$89,5,0)</f>
        <v>219.02399999999989</v>
      </c>
      <c r="BF111" s="14">
        <f t="shared" si="91"/>
        <v>53.902702081308306</v>
      </c>
      <c r="BG111" s="22">
        <f t="shared" si="61"/>
        <v>475.34733945827838</v>
      </c>
      <c r="BH111" s="62">
        <f t="shared" si="62"/>
        <v>768.68067279161164</v>
      </c>
      <c r="BI111" s="62">
        <f ca="1">AVERAGE(OFFSET($BH$3,0,0,'Données projet'!$E$11+1,1))-AVERAGE(OFFSET($H$3,0,0,'Données projet'!$E$11+1,1))</f>
        <v>201.65575435598231</v>
      </c>
      <c r="BJ111" s="62">
        <f t="shared" si="92"/>
        <v>103.75701796419935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1.1368683772161603E-13</v>
      </c>
      <c r="BZ111" s="14">
        <f>BY111*VLOOKUP('Données projet'!$B$12,Paramètres!$A$1:$I$89,3,0)*VLOOKUP('Données projet'!$B$12,Paramètres!$A$1:$I$89,5,0)</f>
        <v>6.7984728957526396E-14</v>
      </c>
      <c r="CA111" s="14">
        <f t="shared" si="93"/>
        <v>1.0682447123141398E-12</v>
      </c>
      <c r="CB111" s="22">
        <f t="shared" si="64"/>
        <v>1.978932943548152E-12</v>
      </c>
      <c r="CC111" s="62">
        <f t="shared" si="65"/>
        <v>293.3333333333353</v>
      </c>
      <c r="CD111" s="62">
        <f ca="1">AVERAGE(OFFSET($CC$3,0,0,'Données projet'!$E$12+1,1))-AVERAGE(OFFSET($H$3,0,0,'Données projet'!$E$12+1,1))</f>
        <v>222.32495275055498</v>
      </c>
      <c r="CE111" s="62">
        <f t="shared" si="94"/>
        <v>156.39259018918381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0.10633799257888697</v>
      </c>
      <c r="CM111" s="23">
        <f>EXP(-LN(2)/2)*CM110+(1-EXP(-LN(2)/2))/(LN(2)/2)*CG111*CJ111*VLOOKUP('Données projet'!$B$12,Paramètres!$A$1:$I$89,3,0)*0.475*44/12</f>
        <v>1.9340061184833706E-11</v>
      </c>
      <c r="CN111" s="24">
        <f t="shared" si="66"/>
        <v>0.10633799259822703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88.420799999999957</v>
      </c>
      <c r="D112" s="12">
        <f t="shared" si="86"/>
        <v>24.183968471983022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869.22979171355291</v>
      </c>
      <c r="H112" s="70">
        <f t="shared" si="56"/>
        <v>452.78663842203707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-3.4106051316484809E-13</v>
      </c>
      <c r="O112" s="14">
        <f>N112*VLOOKUP('Données projet'!$B$9,Paramètres!$A$1:$I$89,3,0)*VLOOKUP('Données projet'!$B$9,Paramètres!$A$1:$I$89,5,0)</f>
        <v>-1.5961632016114892E-13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273.21086764807194</v>
      </c>
      <c r="T112" s="62">
        <f t="shared" si="88"/>
        <v>259.3474218586631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-1.1368683772161603E-13</v>
      </c>
      <c r="AJ112" s="14">
        <f>AI112*VLOOKUP('Données projet'!$B$10,Paramètres!$A$1:$I$89,3,0)*VLOOKUP('Données projet'!$B$10,Paramètres!$A$1:$I$89,5,0)</f>
        <v>-9.9316821433603781E-14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121.79484266530449</v>
      </c>
      <c r="AO112" s="62">
        <f t="shared" si="90"/>
        <v>129.14577359424788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0.31941513297194896</v>
      </c>
      <c r="AW112" s="23">
        <f>EXP(-LN(2)/2)*AW111+(1-EXP(-LN(2)/2))/(LN(2)/2)*AQ112*AT112*VLOOKUP('Données projet'!$B$10,Paramètres!$A$1:$I$89,3,0)*0.475*44/12</f>
        <v>4.6024524163780592E-12</v>
      </c>
      <c r="AX112" s="23">
        <f t="shared" si="60"/>
        <v>0.31941513297655139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3</v>
      </c>
      <c r="BD112" s="13">
        <f>IF('Données projet'!$A$88&gt;35,BD111+BC112-BL111,IF(A112&lt;'Données projet'!$A$88,$BA$205^A112,IF(A112='Données projet'!$A$88,'Données projet'!$B$88,BD111+BC112-BL111)))</f>
        <v>218.99999999999986</v>
      </c>
      <c r="BE112" s="14">
        <f>BD112*VLOOKUP('Données projet'!$B$11,Paramètres!$A$1:$I$89,3,0)*VLOOKUP('Données projet'!$B$11,Paramètres!$A$1:$I$89,5,0)</f>
        <v>222.06599999999986</v>
      </c>
      <c r="BF112" s="14">
        <f t="shared" si="91"/>
        <v>54.563676045889295</v>
      </c>
      <c r="BG112" s="22">
        <f t="shared" si="61"/>
        <v>481.79668577992356</v>
      </c>
      <c r="BH112" s="62">
        <f t="shared" si="62"/>
        <v>775.13001911325682</v>
      </c>
      <c r="BI112" s="62">
        <f ca="1">AVERAGE(OFFSET($BH$3,0,0,'Données projet'!$E$11+1,1))-AVERAGE(OFFSET($H$3,0,0,'Données projet'!$E$11+1,1))</f>
        <v>201.65575435598231</v>
      </c>
      <c r="BJ112" s="62">
        <f t="shared" si="92"/>
        <v>103.75701796419935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1.1368683772161603E-13</v>
      </c>
      <c r="BZ112" s="14">
        <f>BY112*VLOOKUP('Données projet'!$B$12,Paramètres!$A$1:$I$89,3,0)*VLOOKUP('Données projet'!$B$12,Paramètres!$A$1:$I$89,5,0)</f>
        <v>6.7984728957526396E-14</v>
      </c>
      <c r="CA112" s="14">
        <f t="shared" si="93"/>
        <v>1.0682447123141398E-12</v>
      </c>
      <c r="CB112" s="22">
        <f t="shared" si="64"/>
        <v>1.978932943548152E-12</v>
      </c>
      <c r="CC112" s="62">
        <f t="shared" si="65"/>
        <v>293.3333333333353</v>
      </c>
      <c r="CD112" s="62">
        <f ca="1">AVERAGE(OFFSET($CC$3,0,0,'Données projet'!$E$12+1,1))-AVERAGE(OFFSET($H$3,0,0,'Données projet'!$E$12+1,1))</f>
        <v>222.32495275055498</v>
      </c>
      <c r="CE112" s="62">
        <f t="shared" si="94"/>
        <v>156.39259018918381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0.10343017457974532</v>
      </c>
      <c r="CM112" s="23">
        <f>EXP(-LN(2)/2)*CM111+(1-EXP(-LN(2)/2))/(LN(2)/2)*CG112*CJ112*VLOOKUP('Données projet'!$B$12,Paramètres!$A$1:$I$89,3,0)*0.475*44/12</f>
        <v>1.3675488412358648E-11</v>
      </c>
      <c r="CN112" s="24">
        <f t="shared" si="66"/>
        <v>0.10343017459342081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89.231999999999957</v>
      </c>
      <c r="D113" s="12">
        <f t="shared" si="86"/>
        <v>24.379909604665212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877.0042144921523</v>
      </c>
      <c r="H113" s="70">
        <f t="shared" si="56"/>
        <v>454.5407425614585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-3.4106051316484809E-13</v>
      </c>
      <c r="O113" s="14">
        <f>N113*VLOOKUP('Données projet'!$B$9,Paramètres!$A$1:$I$89,3,0)*VLOOKUP('Données projet'!$B$9,Paramètres!$A$1:$I$89,5,0)</f>
        <v>-1.5961632016114892E-13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273.21086764807194</v>
      </c>
      <c r="T113" s="62">
        <f t="shared" si="88"/>
        <v>259.3474218586631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-1.1368683772161603E-13</v>
      </c>
      <c r="AJ113" s="14">
        <f>AI113*VLOOKUP('Données projet'!$B$10,Paramètres!$A$1:$I$89,3,0)*VLOOKUP('Données projet'!$B$10,Paramètres!$A$1:$I$89,5,0)</f>
        <v>-9.9316821433603781E-14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121.79484266530449</v>
      </c>
      <c r="AO113" s="62">
        <f t="shared" si="90"/>
        <v>129.14577359424788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0.31068070936351921</v>
      </c>
      <c r="AW113" s="23">
        <f>EXP(-LN(2)/2)*AW112+(1-EXP(-LN(2)/2))/(LN(2)/2)*AQ113*AT113*VLOOKUP('Données projet'!$B$10,Paramètres!$A$1:$I$89,3,0)*0.475*44/12</f>
        <v>3.2544253137093373E-12</v>
      </c>
      <c r="AX113" s="23">
        <f t="shared" si="60"/>
        <v>0.31068070936677367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>
        <f>VLOOKUP(A113,'Données projet'!$A$87:$I$107,2,0)</f>
        <v>222</v>
      </c>
      <c r="BB113" s="13">
        <f>VLOOKUP(A113,'Données projet'!$A$87:$I$107,9,0)</f>
        <v>3</v>
      </c>
      <c r="BC113" s="13">
        <f t="array" ref="BC113">INDEX(BB:BB,MIN(IF(ISNUMBER(BB113:BB309),ROW(BB113:BB309),"")))</f>
        <v>3</v>
      </c>
      <c r="BD113" s="13">
        <f>IF('Données projet'!$A$88&gt;35,BD112+BC113-BL112,IF(A113&lt;'Données projet'!$A$88,$BA$205^A113,IF(A113='Données projet'!$A$88,'Données projet'!$B$88,BD112+BC113-BL112)))</f>
        <v>221.99999999999986</v>
      </c>
      <c r="BE113" s="14">
        <f>BD113*VLOOKUP('Données projet'!$B$11,Paramètres!$A$1:$I$89,3,0)*VLOOKUP('Données projet'!$B$11,Paramètres!$A$1:$I$89,5,0)</f>
        <v>225.10799999999989</v>
      </c>
      <c r="BF113" s="14">
        <f t="shared" si="91"/>
        <v>55.223596878889587</v>
      </c>
      <c r="BG113" s="22">
        <f t="shared" si="61"/>
        <v>488.24419789739909</v>
      </c>
      <c r="BH113" s="62">
        <f t="shared" si="62"/>
        <v>781.57753123073235</v>
      </c>
      <c r="BI113" s="62">
        <f ca="1">AVERAGE(OFFSET($BH$3,0,0,'Données projet'!$E$11+1,1))-AVERAGE(OFFSET($H$3,0,0,'Données projet'!$E$11+1,1))</f>
        <v>201.65575435598231</v>
      </c>
      <c r="BJ113" s="62">
        <f t="shared" si="92"/>
        <v>103.75701796419935</v>
      </c>
      <c r="BK113" s="16">
        <f>IF(ISNA(VLOOKUP(A113,'Données projet'!$A$87:$I$107,3,0)),0,VLOOKUP(A113,'Données projet'!$A$87:$I$107,3,0))</f>
        <v>18</v>
      </c>
      <c r="BL113" s="16">
        <f>IF(ISNA(VLOOKUP(A113,'Données projet'!$A$87:$I$107,4,0)),0,VLOOKUP(A113,'Données projet'!$A$87:$I$107,4,0))</f>
        <v>13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1.1368683772161603E-13</v>
      </c>
      <c r="BZ113" s="14">
        <f>BY113*VLOOKUP('Données projet'!$B$12,Paramètres!$A$1:$I$89,3,0)*VLOOKUP('Données projet'!$B$12,Paramètres!$A$1:$I$89,5,0)</f>
        <v>6.7984728957526396E-14</v>
      </c>
      <c r="CA113" s="14">
        <f t="shared" si="93"/>
        <v>1.0682447123141398E-12</v>
      </c>
      <c r="CB113" s="22">
        <f t="shared" si="64"/>
        <v>1.978932943548152E-12</v>
      </c>
      <c r="CC113" s="62">
        <f t="shared" si="65"/>
        <v>293.3333333333353</v>
      </c>
      <c r="CD113" s="62">
        <f ca="1">AVERAGE(OFFSET($CC$3,0,0,'Données projet'!$E$12+1,1))-AVERAGE(OFFSET($H$3,0,0,'Données projet'!$E$12+1,1))</f>
        <v>222.32495275055498</v>
      </c>
      <c r="CE113" s="62">
        <f t="shared" si="94"/>
        <v>156.39259018918381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0.1006018710167057</v>
      </c>
      <c r="CM113" s="23">
        <f>EXP(-LN(2)/2)*CM112+(1-EXP(-LN(2)/2))/(LN(2)/2)*CG113*CJ113*VLOOKUP('Données projet'!$B$12,Paramètres!$A$1:$I$89,3,0)*0.475*44/12</f>
        <v>9.6700305924168529E-12</v>
      </c>
      <c r="CN113" s="24">
        <f t="shared" si="66"/>
        <v>0.10060187102637573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90.043199999999956</v>
      </c>
      <c r="D114" s="12">
        <f t="shared" si="86"/>
        <v>24.575643502648031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884.77703756430037</v>
      </c>
      <c r="H114" s="70">
        <f t="shared" si="56"/>
        <v>456.29448576711195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-3.4106051316484809E-13</v>
      </c>
      <c r="O114" s="14">
        <f>N114*VLOOKUP('Données projet'!$B$9,Paramètres!$A$1:$I$89,3,0)*VLOOKUP('Données projet'!$B$9,Paramètres!$A$1:$I$89,5,0)</f>
        <v>-1.5961632016114892E-13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273.21086764807194</v>
      </c>
      <c r="T114" s="62">
        <f t="shared" si="88"/>
        <v>259.3474218586631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-1.1368683772161603E-13</v>
      </c>
      <c r="AJ114" s="14">
        <f>AI114*VLOOKUP('Données projet'!$B$10,Paramètres!$A$1:$I$89,3,0)*VLOOKUP('Données projet'!$B$10,Paramètres!$A$1:$I$89,5,0)</f>
        <v>-9.9316821433603781E-14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121.79484266530449</v>
      </c>
      <c r="AO114" s="62">
        <f t="shared" si="90"/>
        <v>129.14577359424788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0.30218512902798533</v>
      </c>
      <c r="AW114" s="23">
        <f>EXP(-LN(2)/2)*AW113+(1-EXP(-LN(2)/2))/(LN(2)/2)*AQ114*AT114*VLOOKUP('Données projet'!$B$10,Paramètres!$A$1:$I$89,3,0)*0.475*44/12</f>
        <v>2.3012262081890296E-12</v>
      </c>
      <c r="AX114" s="23">
        <f t="shared" si="60"/>
        <v>0.30218512903028655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2.8</v>
      </c>
      <c r="BD114" s="13">
        <f>IF('Données projet'!$A$88&gt;35,BD113+BC114-BL113,IF(A114&lt;'Données projet'!$A$88,$BA$205^A114,IF(A114='Données projet'!$A$88,'Données projet'!$B$88,BD113+BC114-BL113)))</f>
        <v>211.79999999999987</v>
      </c>
      <c r="BE114" s="14">
        <f>BD114*VLOOKUP('Données projet'!$B$11,Paramètres!$A$1:$I$89,3,0)*VLOOKUP('Données projet'!$B$11,Paramètres!$A$1:$I$89,5,0)</f>
        <v>214.76519999999991</v>
      </c>
      <c r="BF114" s="14">
        <f t="shared" si="91"/>
        <v>52.975538059190747</v>
      </c>
      <c r="BG114" s="22">
        <f t="shared" si="61"/>
        <v>466.31511878642374</v>
      </c>
      <c r="BH114" s="62">
        <f t="shared" si="62"/>
        <v>759.64845211975705</v>
      </c>
      <c r="BI114" s="62">
        <f ca="1">AVERAGE(OFFSET($BH$3,0,0,'Données projet'!$E$11+1,1))-AVERAGE(OFFSET($H$3,0,0,'Données projet'!$E$11+1,1))</f>
        <v>201.65575435598231</v>
      </c>
      <c r="BJ114" s="62">
        <f t="shared" si="92"/>
        <v>103.75701796419935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1.1368683772161603E-13</v>
      </c>
      <c r="BZ114" s="14">
        <f>BY114*VLOOKUP('Données projet'!$B$12,Paramètres!$A$1:$I$89,3,0)*VLOOKUP('Données projet'!$B$12,Paramètres!$A$1:$I$89,5,0)</f>
        <v>6.7984728957526396E-14</v>
      </c>
      <c r="CA114" s="14">
        <f t="shared" si="93"/>
        <v>1.0682447123141398E-12</v>
      </c>
      <c r="CB114" s="22">
        <f t="shared" si="64"/>
        <v>1.978932943548152E-12</v>
      </c>
      <c r="CC114" s="62">
        <f t="shared" si="65"/>
        <v>293.3333333333353</v>
      </c>
      <c r="CD114" s="62">
        <f ca="1">AVERAGE(OFFSET($CC$3,0,0,'Données projet'!$E$12+1,1))-AVERAGE(OFFSET($H$3,0,0,'Données projet'!$E$12+1,1))</f>
        <v>222.32495275055498</v>
      </c>
      <c r="CE114" s="62">
        <f t="shared" si="94"/>
        <v>156.39259018918381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9.785090756333141E-2</v>
      </c>
      <c r="CM114" s="23">
        <f>EXP(-LN(2)/2)*CM113+(1-EXP(-LN(2)/2))/(LN(2)/2)*CG114*CJ114*VLOOKUP('Données projet'!$B$12,Paramètres!$A$1:$I$89,3,0)*0.475*44/12</f>
        <v>6.8377442061793242E-12</v>
      </c>
      <c r="CN114" s="24">
        <f t="shared" si="66"/>
        <v>9.7850907570169149E-2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90.854399999999956</v>
      </c>
      <c r="D115" s="12">
        <f t="shared" si="86"/>
        <v>24.771172249191263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892.5482770113008</v>
      </c>
      <c r="H115" s="70">
        <f t="shared" si="56"/>
        <v>458.04787166734138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-3.4106051316484809E-13</v>
      </c>
      <c r="O115" s="14">
        <f>N115*VLOOKUP('Données projet'!$B$9,Paramètres!$A$1:$I$89,3,0)*VLOOKUP('Données projet'!$B$9,Paramètres!$A$1:$I$89,5,0)</f>
        <v>-1.5961632016114892E-13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273.21086764807194</v>
      </c>
      <c r="T115" s="62">
        <f t="shared" si="88"/>
        <v>259.3474218586631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-1.1368683772161603E-13</v>
      </c>
      <c r="AJ115" s="14">
        <f>AI115*VLOOKUP('Données projet'!$B$10,Paramètres!$A$1:$I$89,3,0)*VLOOKUP('Données projet'!$B$10,Paramètres!$A$1:$I$89,5,0)</f>
        <v>-9.9316821433603781E-14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121.79484266530449</v>
      </c>
      <c r="AO115" s="62">
        <f t="shared" si="90"/>
        <v>129.14577359424788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0.29392186078348981</v>
      </c>
      <c r="AW115" s="23">
        <f>EXP(-LN(2)/2)*AW114+(1-EXP(-LN(2)/2))/(LN(2)/2)*AQ115*AT115*VLOOKUP('Données projet'!$B$10,Paramètres!$A$1:$I$89,3,0)*0.475*44/12</f>
        <v>1.6272126568546686E-12</v>
      </c>
      <c r="AX115" s="23">
        <f t="shared" si="60"/>
        <v>0.29392186078511701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2.8</v>
      </c>
      <c r="BD115" s="13">
        <f>IF('Données projet'!$A$88&gt;35,BD114+BC115-BL114,IF(A115&lt;'Données projet'!$A$88,$BA$205^A115,IF(A115='Données projet'!$A$88,'Données projet'!$B$88,BD114+BC115-BL114)))</f>
        <v>214.59999999999988</v>
      </c>
      <c r="BE115" s="14">
        <f>BD115*VLOOKUP('Données projet'!$B$11,Paramètres!$A$1:$I$89,3,0)*VLOOKUP('Données projet'!$B$11,Paramètres!$A$1:$I$89,5,0)</f>
        <v>217.60439999999988</v>
      </c>
      <c r="BF115" s="14">
        <f t="shared" si="91"/>
        <v>53.593882578706356</v>
      </c>
      <c r="BG115" s="22">
        <f t="shared" si="61"/>
        <v>472.3370088245801</v>
      </c>
      <c r="BH115" s="62">
        <f t="shared" si="62"/>
        <v>765.67034215791341</v>
      </c>
      <c r="BI115" s="62">
        <f ca="1">AVERAGE(OFFSET($BH$3,0,0,'Données projet'!$E$11+1,1))-AVERAGE(OFFSET($H$3,0,0,'Données projet'!$E$11+1,1))</f>
        <v>201.65575435598231</v>
      </c>
      <c r="BJ115" s="62">
        <f t="shared" si="92"/>
        <v>103.75701796419935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1.1368683772161603E-13</v>
      </c>
      <c r="BZ115" s="14">
        <f>BY115*VLOOKUP('Données projet'!$B$12,Paramètres!$A$1:$I$89,3,0)*VLOOKUP('Données projet'!$B$12,Paramètres!$A$1:$I$89,5,0)</f>
        <v>6.7984728957526396E-14</v>
      </c>
      <c r="CA115" s="14">
        <f t="shared" si="93"/>
        <v>1.0682447123141398E-12</v>
      </c>
      <c r="CB115" s="22">
        <f t="shared" si="64"/>
        <v>1.978932943548152E-12</v>
      </c>
      <c r="CC115" s="62">
        <f t="shared" si="65"/>
        <v>293.3333333333353</v>
      </c>
      <c r="CD115" s="62">
        <f ca="1">AVERAGE(OFFSET($CC$3,0,0,'Données projet'!$E$12+1,1))-AVERAGE(OFFSET($H$3,0,0,'Données projet'!$E$12+1,1))</f>
        <v>222.32495275055498</v>
      </c>
      <c r="CE115" s="62">
        <f t="shared" si="94"/>
        <v>156.39259018918381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9.5175169350256522E-2</v>
      </c>
      <c r="CM115" s="23">
        <f>EXP(-LN(2)/2)*CM114+(1-EXP(-LN(2)/2))/(LN(2)/2)*CG115*CJ115*VLOOKUP('Données projet'!$B$12,Paramètres!$A$1:$I$89,3,0)*0.475*44/12</f>
        <v>4.8350152962084265E-12</v>
      </c>
      <c r="CN115" s="24">
        <f t="shared" si="66"/>
        <v>9.5175169355091543E-2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91.665599999999955</v>
      </c>
      <c r="D116" s="12">
        <f t="shared" si="86"/>
        <v>24.966497888207424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900.31794861072365</v>
      </c>
      <c r="H116" s="70">
        <f t="shared" si="56"/>
        <v>459.80090382196119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-3.4106051316484809E-13</v>
      </c>
      <c r="O116" s="14">
        <f>N116*VLOOKUP('Données projet'!$B$9,Paramètres!$A$1:$I$89,3,0)*VLOOKUP('Données projet'!$B$9,Paramètres!$A$1:$I$89,5,0)</f>
        <v>-1.5961632016114892E-13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273.21086764807194</v>
      </c>
      <c r="T116" s="62">
        <f t="shared" si="88"/>
        <v>259.3474218586631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-1.1368683772161603E-13</v>
      </c>
      <c r="AJ116" s="14">
        <f>AI116*VLOOKUP('Données projet'!$B$10,Paramètres!$A$1:$I$89,3,0)*VLOOKUP('Données projet'!$B$10,Paramètres!$A$1:$I$89,5,0)</f>
        <v>-9.9316821433603781E-14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121.79484266530449</v>
      </c>
      <c r="AO116" s="62">
        <f t="shared" si="90"/>
        <v>129.14577359424788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0.2858845520436864</v>
      </c>
      <c r="AW116" s="23">
        <f>EXP(-LN(2)/2)*AW115+(1-EXP(-LN(2)/2))/(LN(2)/2)*AQ116*AT116*VLOOKUP('Données projet'!$B$10,Paramètres!$A$1:$I$89,3,0)*0.475*44/12</f>
        <v>1.1506131040945148E-12</v>
      </c>
      <c r="AX116" s="23">
        <f t="shared" si="60"/>
        <v>0.28588455204483704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2.8</v>
      </c>
      <c r="BD116" s="13">
        <f>IF('Données projet'!$A$88&gt;35,BD115+BC116-BL115,IF(A116&lt;'Données projet'!$A$88,$BA$205^A116,IF(A116='Données projet'!$A$88,'Données projet'!$B$88,BD115+BC116-BL115)))</f>
        <v>217.39999999999989</v>
      </c>
      <c r="BE116" s="14">
        <f>BD116*VLOOKUP('Données projet'!$B$11,Paramètres!$A$1:$I$89,3,0)*VLOOKUP('Données projet'!$B$11,Paramètres!$A$1:$I$89,5,0)</f>
        <v>220.44359999999992</v>
      </c>
      <c r="BF116" s="14">
        <f t="shared" si="91"/>
        <v>54.211288682893063</v>
      </c>
      <c r="BG116" s="22">
        <f t="shared" si="61"/>
        <v>478.35726445603859</v>
      </c>
      <c r="BH116" s="62">
        <f t="shared" si="62"/>
        <v>771.69059778937185</v>
      </c>
      <c r="BI116" s="62">
        <f ca="1">AVERAGE(OFFSET($BH$3,0,0,'Données projet'!$E$11+1,1))-AVERAGE(OFFSET($H$3,0,0,'Données projet'!$E$11+1,1))</f>
        <v>201.65575435598231</v>
      </c>
      <c r="BJ116" s="62">
        <f t="shared" si="92"/>
        <v>103.75701796419935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1.1368683772161603E-13</v>
      </c>
      <c r="BZ116" s="14">
        <f>BY116*VLOOKUP('Données projet'!$B$12,Paramètres!$A$1:$I$89,3,0)*VLOOKUP('Données projet'!$B$12,Paramètres!$A$1:$I$89,5,0)</f>
        <v>6.7984728957526396E-14</v>
      </c>
      <c r="CA116" s="14">
        <f t="shared" si="93"/>
        <v>1.0682447123141398E-12</v>
      </c>
      <c r="CB116" s="22">
        <f t="shared" si="64"/>
        <v>1.978932943548152E-12</v>
      </c>
      <c r="CC116" s="62">
        <f t="shared" si="65"/>
        <v>293.3333333333353</v>
      </c>
      <c r="CD116" s="62">
        <f ca="1">AVERAGE(OFFSET($CC$3,0,0,'Données projet'!$E$12+1,1))-AVERAGE(OFFSET($H$3,0,0,'Données projet'!$E$12+1,1))</f>
        <v>222.32495275055498</v>
      </c>
      <c r="CE116" s="62">
        <f t="shared" si="94"/>
        <v>156.39259018918381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9.2572599339329126E-2</v>
      </c>
      <c r="CM116" s="23">
        <f>EXP(-LN(2)/2)*CM115+(1-EXP(-LN(2)/2))/(LN(2)/2)*CG116*CJ116*VLOOKUP('Données projet'!$B$12,Paramètres!$A$1:$I$89,3,0)*0.475*44/12</f>
        <v>3.4188721030896621E-12</v>
      </c>
      <c r="CN116" s="24">
        <f t="shared" si="66"/>
        <v>9.2572599342748002E-2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92.476799999999955</v>
      </c>
      <c r="D117" s="12">
        <f t="shared" si="86"/>
        <v>25.161622425346401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908.086067844779</v>
      </c>
      <c r="H117" s="70">
        <f t="shared" si="56"/>
        <v>461.55358572414491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-3.4106051316484809E-13</v>
      </c>
      <c r="O117" s="14">
        <f>N117*VLOOKUP('Données projet'!$B$9,Paramètres!$A$1:$I$89,3,0)*VLOOKUP('Données projet'!$B$9,Paramètres!$A$1:$I$89,5,0)</f>
        <v>-1.5961632016114892E-13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273.21086764807194</v>
      </c>
      <c r="T117" s="62">
        <f t="shared" si="88"/>
        <v>259.3474218586631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-1.1368683772161603E-13</v>
      </c>
      <c r="AJ117" s="14">
        <f>AI117*VLOOKUP('Données projet'!$B$10,Paramètres!$A$1:$I$89,3,0)*VLOOKUP('Données projet'!$B$10,Paramètres!$A$1:$I$89,5,0)</f>
        <v>-9.9316821433603781E-14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121.79484266530449</v>
      </c>
      <c r="AO117" s="62">
        <f t="shared" si="90"/>
        <v>129.14577359424788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0.27806702393403659</v>
      </c>
      <c r="AW117" s="23">
        <f>EXP(-LN(2)/2)*AW116+(1-EXP(-LN(2)/2))/(LN(2)/2)*AQ117*AT117*VLOOKUP('Données projet'!$B$10,Paramètres!$A$1:$I$89,3,0)*0.475*44/12</f>
        <v>8.1360632842733432E-13</v>
      </c>
      <c r="AX117" s="23">
        <f t="shared" si="60"/>
        <v>0.27806702393485022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2.8</v>
      </c>
      <c r="BD117" s="13">
        <f>IF('Données projet'!$A$88&gt;35,BD116+BC117-BL116,IF(A117&lt;'Données projet'!$A$88,$BA$205^A117,IF(A117='Données projet'!$A$88,'Données projet'!$B$88,BD116+BC117-BL116)))</f>
        <v>220.1999999999999</v>
      </c>
      <c r="BE117" s="14">
        <f>BD117*VLOOKUP('Données projet'!$B$11,Paramètres!$A$1:$I$89,3,0)*VLOOKUP('Données projet'!$B$11,Paramètres!$A$1:$I$89,5,0)</f>
        <v>223.28279999999992</v>
      </c>
      <c r="BF117" s="14">
        <f t="shared" si="91"/>
        <v>54.82776985554348</v>
      </c>
      <c r="BG117" s="22">
        <f t="shared" si="61"/>
        <v>484.37590916507139</v>
      </c>
      <c r="BH117" s="62">
        <f t="shared" si="62"/>
        <v>777.70924249840471</v>
      </c>
      <c r="BI117" s="62">
        <f ca="1">AVERAGE(OFFSET($BH$3,0,0,'Données projet'!$E$11+1,1))-AVERAGE(OFFSET($H$3,0,0,'Données projet'!$E$11+1,1))</f>
        <v>201.65575435598231</v>
      </c>
      <c r="BJ117" s="62">
        <f t="shared" si="92"/>
        <v>103.75701796419935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1.1368683772161603E-13</v>
      </c>
      <c r="BZ117" s="14">
        <f>BY117*VLOOKUP('Données projet'!$B$12,Paramètres!$A$1:$I$89,3,0)*VLOOKUP('Données projet'!$B$12,Paramètres!$A$1:$I$89,5,0)</f>
        <v>6.7984728957526396E-14</v>
      </c>
      <c r="CA117" s="14">
        <f t="shared" si="93"/>
        <v>1.0682447123141398E-12</v>
      </c>
      <c r="CB117" s="22">
        <f t="shared" si="64"/>
        <v>1.978932943548152E-12</v>
      </c>
      <c r="CC117" s="62">
        <f t="shared" si="65"/>
        <v>293.3333333333353</v>
      </c>
      <c r="CD117" s="62">
        <f ca="1">AVERAGE(OFFSET($CC$3,0,0,'Données projet'!$E$12+1,1))-AVERAGE(OFFSET($H$3,0,0,'Données projet'!$E$12+1,1))</f>
        <v>222.32495275055498</v>
      </c>
      <c r="CE117" s="62">
        <f t="shared" si="94"/>
        <v>156.39259018918381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9.0041196742213753E-2</v>
      </c>
      <c r="CM117" s="23">
        <f>EXP(-LN(2)/2)*CM116+(1-EXP(-LN(2)/2))/(LN(2)/2)*CG117*CJ117*VLOOKUP('Données projet'!$B$12,Paramètres!$A$1:$I$89,3,0)*0.475*44/12</f>
        <v>2.4175076481042132E-12</v>
      </c>
      <c r="CN117" s="24">
        <f t="shared" si="66"/>
        <v>9.0041196744631263E-2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93.287999999999954</v>
      </c>
      <c r="D118" s="12">
        <f t="shared" si="86"/>
        <v>25.356547829040977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915.85264990838607</v>
      </c>
      <c r="H118" s="70">
        <f t="shared" si="56"/>
        <v>463.30592080224631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-3.4106051316484809E-13</v>
      </c>
      <c r="O118" s="14">
        <f>N118*VLOOKUP('Données projet'!$B$9,Paramètres!$A$1:$I$89,3,0)*VLOOKUP('Données projet'!$B$9,Paramètres!$A$1:$I$89,5,0)</f>
        <v>-1.5961632016114892E-13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273.21086764807194</v>
      </c>
      <c r="T118" s="62">
        <f t="shared" si="88"/>
        <v>259.3474218586631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-1.1368683772161603E-13</v>
      </c>
      <c r="AJ118" s="14">
        <f>AI118*VLOOKUP('Données projet'!$B$10,Paramètres!$A$1:$I$89,3,0)*VLOOKUP('Données projet'!$B$10,Paramètres!$A$1:$I$89,5,0)</f>
        <v>-9.9316821433603781E-14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121.79484266530449</v>
      </c>
      <c r="AO118" s="62">
        <f t="shared" si="90"/>
        <v>129.14577359424788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0.27046326654165109</v>
      </c>
      <c r="AW118" s="23">
        <f>EXP(-LN(2)/2)*AW117+(1-EXP(-LN(2)/2))/(LN(2)/2)*AQ118*AT118*VLOOKUP('Données projet'!$B$10,Paramètres!$A$1:$I$89,3,0)*0.475*44/12</f>
        <v>5.753065520472574E-13</v>
      </c>
      <c r="AX118" s="23">
        <f t="shared" si="60"/>
        <v>0.27046326654222641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>
        <f>VLOOKUP(A118,'Données projet'!$A$87:$I$107,2,0)</f>
        <v>223</v>
      </c>
      <c r="BB118" s="13">
        <f>VLOOKUP(A118,'Données projet'!$A$87:$I$107,9,0)</f>
        <v>2.8</v>
      </c>
      <c r="BC118" s="13">
        <f t="array" ref="BC118">INDEX(BB:BB,MIN(IF(ISNUMBER(BB118:BB314),ROW(BB118:BB314),"")))</f>
        <v>2.8</v>
      </c>
      <c r="BD118" s="13">
        <f>IF('Données projet'!$A$88&gt;35,BD117+BC118-BL117,IF(A118&lt;'Données projet'!$A$88,$BA$205^A118,IF(A118='Données projet'!$A$88,'Données projet'!$B$88,BD117+BC118-BL117)))</f>
        <v>222.99999999999991</v>
      </c>
      <c r="BE118" s="14">
        <f>BD118*VLOOKUP('Données projet'!$B$11,Paramètres!$A$1:$I$89,3,0)*VLOOKUP('Données projet'!$B$11,Paramètres!$A$1:$I$89,5,0)</f>
        <v>226.12199999999996</v>
      </c>
      <c r="BF118" s="14">
        <f t="shared" si="91"/>
        <v>55.443339217820046</v>
      </c>
      <c r="BG118" s="22">
        <f t="shared" si="61"/>
        <v>490.39296580436979</v>
      </c>
      <c r="BH118" s="62">
        <f t="shared" si="62"/>
        <v>783.72629913770311</v>
      </c>
      <c r="BI118" s="62">
        <f ca="1">AVERAGE(OFFSET($BH$3,0,0,'Données projet'!$E$11+1,1))-AVERAGE(OFFSET($H$3,0,0,'Données projet'!$E$11+1,1))</f>
        <v>201.65575435598231</v>
      </c>
      <c r="BJ118" s="62">
        <f t="shared" si="92"/>
        <v>103.75701796419935</v>
      </c>
      <c r="BK118" s="16">
        <f>IF(ISNA(VLOOKUP(A118,'Données projet'!$A$87:$I$107,3,0)),0,VLOOKUP(A118,'Données projet'!$A$87:$I$107,3,0))</f>
        <v>19</v>
      </c>
      <c r="BL118" s="16">
        <f>IF(ISNA(VLOOKUP(A118,'Données projet'!$A$87:$I$107,4,0)),0,VLOOKUP(A118,'Données projet'!$A$87:$I$107,4,0))</f>
        <v>13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1.1368683772161603E-13</v>
      </c>
      <c r="BZ118" s="14">
        <f>BY118*VLOOKUP('Données projet'!$B$12,Paramètres!$A$1:$I$89,3,0)*VLOOKUP('Données projet'!$B$12,Paramètres!$A$1:$I$89,5,0)</f>
        <v>6.7984728957526396E-14</v>
      </c>
      <c r="CA118" s="14">
        <f t="shared" si="93"/>
        <v>1.0682447123141398E-12</v>
      </c>
      <c r="CB118" s="22">
        <f t="shared" si="64"/>
        <v>1.978932943548152E-12</v>
      </c>
      <c r="CC118" s="62">
        <f t="shared" si="65"/>
        <v>293.3333333333353</v>
      </c>
      <c r="CD118" s="62">
        <f ca="1">AVERAGE(OFFSET($CC$3,0,0,'Données projet'!$E$12+1,1))-AVERAGE(OFFSET($H$3,0,0,'Données projet'!$E$12+1,1))</f>
        <v>222.32495275055498</v>
      </c>
      <c r="CE118" s="62">
        <f t="shared" si="94"/>
        <v>156.39259018918381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8.7579015482237177E-2</v>
      </c>
      <c r="CM118" s="23">
        <f>EXP(-LN(2)/2)*CM117+(1-EXP(-LN(2)/2))/(LN(2)/2)*CG118*CJ118*VLOOKUP('Données projet'!$B$12,Paramètres!$A$1:$I$89,3,0)*0.475*44/12</f>
        <v>1.7094360515448311E-12</v>
      </c>
      <c r="CN118" s="24">
        <f t="shared" si="66"/>
        <v>8.7579015483946615E-2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94.099199999999954</v>
      </c>
      <c r="D119" s="12">
        <f t="shared" si="86"/>
        <v>25.551276031514817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923.61770971695614</v>
      </c>
      <c r="H119" s="70">
        <f t="shared" si="56"/>
        <v>465.05791242155487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-3.4106051316484809E-13</v>
      </c>
      <c r="O119" s="14">
        <f>N119*VLOOKUP('Données projet'!$B$9,Paramètres!$A$1:$I$89,3,0)*VLOOKUP('Données projet'!$B$9,Paramètres!$A$1:$I$89,5,0)</f>
        <v>-1.5961632016114892E-13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273.21086764807194</v>
      </c>
      <c r="T119" s="62">
        <f t="shared" si="88"/>
        <v>259.3474218586631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-1.1368683772161603E-13</v>
      </c>
      <c r="AJ119" s="14">
        <f>AI119*VLOOKUP('Données projet'!$B$10,Paramètres!$A$1:$I$89,3,0)*VLOOKUP('Données projet'!$B$10,Paramètres!$A$1:$I$89,5,0)</f>
        <v>-9.9316821433603781E-14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121.79484266530449</v>
      </c>
      <c r="AO119" s="62">
        <f t="shared" si="90"/>
        <v>129.14577359424788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0.2630674342950246</v>
      </c>
      <c r="AW119" s="23">
        <f>EXP(-LN(2)/2)*AW118+(1-EXP(-LN(2)/2))/(LN(2)/2)*AQ119*AT119*VLOOKUP('Données projet'!$B$10,Paramètres!$A$1:$I$89,3,0)*0.475*44/12</f>
        <v>4.0680316421366716E-13</v>
      </c>
      <c r="AX119" s="23">
        <f t="shared" si="60"/>
        <v>0.26306743429543139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2.4</v>
      </c>
      <c r="BD119" s="13">
        <f>IF('Données projet'!$A$88&gt;35,BD118+BC119-BL118,IF(A119&lt;'Données projet'!$A$88,$BA$205^A119,IF(A119='Données projet'!$A$88,'Données projet'!$B$88,BD118+BC119-BL118)))</f>
        <v>212.39999999999992</v>
      </c>
      <c r="BE119" s="14">
        <f>BD119*VLOOKUP('Données projet'!$B$11,Paramètres!$A$1:$I$89,3,0)*VLOOKUP('Données projet'!$B$11,Paramètres!$A$1:$I$89,5,0)</f>
        <v>215.37359999999993</v>
      </c>
      <c r="BF119" s="14">
        <f t="shared" si="91"/>
        <v>53.108120144188916</v>
      </c>
      <c r="BG119" s="22">
        <f t="shared" si="61"/>
        <v>467.60566258446215</v>
      </c>
      <c r="BH119" s="62">
        <f t="shared" si="62"/>
        <v>760.93899591779541</v>
      </c>
      <c r="BI119" s="62">
        <f ca="1">AVERAGE(OFFSET($BH$3,0,0,'Données projet'!$E$11+1,1))-AVERAGE(OFFSET($H$3,0,0,'Données projet'!$E$11+1,1))</f>
        <v>201.65575435598231</v>
      </c>
      <c r="BJ119" s="62">
        <f t="shared" si="92"/>
        <v>103.75701796419935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1.1368683772161603E-13</v>
      </c>
      <c r="BZ119" s="14">
        <f>BY119*VLOOKUP('Données projet'!$B$12,Paramètres!$A$1:$I$89,3,0)*VLOOKUP('Données projet'!$B$12,Paramètres!$A$1:$I$89,5,0)</f>
        <v>6.7984728957526396E-14</v>
      </c>
      <c r="CA119" s="14">
        <f t="shared" si="93"/>
        <v>1.0682447123141398E-12</v>
      </c>
      <c r="CB119" s="22">
        <f t="shared" si="64"/>
        <v>1.978932943548152E-12</v>
      </c>
      <c r="CC119" s="62">
        <f t="shared" si="65"/>
        <v>293.3333333333353</v>
      </c>
      <c r="CD119" s="62">
        <f ca="1">AVERAGE(OFFSET($CC$3,0,0,'Données projet'!$E$12+1,1))-AVERAGE(OFFSET($H$3,0,0,'Données projet'!$E$12+1,1))</f>
        <v>222.32495275055498</v>
      </c>
      <c r="CE119" s="62">
        <f t="shared" si="94"/>
        <v>156.39259018918381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8.5184162698295138E-2</v>
      </c>
      <c r="CM119" s="23">
        <f>EXP(-LN(2)/2)*CM118+(1-EXP(-LN(2)/2))/(LN(2)/2)*CG119*CJ119*VLOOKUP('Données projet'!$B$12,Paramètres!$A$1:$I$89,3,0)*0.475*44/12</f>
        <v>1.2087538240521066E-12</v>
      </c>
      <c r="CN119" s="24">
        <f t="shared" si="66"/>
        <v>8.5184162699503893E-2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94.910399999999953</v>
      </c>
      <c r="D120" s="12">
        <f t="shared" si="86"/>
        <v>25.745808929754968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931.38126191389767</v>
      </c>
      <c r="H120" s="70">
        <f t="shared" si="56"/>
        <v>466.80956388598986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-3.4106051316484809E-13</v>
      </c>
      <c r="O120" s="14">
        <f>N120*VLOOKUP('Données projet'!$B$9,Paramètres!$A$1:$I$89,3,0)*VLOOKUP('Données projet'!$B$9,Paramètres!$A$1:$I$89,5,0)</f>
        <v>-1.5961632016114892E-13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273.21086764807194</v>
      </c>
      <c r="T120" s="62">
        <f t="shared" si="88"/>
        <v>259.3474218586631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-1.1368683772161603E-13</v>
      </c>
      <c r="AJ120" s="14">
        <f>AI120*VLOOKUP('Données projet'!$B$10,Paramètres!$A$1:$I$89,3,0)*VLOOKUP('Données projet'!$B$10,Paramètres!$A$1:$I$89,5,0)</f>
        <v>-9.9316821433603781E-14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121.79484266530449</v>
      </c>
      <c r="AO120" s="62">
        <f t="shared" si="90"/>
        <v>129.14577359424788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0.25587384147011205</v>
      </c>
      <c r="AW120" s="23">
        <f>EXP(-LN(2)/2)*AW119+(1-EXP(-LN(2)/2))/(LN(2)/2)*AQ120*AT120*VLOOKUP('Données projet'!$B$10,Paramètres!$A$1:$I$89,3,0)*0.475*44/12</f>
        <v>2.876532760236287E-13</v>
      </c>
      <c r="AX120" s="23">
        <f t="shared" si="60"/>
        <v>0.25587384147039971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2.4</v>
      </c>
      <c r="BD120" s="13">
        <f>IF('Données projet'!$A$88&gt;35,BD119+BC120-BL119,IF(A120&lt;'Données projet'!$A$88,$BA$205^A120,IF(A120='Données projet'!$A$88,'Données projet'!$B$88,BD119+BC120-BL119)))</f>
        <v>214.79999999999993</v>
      </c>
      <c r="BE120" s="14">
        <f>BD120*VLOOKUP('Données projet'!$B$11,Paramètres!$A$1:$I$89,3,0)*VLOOKUP('Données projet'!$B$11,Paramètres!$A$1:$I$89,5,0)</f>
        <v>217.80719999999994</v>
      </c>
      <c r="BF120" s="14">
        <f t="shared" si="91"/>
        <v>53.638013973813976</v>
      </c>
      <c r="BG120" s="22">
        <f t="shared" si="61"/>
        <v>472.76708100439259</v>
      </c>
      <c r="BH120" s="62">
        <f t="shared" si="62"/>
        <v>766.10041433772585</v>
      </c>
      <c r="BI120" s="62">
        <f ca="1">AVERAGE(OFFSET($BH$3,0,0,'Données projet'!$E$11+1,1))-AVERAGE(OFFSET($H$3,0,0,'Données projet'!$E$11+1,1))</f>
        <v>201.65575435598231</v>
      </c>
      <c r="BJ120" s="62">
        <f t="shared" si="92"/>
        <v>103.75701796419935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1.1368683772161603E-13</v>
      </c>
      <c r="BZ120" s="14">
        <f>BY120*VLOOKUP('Données projet'!$B$12,Paramètres!$A$1:$I$89,3,0)*VLOOKUP('Données projet'!$B$12,Paramètres!$A$1:$I$89,5,0)</f>
        <v>6.7984728957526396E-14</v>
      </c>
      <c r="CA120" s="14">
        <f t="shared" si="93"/>
        <v>1.0682447123141398E-12</v>
      </c>
      <c r="CB120" s="22">
        <f t="shared" si="64"/>
        <v>1.978932943548152E-12</v>
      </c>
      <c r="CC120" s="62">
        <f t="shared" si="65"/>
        <v>293.3333333333353</v>
      </c>
      <c r="CD120" s="62">
        <f ca="1">AVERAGE(OFFSET($CC$3,0,0,'Données projet'!$E$12+1,1))-AVERAGE(OFFSET($H$3,0,0,'Données projet'!$E$12+1,1))</f>
        <v>222.32495275055498</v>
      </c>
      <c r="CE120" s="62">
        <f t="shared" si="94"/>
        <v>156.39259018918381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8.2854797289669838E-2</v>
      </c>
      <c r="CM120" s="23">
        <f>EXP(-LN(2)/2)*CM119+(1-EXP(-LN(2)/2))/(LN(2)/2)*CG120*CJ120*VLOOKUP('Données projet'!$B$12,Paramètres!$A$1:$I$89,3,0)*0.475*44/12</f>
        <v>8.5471802577241553E-13</v>
      </c>
      <c r="CN120" s="24">
        <f t="shared" si="66"/>
        <v>8.2854797290524557E-2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95.721599999999953</v>
      </c>
      <c r="D121" s="12">
        <f t="shared" si="86"/>
        <v>25.940148386449934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939.14332087785886</v>
      </c>
      <c r="H121" s="70">
        <f t="shared" si="56"/>
        <v>468.56087843973359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-3.4106051316484809E-13</v>
      </c>
      <c r="O121" s="14">
        <f>N121*VLOOKUP('Données projet'!$B$9,Paramètres!$A$1:$I$89,3,0)*VLOOKUP('Données projet'!$B$9,Paramètres!$A$1:$I$89,5,0)</f>
        <v>-1.5961632016114892E-13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273.21086764807194</v>
      </c>
      <c r="T121" s="62">
        <f t="shared" si="88"/>
        <v>259.3474218586631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-1.1368683772161603E-13</v>
      </c>
      <c r="AJ121" s="14">
        <f>AI121*VLOOKUP('Données projet'!$B$10,Paramètres!$A$1:$I$89,3,0)*VLOOKUP('Données projet'!$B$10,Paramètres!$A$1:$I$89,5,0)</f>
        <v>-9.9316821433603781E-14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121.79484266530449</v>
      </c>
      <c r="AO121" s="62">
        <f t="shared" si="90"/>
        <v>129.14577359424788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0.24887695781929131</v>
      </c>
      <c r="AW121" s="23">
        <f>EXP(-LN(2)/2)*AW120+(1-EXP(-LN(2)/2))/(LN(2)/2)*AQ121*AT121*VLOOKUP('Données projet'!$B$10,Paramètres!$A$1:$I$89,3,0)*0.475*44/12</f>
        <v>2.0340158210683358E-13</v>
      </c>
      <c r="AX121" s="23">
        <f t="shared" si="60"/>
        <v>0.2488769578194947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2.4</v>
      </c>
      <c r="BD121" s="13">
        <f>IF('Données projet'!$A$88&gt;35,BD120+BC121-BL120,IF(A121&lt;'Données projet'!$A$88,$BA$205^A121,IF(A121='Données projet'!$A$88,'Données projet'!$B$88,BD120+BC121-BL120)))</f>
        <v>217.19999999999993</v>
      </c>
      <c r="BE121" s="14">
        <f>BD121*VLOOKUP('Données projet'!$B$11,Paramètres!$A$1:$I$89,3,0)*VLOOKUP('Données projet'!$B$11,Paramètres!$A$1:$I$89,5,0)</f>
        <v>220.24079999999992</v>
      </c>
      <c r="BF121" s="14">
        <f t="shared" si="91"/>
        <v>54.167219078226751</v>
      </c>
      <c r="BG121" s="22">
        <f t="shared" si="61"/>
        <v>477.9272998945782</v>
      </c>
      <c r="BH121" s="62">
        <f t="shared" si="62"/>
        <v>771.26063322791151</v>
      </c>
      <c r="BI121" s="62">
        <f ca="1">AVERAGE(OFFSET($BH$3,0,0,'Données projet'!$E$11+1,1))-AVERAGE(OFFSET($H$3,0,0,'Données projet'!$E$11+1,1))</f>
        <v>201.65575435598231</v>
      </c>
      <c r="BJ121" s="62">
        <f t="shared" si="92"/>
        <v>103.75701796419935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1.1368683772161603E-13</v>
      </c>
      <c r="BZ121" s="14">
        <f>BY121*VLOOKUP('Données projet'!$B$12,Paramètres!$A$1:$I$89,3,0)*VLOOKUP('Données projet'!$B$12,Paramètres!$A$1:$I$89,5,0)</f>
        <v>6.7984728957526396E-14</v>
      </c>
      <c r="CA121" s="14">
        <f t="shared" si="93"/>
        <v>1.0682447123141398E-12</v>
      </c>
      <c r="CB121" s="22">
        <f t="shared" si="64"/>
        <v>1.978932943548152E-12</v>
      </c>
      <c r="CC121" s="62">
        <f t="shared" si="65"/>
        <v>293.3333333333353</v>
      </c>
      <c r="CD121" s="62">
        <f ca="1">AVERAGE(OFFSET($CC$3,0,0,'Données projet'!$E$12+1,1))-AVERAGE(OFFSET($H$3,0,0,'Données projet'!$E$12+1,1))</f>
        <v>222.32495275055498</v>
      </c>
      <c r="CE121" s="62">
        <f t="shared" si="94"/>
        <v>156.39259018918381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8.0589128500639387E-2</v>
      </c>
      <c r="CM121" s="23">
        <f>EXP(-LN(2)/2)*CM120+(1-EXP(-LN(2)/2))/(LN(2)/2)*CG121*CJ121*VLOOKUP('Données projet'!$B$12,Paramètres!$A$1:$I$89,3,0)*0.475*44/12</f>
        <v>6.0437691202605331E-13</v>
      </c>
      <c r="CN121" s="24">
        <f t="shared" si="66"/>
        <v>8.0589128501243765E-2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96.532799999999952</v>
      </c>
      <c r="D122" s="12">
        <f t="shared" si="86"/>
        <v>26.134296230894964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946.90390072971513</v>
      </c>
      <c r="H122" s="70">
        <f t="shared" si="56"/>
        <v>470.31185926880869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-3.4106051316484809E-13</v>
      </c>
      <c r="O122" s="14">
        <f>N122*VLOOKUP('Données projet'!$B$9,Paramètres!$A$1:$I$89,3,0)*VLOOKUP('Données projet'!$B$9,Paramètres!$A$1:$I$89,5,0)</f>
        <v>-1.5961632016114892E-13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273.21086764807194</v>
      </c>
      <c r="T122" s="62">
        <f t="shared" si="88"/>
        <v>259.3474218586631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-1.1368683772161603E-13</v>
      </c>
      <c r="AJ122" s="14">
        <f>AI122*VLOOKUP('Données projet'!$B$10,Paramètres!$A$1:$I$89,3,0)*VLOOKUP('Données projet'!$B$10,Paramètres!$A$1:$I$89,5,0)</f>
        <v>-9.9316821433603781E-14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121.79484266530449</v>
      </c>
      <c r="AO122" s="62">
        <f t="shared" si="90"/>
        <v>129.14577359424788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0.24207140431985238</v>
      </c>
      <c r="AW122" s="23">
        <f>EXP(-LN(2)/2)*AW121+(1-EXP(-LN(2)/2))/(LN(2)/2)*AQ122*AT122*VLOOKUP('Données projet'!$B$10,Paramètres!$A$1:$I$89,3,0)*0.475*44/12</f>
        <v>1.4382663801181435E-13</v>
      </c>
      <c r="AX122" s="23">
        <f t="shared" si="60"/>
        <v>0.24207140431999621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2.4</v>
      </c>
      <c r="BD122" s="13">
        <f>IF('Données projet'!$A$88&gt;35,BD121+BC122-BL121,IF(A122&lt;'Données projet'!$A$88,$BA$205^A122,IF(A122='Données projet'!$A$88,'Données projet'!$B$88,BD121+BC122-BL121)))</f>
        <v>219.59999999999994</v>
      </c>
      <c r="BE122" s="14">
        <f>BD122*VLOOKUP('Données projet'!$B$11,Paramètres!$A$1:$I$89,3,0)*VLOOKUP('Données projet'!$B$11,Paramètres!$A$1:$I$89,5,0)</f>
        <v>222.67439999999993</v>
      </c>
      <c r="BF122" s="14">
        <f t="shared" si="91"/>
        <v>54.695743948366427</v>
      </c>
      <c r="BG122" s="22">
        <f t="shared" si="61"/>
        <v>483.08633404340475</v>
      </c>
      <c r="BH122" s="62">
        <f t="shared" si="62"/>
        <v>776.41966737673806</v>
      </c>
      <c r="BI122" s="62">
        <f ca="1">AVERAGE(OFFSET($BH$3,0,0,'Données projet'!$E$11+1,1))-AVERAGE(OFFSET($H$3,0,0,'Données projet'!$E$11+1,1))</f>
        <v>201.65575435598231</v>
      </c>
      <c r="BJ122" s="62">
        <f t="shared" si="92"/>
        <v>103.75701796419935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1.1368683772161603E-13</v>
      </c>
      <c r="BZ122" s="14">
        <f>BY122*VLOOKUP('Données projet'!$B$12,Paramètres!$A$1:$I$89,3,0)*VLOOKUP('Données projet'!$B$12,Paramètres!$A$1:$I$89,5,0)</f>
        <v>6.7984728957526396E-14</v>
      </c>
      <c r="CA122" s="14">
        <f t="shared" si="93"/>
        <v>1.0682447123141398E-12</v>
      </c>
      <c r="CB122" s="22">
        <f t="shared" si="64"/>
        <v>1.978932943548152E-12</v>
      </c>
      <c r="CC122" s="62">
        <f t="shared" si="65"/>
        <v>293.3333333333353</v>
      </c>
      <c r="CD122" s="62">
        <f ca="1">AVERAGE(OFFSET($CC$3,0,0,'Données projet'!$E$12+1,1))-AVERAGE(OFFSET($H$3,0,0,'Données projet'!$E$12+1,1))</f>
        <v>222.32495275055498</v>
      </c>
      <c r="CE122" s="62">
        <f t="shared" si="94"/>
        <v>156.39259018918381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7.8385414543791318E-2</v>
      </c>
      <c r="CM122" s="23">
        <f>EXP(-LN(2)/2)*CM121+(1-EXP(-LN(2)/2))/(LN(2)/2)*CG122*CJ122*VLOOKUP('Données projet'!$B$12,Paramètres!$A$1:$I$89,3,0)*0.475*44/12</f>
        <v>4.2735901288620776E-13</v>
      </c>
      <c r="CN122" s="24">
        <f t="shared" si="66"/>
        <v>7.8385414544218671E-2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97.343999999999951</v>
      </c>
      <c r="D123" s="12">
        <f t="shared" si="86"/>
        <v>26.328254259866451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954.66301533931983</v>
      </c>
      <c r="H123" s="70">
        <f t="shared" si="56"/>
        <v>472.06250950260068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-3.4106051316484809E-13</v>
      </c>
      <c r="O123" s="14">
        <f>N123*VLOOKUP('Données projet'!$B$9,Paramètres!$A$1:$I$89,3,0)*VLOOKUP('Données projet'!$B$9,Paramètres!$A$1:$I$89,5,0)</f>
        <v>-1.5961632016114892E-13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273.21086764807194</v>
      </c>
      <c r="T123" s="62">
        <f t="shared" si="88"/>
        <v>259.3474218586631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-1.1368683772161603E-13</v>
      </c>
      <c r="AJ123" s="14">
        <f>AI123*VLOOKUP('Données projet'!$B$10,Paramètres!$A$1:$I$89,3,0)*VLOOKUP('Données projet'!$B$10,Paramètres!$A$1:$I$89,5,0)</f>
        <v>-9.9316821433603781E-14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121.79484266530449</v>
      </c>
      <c r="AO123" s="62">
        <f t="shared" si="90"/>
        <v>129.14577359424788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0.23545194903874414</v>
      </c>
      <c r="AW123" s="23">
        <f>EXP(-LN(2)/2)*AW122+(1-EXP(-LN(2)/2))/(LN(2)/2)*AQ123*AT123*VLOOKUP('Données projet'!$B$10,Paramètres!$A$1:$I$89,3,0)*0.475*44/12</f>
        <v>1.0170079105341679E-13</v>
      </c>
      <c r="AX123" s="23">
        <f t="shared" si="60"/>
        <v>0.23545194903884584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>
        <f>VLOOKUP(A123,'Données projet'!$A$87:$I$107,2,0)</f>
        <v>222</v>
      </c>
      <c r="BB123" s="13">
        <f>VLOOKUP(A123,'Données projet'!$A$87:$I$107,9,0)</f>
        <v>2.4</v>
      </c>
      <c r="BC123" s="13">
        <f t="array" ref="BC123">INDEX(BB:BB,MIN(IF(ISNUMBER(BB123:BB319),ROW(BB123:BB319),"")))</f>
        <v>2.4</v>
      </c>
      <c r="BD123" s="13">
        <f>IF('Données projet'!$A$88&gt;35,BD122+BC123-BL122,IF(A123&lt;'Données projet'!$A$88,$BA$205^A123,IF(A123='Données projet'!$A$88,'Données projet'!$B$88,BD122+BC123-BL122)))</f>
        <v>221.99999999999994</v>
      </c>
      <c r="BE123" s="14">
        <f>BD123*VLOOKUP('Données projet'!$B$11,Paramètres!$A$1:$I$89,3,0)*VLOOKUP('Données projet'!$B$11,Paramètres!$A$1:$I$89,5,0)</f>
        <v>225.10799999999995</v>
      </c>
      <c r="BF123" s="14">
        <f t="shared" si="91"/>
        <v>55.223596878889587</v>
      </c>
      <c r="BG123" s="22">
        <f t="shared" si="61"/>
        <v>488.24419789739915</v>
      </c>
      <c r="BH123" s="62">
        <f t="shared" si="62"/>
        <v>781.57753123073246</v>
      </c>
      <c r="BI123" s="62">
        <f ca="1">AVERAGE(OFFSET($BH$3,0,0,'Données projet'!$E$11+1,1))-AVERAGE(OFFSET($H$3,0,0,'Données projet'!$E$11+1,1))</f>
        <v>201.65575435598231</v>
      </c>
      <c r="BJ123" s="62">
        <f t="shared" si="92"/>
        <v>103.75701796419935</v>
      </c>
      <c r="BK123" s="16">
        <f>IF(ISNA(VLOOKUP(A123,'Données projet'!$A$87:$I$107,3,0)),0,VLOOKUP(A123,'Données projet'!$A$87:$I$107,3,0))</f>
        <v>20</v>
      </c>
      <c r="BL123" s="16">
        <f>IF(ISNA(VLOOKUP(A123,'Données projet'!$A$87:$I$107,4,0)),0,VLOOKUP(A123,'Données projet'!$A$87:$I$107,4,0))</f>
        <v>222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1.1368683772161603E-13</v>
      </c>
      <c r="BZ123" s="14">
        <f>BY123*VLOOKUP('Données projet'!$B$12,Paramètres!$A$1:$I$89,3,0)*VLOOKUP('Données projet'!$B$12,Paramètres!$A$1:$I$89,5,0)</f>
        <v>6.7984728957526396E-14</v>
      </c>
      <c r="CA123" s="14">
        <f t="shared" si="93"/>
        <v>1.0682447123141398E-12</v>
      </c>
      <c r="CB123" s="22">
        <f t="shared" si="64"/>
        <v>1.978932943548152E-12</v>
      </c>
      <c r="CC123" s="62">
        <f t="shared" si="65"/>
        <v>293.3333333333353</v>
      </c>
      <c r="CD123" s="62">
        <f ca="1">AVERAGE(OFFSET($CC$3,0,0,'Données projet'!$E$12+1,1))-AVERAGE(OFFSET($H$3,0,0,'Données projet'!$E$12+1,1))</f>
        <v>222.32495275055498</v>
      </c>
      <c r="CE123" s="62">
        <f t="shared" si="94"/>
        <v>156.39259018918381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7.6241961260981539E-2</v>
      </c>
      <c r="CM123" s="23">
        <f>EXP(-LN(2)/2)*CM122+(1-EXP(-LN(2)/2))/(LN(2)/2)*CG123*CJ123*VLOOKUP('Données projet'!$B$12,Paramètres!$A$1:$I$89,3,0)*0.475*44/12</f>
        <v>3.0218845601302665E-13</v>
      </c>
      <c r="CN123" s="24">
        <f t="shared" si="66"/>
        <v>7.6241961261283728E-2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98.155199999999951</v>
      </c>
      <c r="D124" s="12">
        <f t="shared" si="86"/>
        <v>26.522024238465754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962.42067833201588</v>
      </c>
      <c r="H124" s="70">
        <f t="shared" si="56"/>
        <v>473.81283221532777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-3.4106051316484809E-13</v>
      </c>
      <c r="O124" s="14">
        <f>N124*VLOOKUP('Données projet'!$B$9,Paramètres!$A$1:$I$89,3,0)*VLOOKUP('Données projet'!$B$9,Paramètres!$A$1:$I$89,5,0)</f>
        <v>-1.5961632016114892E-13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273.21086764807194</v>
      </c>
      <c r="T124" s="62">
        <f t="shared" si="88"/>
        <v>259.3474218586631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-1.1368683772161603E-13</v>
      </c>
      <c r="AJ124" s="14">
        <f>AI124*VLOOKUP('Données projet'!$B$10,Paramètres!$A$1:$I$89,3,0)*VLOOKUP('Données projet'!$B$10,Paramètres!$A$1:$I$89,5,0)</f>
        <v>-9.9316821433603781E-14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121.79484266530449</v>
      </c>
      <c r="AO124" s="62">
        <f t="shared" si="90"/>
        <v>129.14577359424788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0.22901350311039981</v>
      </c>
      <c r="AW124" s="23">
        <f>EXP(-LN(2)/2)*AW123+(1-EXP(-LN(2)/2))/(LN(2)/2)*AQ124*AT124*VLOOKUP('Données projet'!$B$10,Paramètres!$A$1:$I$89,3,0)*0.475*44/12</f>
        <v>7.1913319005907175E-14</v>
      </c>
      <c r="AX124" s="23">
        <f t="shared" si="60"/>
        <v>0.22901350311047172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-5.6843418860808015E-14</v>
      </c>
      <c r="BE124" s="14">
        <f>BD124*VLOOKUP('Données projet'!$B$11,Paramètres!$A$1:$I$89,3,0)*VLOOKUP('Données projet'!$B$11,Paramètres!$A$1:$I$89,5,0)</f>
        <v>-5.7639226724859328E-14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201.65575435598231</v>
      </c>
      <c r="BJ124" s="62">
        <f t="shared" si="92"/>
        <v>103.75701796419935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1.1368683772161603E-13</v>
      </c>
      <c r="BZ124" s="14">
        <f>BY124*VLOOKUP('Données projet'!$B$12,Paramètres!$A$1:$I$89,3,0)*VLOOKUP('Données projet'!$B$12,Paramètres!$A$1:$I$89,5,0)</f>
        <v>6.7984728957526396E-14</v>
      </c>
      <c r="CA124" s="14">
        <f t="shared" si="93"/>
        <v>1.0682447123141398E-12</v>
      </c>
      <c r="CB124" s="22">
        <f t="shared" si="64"/>
        <v>1.978932943548152E-12</v>
      </c>
      <c r="CC124" s="62">
        <f t="shared" si="65"/>
        <v>293.3333333333353</v>
      </c>
      <c r="CD124" s="62">
        <f ca="1">AVERAGE(OFFSET($CC$3,0,0,'Données projet'!$E$12+1,1))-AVERAGE(OFFSET($H$3,0,0,'Données projet'!$E$12+1,1))</f>
        <v>222.32495275055498</v>
      </c>
      <c r="CE124" s="62">
        <f t="shared" si="94"/>
        <v>156.39259018918381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7.4157120820909514E-2</v>
      </c>
      <c r="CM124" s="23">
        <f>EXP(-LN(2)/2)*CM123+(1-EXP(-LN(2)/2))/(LN(2)/2)*CG124*CJ124*VLOOKUP('Données projet'!$B$12,Paramètres!$A$1:$I$89,3,0)*0.475*44/12</f>
        <v>2.1367950644310388E-13</v>
      </c>
      <c r="CN124" s="24">
        <f t="shared" si="66"/>
        <v>7.415712082112319E-2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98.96639999999995</v>
      </c>
      <c r="D125" s="12">
        <f t="shared" si="86"/>
        <v>26.715607900934927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970.17690309493594</v>
      </c>
      <c r="H125" s="70">
        <f t="shared" si="56"/>
        <v>475.56283042746156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-3.4106051316484809E-13</v>
      </c>
      <c r="O125" s="14">
        <f>N125*VLOOKUP('Données projet'!$B$9,Paramètres!$A$1:$I$89,3,0)*VLOOKUP('Données projet'!$B$9,Paramètres!$A$1:$I$89,5,0)</f>
        <v>-1.5961632016114892E-13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273.21086764807194</v>
      </c>
      <c r="T125" s="62">
        <f t="shared" si="88"/>
        <v>259.3474218586631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-1.1368683772161603E-13</v>
      </c>
      <c r="AJ125" s="14">
        <f>AI125*VLOOKUP('Données projet'!$B$10,Paramètres!$A$1:$I$89,3,0)*VLOOKUP('Données projet'!$B$10,Paramètres!$A$1:$I$89,5,0)</f>
        <v>-9.9316821433603781E-14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121.79484266530449</v>
      </c>
      <c r="AO125" s="62">
        <f t="shared" si="90"/>
        <v>129.14577359424788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0.22275111682454921</v>
      </c>
      <c r="AW125" s="23">
        <f>EXP(-LN(2)/2)*AW124+(1-EXP(-LN(2)/2))/(LN(2)/2)*AQ125*AT125*VLOOKUP('Données projet'!$B$10,Paramètres!$A$1:$I$89,3,0)*0.475*44/12</f>
        <v>5.0850395526708395E-14</v>
      </c>
      <c r="AX125" s="23">
        <f t="shared" si="60"/>
        <v>0.22275111682460005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-5.6843418860808015E-14</v>
      </c>
      <c r="BE125" s="14">
        <f>BD125*VLOOKUP('Données projet'!$B$11,Paramètres!$A$1:$I$89,3,0)*VLOOKUP('Données projet'!$B$11,Paramètres!$A$1:$I$89,5,0)</f>
        <v>-5.7639226724859328E-14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201.65575435598231</v>
      </c>
      <c r="BJ125" s="62">
        <f t="shared" si="92"/>
        <v>103.75701796419935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1.1368683772161603E-13</v>
      </c>
      <c r="BZ125" s="14">
        <f>BY125*VLOOKUP('Données projet'!$B$12,Paramètres!$A$1:$I$89,3,0)*VLOOKUP('Données projet'!$B$12,Paramètres!$A$1:$I$89,5,0)</f>
        <v>6.7984728957526396E-14</v>
      </c>
      <c r="CA125" s="14">
        <f t="shared" si="93"/>
        <v>1.0682447123141398E-12</v>
      </c>
      <c r="CB125" s="22">
        <f t="shared" si="64"/>
        <v>1.978932943548152E-12</v>
      </c>
      <c r="CC125" s="62">
        <f t="shared" si="65"/>
        <v>293.3333333333353</v>
      </c>
      <c r="CD125" s="62">
        <f ca="1">AVERAGE(OFFSET($CC$3,0,0,'Données projet'!$E$12+1,1))-AVERAGE(OFFSET($H$3,0,0,'Données projet'!$E$12+1,1))</f>
        <v>222.32495275055498</v>
      </c>
      <c r="CE125" s="62">
        <f t="shared" si="94"/>
        <v>156.39259018918381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7.2129290452308245E-2</v>
      </c>
      <c r="CM125" s="23">
        <f>EXP(-LN(2)/2)*CM124+(1-EXP(-LN(2)/2))/(LN(2)/2)*CG125*CJ125*VLOOKUP('Données projet'!$B$12,Paramètres!$A$1:$I$89,3,0)*0.475*44/12</f>
        <v>1.5109422800651333E-13</v>
      </c>
      <c r="CN125" s="24">
        <f t="shared" si="66"/>
        <v>7.2129290452459333E-2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99.77759999999995</v>
      </c>
      <c r="D126" s="12">
        <f t="shared" si="86"/>
        <v>26.909006951444532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977.93170278308014</v>
      </c>
      <c r="H126" s="70">
        <f t="shared" si="56"/>
        <v>477.31250710709912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-3.4106051316484809E-13</v>
      </c>
      <c r="O126" s="14">
        <f>N126*VLOOKUP('Données projet'!$B$9,Paramètres!$A$1:$I$89,3,0)*VLOOKUP('Données projet'!$B$9,Paramètres!$A$1:$I$89,5,0)</f>
        <v>-1.5961632016114892E-13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273.21086764807194</v>
      </c>
      <c r="T126" s="62">
        <f t="shared" si="88"/>
        <v>259.3474218586631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-1.1368683772161603E-13</v>
      </c>
      <c r="AJ126" s="14">
        <f>AI126*VLOOKUP('Données projet'!$B$10,Paramètres!$A$1:$I$89,3,0)*VLOOKUP('Données projet'!$B$10,Paramètres!$A$1:$I$89,5,0)</f>
        <v>-9.9316821433603781E-14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121.79484266530449</v>
      </c>
      <c r="AO126" s="62">
        <f t="shared" si="90"/>
        <v>129.14577359424788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0.21665997582100976</v>
      </c>
      <c r="AW126" s="23">
        <f>EXP(-LN(2)/2)*AW125+(1-EXP(-LN(2)/2))/(LN(2)/2)*AQ126*AT126*VLOOKUP('Données projet'!$B$10,Paramètres!$A$1:$I$89,3,0)*0.475*44/12</f>
        <v>3.5956659502953588E-14</v>
      </c>
      <c r="AX126" s="23">
        <f t="shared" si="60"/>
        <v>0.21665997582104571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-5.6843418860808015E-14</v>
      </c>
      <c r="BE126" s="14">
        <f>BD126*VLOOKUP('Données projet'!$B$11,Paramètres!$A$1:$I$89,3,0)*VLOOKUP('Données projet'!$B$11,Paramètres!$A$1:$I$89,5,0)</f>
        <v>-5.7639226724859328E-14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201.65575435598231</v>
      </c>
      <c r="BJ126" s="62">
        <f t="shared" si="92"/>
        <v>103.75701796419935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1.1368683772161603E-13</v>
      </c>
      <c r="BZ126" s="14">
        <f>BY126*VLOOKUP('Données projet'!$B$12,Paramètres!$A$1:$I$89,3,0)*VLOOKUP('Données projet'!$B$12,Paramètres!$A$1:$I$89,5,0)</f>
        <v>6.7984728957526396E-14</v>
      </c>
      <c r="CA126" s="14">
        <f t="shared" si="93"/>
        <v>1.0682447123141398E-12</v>
      </c>
      <c r="CB126" s="22">
        <f t="shared" si="64"/>
        <v>1.978932943548152E-12</v>
      </c>
      <c r="CC126" s="62">
        <f t="shared" si="65"/>
        <v>293.3333333333353</v>
      </c>
      <c r="CD126" s="62">
        <f ca="1">AVERAGE(OFFSET($CC$3,0,0,'Données projet'!$E$12+1,1))-AVERAGE(OFFSET($H$3,0,0,'Données projet'!$E$12+1,1))</f>
        <v>222.32495275055498</v>
      </c>
      <c r="CE126" s="62">
        <f t="shared" si="94"/>
        <v>156.39259018918381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7.015691121177535E-2</v>
      </c>
      <c r="CM126" s="23">
        <f>EXP(-LN(2)/2)*CM125+(1-EXP(-LN(2)/2))/(LN(2)/2)*CG126*CJ126*VLOOKUP('Données projet'!$B$12,Paramètres!$A$1:$I$89,3,0)*0.475*44/12</f>
        <v>1.0683975322155194E-13</v>
      </c>
      <c r="CN126" s="24">
        <f t="shared" si="66"/>
        <v>7.0156911211882195E-2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100.58879999999995</v>
      </c>
      <c r="D127" s="12">
        <f t="shared" si="86"/>
        <v>27.102223064855114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985.68509032519705</v>
      </c>
      <c r="H127" s="70">
        <f t="shared" si="56"/>
        <v>479.06186517128924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-3.4106051316484809E-13</v>
      </c>
      <c r="O127" s="14">
        <f>N127*VLOOKUP('Données projet'!$B$9,Paramètres!$A$1:$I$89,3,0)*VLOOKUP('Données projet'!$B$9,Paramètres!$A$1:$I$89,5,0)</f>
        <v>-1.5961632016114892E-13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273.21086764807194</v>
      </c>
      <c r="T127" s="62">
        <f t="shared" si="88"/>
        <v>259.3474218586631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-1.1368683772161603E-13</v>
      </c>
      <c r="AJ127" s="14">
        <f>AI127*VLOOKUP('Données projet'!$B$10,Paramètres!$A$1:$I$89,3,0)*VLOOKUP('Données projet'!$B$10,Paramètres!$A$1:$I$89,5,0)</f>
        <v>-9.9316821433603781E-14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121.79484266530449</v>
      </c>
      <c r="AO127" s="62">
        <f t="shared" si="90"/>
        <v>129.14577359424788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0.21073539738853131</v>
      </c>
      <c r="AW127" s="23">
        <f>EXP(-LN(2)/2)*AW126+(1-EXP(-LN(2)/2))/(LN(2)/2)*AQ127*AT127*VLOOKUP('Données projet'!$B$10,Paramètres!$A$1:$I$89,3,0)*0.475*44/12</f>
        <v>2.5425197763354197E-14</v>
      </c>
      <c r="AX127" s="23">
        <f t="shared" si="60"/>
        <v>0.21073539738855673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-5.6843418860808015E-14</v>
      </c>
      <c r="BE127" s="14">
        <f>BD127*VLOOKUP('Données projet'!$B$11,Paramètres!$A$1:$I$89,3,0)*VLOOKUP('Données projet'!$B$11,Paramètres!$A$1:$I$89,5,0)</f>
        <v>-5.7639226724859328E-14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201.65575435598231</v>
      </c>
      <c r="BJ127" s="62">
        <f t="shared" si="92"/>
        <v>103.75701796419935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1.1368683772161603E-13</v>
      </c>
      <c r="BZ127" s="14">
        <f>BY127*VLOOKUP('Données projet'!$B$12,Paramètres!$A$1:$I$89,3,0)*VLOOKUP('Données projet'!$B$12,Paramètres!$A$1:$I$89,5,0)</f>
        <v>6.7984728957526396E-14</v>
      </c>
      <c r="CA127" s="14">
        <f t="shared" si="93"/>
        <v>1.0682447123141398E-12</v>
      </c>
      <c r="CB127" s="22">
        <f t="shared" si="64"/>
        <v>1.978932943548152E-12</v>
      </c>
      <c r="CC127" s="62">
        <f t="shared" si="65"/>
        <v>293.3333333333353</v>
      </c>
      <c r="CD127" s="62">
        <f ca="1">AVERAGE(OFFSET($CC$3,0,0,'Données projet'!$E$12+1,1))-AVERAGE(OFFSET($H$3,0,0,'Données projet'!$E$12+1,1))</f>
        <v>222.32495275055498</v>
      </c>
      <c r="CE127" s="62">
        <f t="shared" si="94"/>
        <v>156.39259018918381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6.8238466785297741E-2</v>
      </c>
      <c r="CM127" s="23">
        <f>EXP(-LN(2)/2)*CM126+(1-EXP(-LN(2)/2))/(LN(2)/2)*CG127*CJ127*VLOOKUP('Données projet'!$B$12,Paramètres!$A$1:$I$89,3,0)*0.475*44/12</f>
        <v>7.5547114003256663E-14</v>
      </c>
      <c r="CN127" s="24">
        <f t="shared" si="66"/>
        <v>6.8238466785373292E-2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101.39999999999995</v>
      </c>
      <c r="D128" s="12">
        <f t="shared" si="86"/>
        <v>27.295257887453797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993.43707842946753</v>
      </c>
      <c r="H128" s="70">
        <f t="shared" si="56"/>
        <v>480.81090748731526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-3.4106051316484809E-13</v>
      </c>
      <c r="O128" s="14">
        <f>N128*VLOOKUP('Données projet'!$B$9,Paramètres!$A$1:$I$89,3,0)*VLOOKUP('Données projet'!$B$9,Paramètres!$A$1:$I$89,5,0)</f>
        <v>-1.5961632016114892E-13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273.21086764807194</v>
      </c>
      <c r="T128" s="62">
        <f t="shared" si="88"/>
        <v>259.3474218586631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-1.1368683772161603E-13</v>
      </c>
      <c r="AJ128" s="14">
        <f>AI128*VLOOKUP('Données projet'!$B$10,Paramètres!$A$1:$I$89,3,0)*VLOOKUP('Données projet'!$B$10,Paramètres!$A$1:$I$89,5,0)</f>
        <v>-9.9316821433603781E-14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121.79484266530449</v>
      </c>
      <c r="AO128" s="62">
        <f t="shared" si="90"/>
        <v>129.14577359424788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0.20497282686484902</v>
      </c>
      <c r="AW128" s="23">
        <f>EXP(-LN(2)/2)*AW127+(1-EXP(-LN(2)/2))/(LN(2)/2)*AQ128*AT128*VLOOKUP('Données projet'!$B$10,Paramètres!$A$1:$I$89,3,0)*0.475*44/12</f>
        <v>1.7978329751476794E-14</v>
      </c>
      <c r="AX128" s="23">
        <f t="shared" si="60"/>
        <v>0.20497282686486701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-5.6843418860808015E-14</v>
      </c>
      <c r="BE128" s="14">
        <f>BD128*VLOOKUP('Données projet'!$B$11,Paramètres!$A$1:$I$89,3,0)*VLOOKUP('Données projet'!$B$11,Paramètres!$A$1:$I$89,5,0)</f>
        <v>-5.7639226724859328E-14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201.65575435598231</v>
      </c>
      <c r="BJ128" s="62">
        <f t="shared" si="92"/>
        <v>103.75701796419935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1.1368683772161603E-13</v>
      </c>
      <c r="BZ128" s="14">
        <f>BY128*VLOOKUP('Données projet'!$B$12,Paramètres!$A$1:$I$89,3,0)*VLOOKUP('Données projet'!$B$12,Paramètres!$A$1:$I$89,5,0)</f>
        <v>6.7984728957526396E-14</v>
      </c>
      <c r="CA128" s="14">
        <f t="shared" si="93"/>
        <v>1.0682447123141398E-12</v>
      </c>
      <c r="CB128" s="22">
        <f t="shared" si="64"/>
        <v>1.978932943548152E-12</v>
      </c>
      <c r="CC128" s="62">
        <f t="shared" si="65"/>
        <v>293.3333333333353</v>
      </c>
      <c r="CD128" s="62">
        <f ca="1">AVERAGE(OFFSET($CC$3,0,0,'Données projet'!$E$12+1,1))-AVERAGE(OFFSET($H$3,0,0,'Données projet'!$E$12+1,1))</f>
        <v>222.32495275055498</v>
      </c>
      <c r="CE128" s="62">
        <f t="shared" si="94"/>
        <v>156.39259018918381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6.6372482322548762E-2</v>
      </c>
      <c r="CM128" s="23">
        <f>EXP(-LN(2)/2)*CM127+(1-EXP(-LN(2)/2))/(LN(2)/2)*CG128*CJ128*VLOOKUP('Données projet'!$B$12,Paramètres!$A$1:$I$89,3,0)*0.475*44/12</f>
        <v>5.3419876610775971E-14</v>
      </c>
      <c r="CN128" s="24">
        <f t="shared" si="66"/>
        <v>6.6372482322602178E-2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102.21119999999995</v>
      </c>
      <c r="D129" s="12">
        <f t="shared" si="86"/>
        <v>27.488113037666018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1001.1876795890006</v>
      </c>
      <c r="H129" s="70">
        <f t="shared" si="56"/>
        <v>482.55963687393489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-3.4106051316484809E-13</v>
      </c>
      <c r="O129" s="14">
        <f>N129*VLOOKUP('Données projet'!$B$9,Paramètres!$A$1:$I$89,3,0)*VLOOKUP('Données projet'!$B$9,Paramètres!$A$1:$I$89,5,0)</f>
        <v>-1.5961632016114892E-13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273.21086764807194</v>
      </c>
      <c r="T129" s="62">
        <f t="shared" si="88"/>
        <v>259.3474218586631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-1.1368683772161603E-13</v>
      </c>
      <c r="AJ129" s="14">
        <f>AI129*VLOOKUP('Données projet'!$B$10,Paramètres!$A$1:$I$89,3,0)*VLOOKUP('Données projet'!$B$10,Paramètres!$A$1:$I$89,5,0)</f>
        <v>-9.9316821433603781E-14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121.79484266530449</v>
      </c>
      <c r="AO129" s="62">
        <f t="shared" si="90"/>
        <v>129.14577359424788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0.19936783413517722</v>
      </c>
      <c r="AW129" s="23">
        <f>EXP(-LN(2)/2)*AW128+(1-EXP(-LN(2)/2))/(LN(2)/2)*AQ129*AT129*VLOOKUP('Données projet'!$B$10,Paramètres!$A$1:$I$89,3,0)*0.475*44/12</f>
        <v>1.2712598881677099E-14</v>
      </c>
      <c r="AX129" s="23">
        <f t="shared" si="60"/>
        <v>0.19936783413518994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-5.6843418860808015E-14</v>
      </c>
      <c r="BE129" s="14">
        <f>BD129*VLOOKUP('Données projet'!$B$11,Paramètres!$A$1:$I$89,3,0)*VLOOKUP('Données projet'!$B$11,Paramètres!$A$1:$I$89,5,0)</f>
        <v>-5.7639226724859328E-14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201.65575435598231</v>
      </c>
      <c r="BJ129" s="62">
        <f t="shared" si="92"/>
        <v>103.75701796419935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1.1368683772161603E-13</v>
      </c>
      <c r="BZ129" s="14">
        <f>BY129*VLOOKUP('Données projet'!$B$12,Paramètres!$A$1:$I$89,3,0)*VLOOKUP('Données projet'!$B$12,Paramètres!$A$1:$I$89,5,0)</f>
        <v>6.7984728957526396E-14</v>
      </c>
      <c r="CA129" s="14">
        <f t="shared" si="93"/>
        <v>1.0682447123141398E-12</v>
      </c>
      <c r="CB129" s="22">
        <f t="shared" si="64"/>
        <v>1.978932943548152E-12</v>
      </c>
      <c r="CC129" s="62">
        <f t="shared" si="65"/>
        <v>293.3333333333353</v>
      </c>
      <c r="CD129" s="62">
        <f ca="1">AVERAGE(OFFSET($CC$3,0,0,'Données projet'!$E$12+1,1))-AVERAGE(OFFSET($H$3,0,0,'Données projet'!$E$12+1,1))</f>
        <v>222.32495275055498</v>
      </c>
      <c r="CE129" s="62">
        <f t="shared" si="94"/>
        <v>156.39259018918381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6.4557523303061512E-2</v>
      </c>
      <c r="CM129" s="23">
        <f>EXP(-LN(2)/2)*CM128+(1-EXP(-LN(2)/2))/(LN(2)/2)*CG129*CJ129*VLOOKUP('Données projet'!$B$12,Paramètres!$A$1:$I$89,3,0)*0.475*44/12</f>
        <v>3.7773557001628332E-14</v>
      </c>
      <c r="CN129" s="24">
        <f t="shared" si="66"/>
        <v>6.4557523303099287E-2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103.02239999999995</v>
      </c>
      <c r="D130" s="12">
        <f t="shared" si="86"/>
        <v>27.680790106744631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1008.9369060871513</v>
      </c>
      <c r="H130" s="70">
        <f t="shared" si="56"/>
        <v>484.30805610258017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-3.4106051316484809E-13</v>
      </c>
      <c r="O130" s="14">
        <f>N130*VLOOKUP('Données projet'!$B$9,Paramètres!$A$1:$I$89,3,0)*VLOOKUP('Données projet'!$B$9,Paramètres!$A$1:$I$89,5,0)</f>
        <v>-1.5961632016114892E-13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273.21086764807194</v>
      </c>
      <c r="T130" s="62">
        <f t="shared" si="88"/>
        <v>259.3474218586631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-1.1368683772161603E-13</v>
      </c>
      <c r="AJ130" s="14">
        <f>AI130*VLOOKUP('Données projet'!$B$10,Paramètres!$A$1:$I$89,3,0)*VLOOKUP('Données projet'!$B$10,Paramètres!$A$1:$I$89,5,0)</f>
        <v>-9.9316821433603781E-14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121.79484266530449</v>
      </c>
      <c r="AO130" s="62">
        <f t="shared" si="90"/>
        <v>129.14577359424788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0.19391611022645205</v>
      </c>
      <c r="AW130" s="23">
        <f>EXP(-LN(2)/2)*AW129+(1-EXP(-LN(2)/2))/(LN(2)/2)*AQ130*AT130*VLOOKUP('Données projet'!$B$10,Paramètres!$A$1:$I$89,3,0)*0.475*44/12</f>
        <v>8.9891648757383969E-15</v>
      </c>
      <c r="AX130" s="23">
        <f t="shared" si="60"/>
        <v>0.19391611022646105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-5.6843418860808015E-14</v>
      </c>
      <c r="BE130" s="14">
        <f>BD130*VLOOKUP('Données projet'!$B$11,Paramètres!$A$1:$I$89,3,0)*VLOOKUP('Données projet'!$B$11,Paramètres!$A$1:$I$89,5,0)</f>
        <v>-5.7639226724859328E-14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201.65575435598231</v>
      </c>
      <c r="BJ130" s="62">
        <f t="shared" si="92"/>
        <v>103.75701796419935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1.1368683772161603E-13</v>
      </c>
      <c r="BZ130" s="14">
        <f>BY130*VLOOKUP('Données projet'!$B$12,Paramètres!$A$1:$I$89,3,0)*VLOOKUP('Données projet'!$B$12,Paramètres!$A$1:$I$89,5,0)</f>
        <v>6.7984728957526396E-14</v>
      </c>
      <c r="CA130" s="14">
        <f t="shared" si="93"/>
        <v>1.0682447123141398E-12</v>
      </c>
      <c r="CB130" s="22">
        <f t="shared" si="64"/>
        <v>1.978932943548152E-12</v>
      </c>
      <c r="CC130" s="62">
        <f t="shared" si="65"/>
        <v>293.3333333333353</v>
      </c>
      <c r="CD130" s="62">
        <f ca="1">AVERAGE(OFFSET($CC$3,0,0,'Données projet'!$E$12+1,1))-AVERAGE(OFFSET($H$3,0,0,'Données projet'!$E$12+1,1))</f>
        <v>222.32495275055498</v>
      </c>
      <c r="CE130" s="62">
        <f t="shared" si="94"/>
        <v>156.39259018918381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6.2792194433406695E-2</v>
      </c>
      <c r="CM130" s="23">
        <f>EXP(-LN(2)/2)*CM129+(1-EXP(-LN(2)/2))/(LN(2)/2)*CG130*CJ130*VLOOKUP('Données projet'!$B$12,Paramètres!$A$1:$I$89,3,0)*0.475*44/12</f>
        <v>2.6709938305387985E-14</v>
      </c>
      <c r="CN130" s="24">
        <f t="shared" si="66"/>
        <v>6.279219443343341E-2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103.83359999999995</v>
      </c>
      <c r="D131" s="12">
        <f t="shared" si="86"/>
        <v>27.873290659436186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1016.684770002665</v>
      </c>
      <c r="H131" s="70">
        <f t="shared" si="56"/>
        <v>486.05616789851797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-3.4106051316484809E-13</v>
      </c>
      <c r="O131" s="14">
        <f>N131*VLOOKUP('Données projet'!$B$9,Paramètres!$A$1:$I$89,3,0)*VLOOKUP('Données projet'!$B$9,Paramètres!$A$1:$I$89,5,0)</f>
        <v>-1.5961632016114892E-13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273.21086764807194</v>
      </c>
      <c r="T131" s="62">
        <f t="shared" si="88"/>
        <v>259.3474218586631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-1.1368683772161603E-13</v>
      </c>
      <c r="AJ131" s="14">
        <f>AI131*VLOOKUP('Données projet'!$B$10,Paramètres!$A$1:$I$89,3,0)*VLOOKUP('Données projet'!$B$10,Paramètres!$A$1:$I$89,5,0)</f>
        <v>-9.9316821433603781E-14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121.79484266530449</v>
      </c>
      <c r="AO131" s="62">
        <f t="shared" si="90"/>
        <v>129.14577359424788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0.18861346399470469</v>
      </c>
      <c r="AW131" s="23">
        <f>EXP(-LN(2)/2)*AW130+(1-EXP(-LN(2)/2))/(LN(2)/2)*AQ131*AT131*VLOOKUP('Données projet'!$B$10,Paramètres!$A$1:$I$89,3,0)*0.475*44/12</f>
        <v>6.3562994408385493E-15</v>
      </c>
      <c r="AX131" s="23">
        <f t="shared" si="60"/>
        <v>0.18861346399471104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-5.6843418860808015E-14</v>
      </c>
      <c r="BE131" s="14">
        <f>BD131*VLOOKUP('Données projet'!$B$11,Paramètres!$A$1:$I$89,3,0)*VLOOKUP('Données projet'!$B$11,Paramètres!$A$1:$I$89,5,0)</f>
        <v>-5.7639226724859328E-14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201.65575435598231</v>
      </c>
      <c r="BJ131" s="62">
        <f t="shared" si="92"/>
        <v>103.75701796419935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1.1368683772161603E-13</v>
      </c>
      <c r="BZ131" s="14">
        <f>BY131*VLOOKUP('Données projet'!$B$12,Paramètres!$A$1:$I$89,3,0)*VLOOKUP('Données projet'!$B$12,Paramètres!$A$1:$I$89,5,0)</f>
        <v>6.7984728957526396E-14</v>
      </c>
      <c r="CA131" s="14">
        <f t="shared" si="93"/>
        <v>1.0682447123141398E-12</v>
      </c>
      <c r="CB131" s="22">
        <f t="shared" si="64"/>
        <v>1.978932943548152E-12</v>
      </c>
      <c r="CC131" s="62">
        <f t="shared" si="65"/>
        <v>293.3333333333353</v>
      </c>
      <c r="CD131" s="62">
        <f ca="1">AVERAGE(OFFSET($CC$3,0,0,'Données projet'!$E$12+1,1))-AVERAGE(OFFSET($H$3,0,0,'Données projet'!$E$12+1,1))</f>
        <v>222.32495275055498</v>
      </c>
      <c r="CE131" s="62">
        <f t="shared" si="94"/>
        <v>156.39259018918381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6.1075138574527198E-2</v>
      </c>
      <c r="CM131" s="23">
        <f>EXP(-LN(2)/2)*CM130+(1-EXP(-LN(2)/2))/(LN(2)/2)*CG131*CJ131*VLOOKUP('Données projet'!$B$12,Paramètres!$A$1:$I$89,3,0)*0.475*44/12</f>
        <v>1.8886778500814166E-14</v>
      </c>
      <c r="CN131" s="24">
        <f t="shared" si="66"/>
        <v>6.1075138574546085E-2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104.64479999999995</v>
      </c>
      <c r="D132" s="12">
        <f t="shared" si="86"/>
        <v>28.065616234626216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1024.4312832146582</v>
      </c>
      <c r="H132" s="70">
        <f t="shared" ref="H132:H195" si="110">(B132+E132+F132)*44/12+(C132+D132)*0.475*44/12</f>
        <v>487.80397494197393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-3.4106051316484809E-13</v>
      </c>
      <c r="O132" s="14">
        <f>N132*VLOOKUP('Données projet'!$B$9,Paramètres!$A$1:$I$89,3,0)*VLOOKUP('Données projet'!$B$9,Paramètres!$A$1:$I$89,5,0)</f>
        <v>-1.5961632016114892E-13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273.21086764807194</v>
      </c>
      <c r="T132" s="62">
        <f t="shared" si="88"/>
        <v>259.3474218586631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-1.1368683772161603E-13</v>
      </c>
      <c r="AJ132" s="14">
        <f>AI132*VLOOKUP('Données projet'!$B$10,Paramètres!$A$1:$I$89,3,0)*VLOOKUP('Données projet'!$B$10,Paramètres!$A$1:$I$89,5,0)</f>
        <v>-9.9316821433603781E-14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121.79484266530449</v>
      </c>
      <c r="AO132" s="62">
        <f t="shared" si="90"/>
        <v>129.14577359424788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0.18345581890301849</v>
      </c>
      <c r="AW132" s="23">
        <f>EXP(-LN(2)/2)*AW131+(1-EXP(-LN(2)/2))/(LN(2)/2)*AQ132*AT132*VLOOKUP('Données projet'!$B$10,Paramètres!$A$1:$I$89,3,0)*0.475*44/12</f>
        <v>4.4945824378691985E-15</v>
      </c>
      <c r="AX132" s="23">
        <f t="shared" ref="AX132:AX153" si="114">SUM(AU132:AW132)</f>
        <v>0.18345581890302298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-5.6843418860808015E-14</v>
      </c>
      <c r="BE132" s="14">
        <f>BD132*VLOOKUP('Données projet'!$B$11,Paramètres!$A$1:$I$89,3,0)*VLOOKUP('Données projet'!$B$11,Paramètres!$A$1:$I$89,5,0)</f>
        <v>-5.7639226724859328E-14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201.65575435598231</v>
      </c>
      <c r="BJ132" s="62">
        <f t="shared" si="92"/>
        <v>103.75701796419935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1.1368683772161603E-13</v>
      </c>
      <c r="BZ132" s="14">
        <f>BY132*VLOOKUP('Données projet'!$B$12,Paramètres!$A$1:$I$89,3,0)*VLOOKUP('Données projet'!$B$12,Paramètres!$A$1:$I$89,5,0)</f>
        <v>6.7984728957526396E-14</v>
      </c>
      <c r="CA132" s="14">
        <f t="shared" si="93"/>
        <v>1.0682447123141398E-12</v>
      </c>
      <c r="CB132" s="22">
        <f t="shared" ref="CB132:CB153" si="118">(BZ132+CA132)*0.475*44/12</f>
        <v>1.978932943548152E-12</v>
      </c>
      <c r="CC132" s="62">
        <f t="shared" ref="CC132:CC195" si="119">CB132+(BT132+BU132)*44/12</f>
        <v>293.3333333333353</v>
      </c>
      <c r="CD132" s="62">
        <f ca="1">AVERAGE(OFFSET($CC$3,0,0,'Données projet'!$E$12+1,1))-AVERAGE(OFFSET($H$3,0,0,'Données projet'!$E$12+1,1))</f>
        <v>222.32495275055498</v>
      </c>
      <c r="CE132" s="62">
        <f t="shared" si="94"/>
        <v>156.39259018918381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5.9405035698404801E-2</v>
      </c>
      <c r="CM132" s="23">
        <f>EXP(-LN(2)/2)*CM131+(1-EXP(-LN(2)/2))/(LN(2)/2)*CG132*CJ132*VLOOKUP('Données projet'!$B$12,Paramètres!$A$1:$I$89,3,0)*0.475*44/12</f>
        <v>1.3354969152693993E-14</v>
      </c>
      <c r="CN132" s="24">
        <f t="shared" ref="CN132:CN153" si="120">SUM(CK132:CM132)</f>
        <v>5.9405035698418159E-2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105.45599999999995</v>
      </c>
      <c r="D133" s="12">
        <f t="shared" ref="D133:D196" si="140">IFERROR(EXP(-1.0587+0.8836*LN(C133)+0.284),0)</f>
        <v>28.257768345963548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1032.1764574074375</v>
      </c>
      <c r="H133" s="70">
        <f t="shared" si="110"/>
        <v>489.55147986921975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-3.4106051316484809E-13</v>
      </c>
      <c r="O133" s="14">
        <f>N133*VLOOKUP('Données projet'!$B$9,Paramètres!$A$1:$I$89,3,0)*VLOOKUP('Données projet'!$B$9,Paramètres!$A$1:$I$89,5,0)</f>
        <v>-1.5961632016114892E-13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273.21086764807194</v>
      </c>
      <c r="T133" s="62">
        <f t="shared" ref="T133:T196" si="142">$T$3</f>
        <v>259.3474218586631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-1.1368683772161603E-13</v>
      </c>
      <c r="AJ133" s="14">
        <f>AI133*VLOOKUP('Données projet'!$B$10,Paramètres!$A$1:$I$89,3,0)*VLOOKUP('Données projet'!$B$10,Paramètres!$A$1:$I$89,5,0)</f>
        <v>-9.9316821433603781E-14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121.79484266530449</v>
      </c>
      <c r="AO133" s="62">
        <f t="shared" ref="AO133:AO196" si="144">$AO$3</f>
        <v>129.14577359424788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0.17843920988759324</v>
      </c>
      <c r="AW133" s="23">
        <f>EXP(-LN(2)/2)*AW132+(1-EXP(-LN(2)/2))/(LN(2)/2)*AQ133*AT133*VLOOKUP('Données projet'!$B$10,Paramètres!$A$1:$I$89,3,0)*0.475*44/12</f>
        <v>3.1781497204192747E-15</v>
      </c>
      <c r="AX133" s="23">
        <f t="shared" si="114"/>
        <v>0.17843920988759643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-5.6843418860808015E-14</v>
      </c>
      <c r="BE133" s="14">
        <f>BD133*VLOOKUP('Données projet'!$B$11,Paramètres!$A$1:$I$89,3,0)*VLOOKUP('Données projet'!$B$11,Paramètres!$A$1:$I$89,5,0)</f>
        <v>-5.7639226724859328E-14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201.65575435598231</v>
      </c>
      <c r="BJ133" s="62">
        <f t="shared" ref="BJ133:BJ196" si="146">$BJ$3</f>
        <v>103.75701796419935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1.1368683772161603E-13</v>
      </c>
      <c r="BZ133" s="14">
        <f>BY133*VLOOKUP('Données projet'!$B$12,Paramètres!$A$1:$I$89,3,0)*VLOOKUP('Données projet'!$B$12,Paramètres!$A$1:$I$89,5,0)</f>
        <v>6.7984728957526396E-14</v>
      </c>
      <c r="CA133" s="14">
        <f t="shared" ref="CA133:CA153" si="147">EXP(-1.0587+0.8836*LN(BZ133)+0.284)</f>
        <v>1.0682447123141398E-12</v>
      </c>
      <c r="CB133" s="22">
        <f t="shared" si="118"/>
        <v>1.978932943548152E-12</v>
      </c>
      <c r="CC133" s="62">
        <f t="shared" si="119"/>
        <v>293.3333333333353</v>
      </c>
      <c r="CD133" s="62">
        <f ca="1">AVERAGE(OFFSET($CC$3,0,0,'Données projet'!$E$12+1,1))-AVERAGE(OFFSET($H$3,0,0,'Données projet'!$E$12+1,1))</f>
        <v>222.32495275055498</v>
      </c>
      <c r="CE133" s="62">
        <f t="shared" ref="CE133:CE196" si="148">$CE$3</f>
        <v>156.39259018918381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5.7780601873256864E-2</v>
      </c>
      <c r="CM133" s="23">
        <f>EXP(-LN(2)/2)*CM132+(1-EXP(-LN(2)/2))/(LN(2)/2)*CG133*CJ133*VLOOKUP('Données projet'!$B$12,Paramètres!$A$1:$I$89,3,0)*0.475*44/12</f>
        <v>9.4433892504070829E-15</v>
      </c>
      <c r="CN133" s="24">
        <f t="shared" si="120"/>
        <v>5.7780601873266307E-2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106.26719999999995</v>
      </c>
      <c r="D134" s="12">
        <f t="shared" si="140"/>
        <v>28.449748482465122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1039.9203040751688</v>
      </c>
      <c r="H134" s="70">
        <f t="shared" si="110"/>
        <v>491.29868527362663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-3.4106051316484809E-13</v>
      </c>
      <c r="O134" s="14">
        <f>N134*VLOOKUP('Données projet'!$B$9,Paramètres!$A$1:$I$89,3,0)*VLOOKUP('Données projet'!$B$9,Paramètres!$A$1:$I$89,5,0)</f>
        <v>-1.5961632016114892E-13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273.21086764807194</v>
      </c>
      <c r="T134" s="62">
        <f t="shared" si="142"/>
        <v>259.3474218586631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-1.1368683772161603E-13</v>
      </c>
      <c r="AJ134" s="14">
        <f>AI134*VLOOKUP('Données projet'!$B$10,Paramètres!$A$1:$I$89,3,0)*VLOOKUP('Données projet'!$B$10,Paramètres!$A$1:$I$89,5,0)</f>
        <v>-9.9316821433603781E-14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121.79484266530449</v>
      </c>
      <c r="AO134" s="62">
        <f t="shared" si="144"/>
        <v>129.14577359424788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0.17355978030950678</v>
      </c>
      <c r="AW134" s="23">
        <f>EXP(-LN(2)/2)*AW133+(1-EXP(-LN(2)/2))/(LN(2)/2)*AQ134*AT134*VLOOKUP('Données projet'!$B$10,Paramètres!$A$1:$I$89,3,0)*0.475*44/12</f>
        <v>2.2472912189345992E-15</v>
      </c>
      <c r="AX134" s="23">
        <f t="shared" si="114"/>
        <v>0.17355978030950903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-5.6843418860808015E-14</v>
      </c>
      <c r="BE134" s="14">
        <f>BD134*VLOOKUP('Données projet'!$B$11,Paramètres!$A$1:$I$89,3,0)*VLOOKUP('Données projet'!$B$11,Paramètres!$A$1:$I$89,5,0)</f>
        <v>-5.7639226724859328E-14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201.65575435598231</v>
      </c>
      <c r="BJ134" s="62">
        <f t="shared" si="146"/>
        <v>103.75701796419935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1.1368683772161603E-13</v>
      </c>
      <c r="BZ134" s="14">
        <f>BY134*VLOOKUP('Données projet'!$B$12,Paramètres!$A$1:$I$89,3,0)*VLOOKUP('Données projet'!$B$12,Paramètres!$A$1:$I$89,5,0)</f>
        <v>6.7984728957526396E-14</v>
      </c>
      <c r="CA134" s="14">
        <f t="shared" si="147"/>
        <v>1.0682447123141398E-12</v>
      </c>
      <c r="CB134" s="22">
        <f t="shared" si="118"/>
        <v>1.978932943548152E-12</v>
      </c>
      <c r="CC134" s="62">
        <f t="shared" si="119"/>
        <v>293.3333333333353</v>
      </c>
      <c r="CD134" s="62">
        <f ca="1">AVERAGE(OFFSET($CC$3,0,0,'Données projet'!$E$12+1,1))-AVERAGE(OFFSET($H$3,0,0,'Données projet'!$E$12+1,1))</f>
        <v>222.32495275055498</v>
      </c>
      <c r="CE134" s="62">
        <f t="shared" si="148"/>
        <v>156.39259018918381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5.620058827648286E-2</v>
      </c>
      <c r="CM134" s="23">
        <f>EXP(-LN(2)/2)*CM133+(1-EXP(-LN(2)/2))/(LN(2)/2)*CG134*CJ134*VLOOKUP('Données projet'!$B$12,Paramètres!$A$1:$I$89,3,0)*0.475*44/12</f>
        <v>6.6774845763469963E-15</v>
      </c>
      <c r="CN134" s="24">
        <f t="shared" si="120"/>
        <v>5.6200588276489535E-2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107.07839999999995</v>
      </c>
      <c r="D135" s="12">
        <f t="shared" si="140"/>
        <v>28.64155810910178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1047.6628345263991</v>
      </c>
      <c r="H135" s="70">
        <f t="shared" si="110"/>
        <v>493.04559370668551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-3.4106051316484809E-13</v>
      </c>
      <c r="O135" s="14">
        <f>N135*VLOOKUP('Données projet'!$B$9,Paramètres!$A$1:$I$89,3,0)*VLOOKUP('Données projet'!$B$9,Paramètres!$A$1:$I$89,5,0)</f>
        <v>-1.5961632016114892E-13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273.21086764807194</v>
      </c>
      <c r="T135" s="62">
        <f t="shared" si="142"/>
        <v>259.3474218586631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-1.1368683772161603E-13</v>
      </c>
      <c r="AJ135" s="14">
        <f>AI135*VLOOKUP('Données projet'!$B$10,Paramètres!$A$1:$I$89,3,0)*VLOOKUP('Données projet'!$B$10,Paramètres!$A$1:$I$89,5,0)</f>
        <v>-9.9316821433603781E-14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121.79484266530449</v>
      </c>
      <c r="AO135" s="62">
        <f t="shared" si="144"/>
        <v>129.14577359424788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0.16881377898983113</v>
      </c>
      <c r="AW135" s="23">
        <f>EXP(-LN(2)/2)*AW134+(1-EXP(-LN(2)/2))/(LN(2)/2)*AQ135*AT135*VLOOKUP('Données projet'!$B$10,Paramètres!$A$1:$I$89,3,0)*0.475*44/12</f>
        <v>1.5890748602096373E-15</v>
      </c>
      <c r="AX135" s="23">
        <f t="shared" si="114"/>
        <v>0.16881377898983271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-5.6843418860808015E-14</v>
      </c>
      <c r="BE135" s="14">
        <f>BD135*VLOOKUP('Données projet'!$B$11,Paramètres!$A$1:$I$89,3,0)*VLOOKUP('Données projet'!$B$11,Paramètres!$A$1:$I$89,5,0)</f>
        <v>-5.7639226724859328E-14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201.65575435598231</v>
      </c>
      <c r="BJ135" s="62">
        <f t="shared" si="146"/>
        <v>103.75701796419935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1.1368683772161603E-13</v>
      </c>
      <c r="BZ135" s="14">
        <f>BY135*VLOOKUP('Données projet'!$B$12,Paramètres!$A$1:$I$89,3,0)*VLOOKUP('Données projet'!$B$12,Paramètres!$A$1:$I$89,5,0)</f>
        <v>6.7984728957526396E-14</v>
      </c>
      <c r="CA135" s="14">
        <f t="shared" si="147"/>
        <v>1.0682447123141398E-12</v>
      </c>
      <c r="CB135" s="22">
        <f t="shared" si="118"/>
        <v>1.978932943548152E-12</v>
      </c>
      <c r="CC135" s="62">
        <f t="shared" si="119"/>
        <v>293.3333333333353</v>
      </c>
      <c r="CD135" s="62">
        <f ca="1">AVERAGE(OFFSET($CC$3,0,0,'Données projet'!$E$12+1,1))-AVERAGE(OFFSET($H$3,0,0,'Données projet'!$E$12+1,1))</f>
        <v>222.32495275055498</v>
      </c>
      <c r="CE135" s="62">
        <f t="shared" si="148"/>
        <v>156.39259018918381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5.4663780234601944E-2</v>
      </c>
      <c r="CM135" s="23">
        <f>EXP(-LN(2)/2)*CM134+(1-EXP(-LN(2)/2))/(LN(2)/2)*CG135*CJ135*VLOOKUP('Données projet'!$B$12,Paramètres!$A$1:$I$89,3,0)*0.475*44/12</f>
        <v>4.7216946252035415E-15</v>
      </c>
      <c r="CN135" s="24">
        <f t="shared" si="120"/>
        <v>5.4663780234606663E-2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107.88959999999994</v>
      </c>
      <c r="D136" s="12">
        <f t="shared" si="140"/>
        <v>28.833198667365593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1055.4040598884358</v>
      </c>
      <c r="H136" s="70">
        <f t="shared" si="110"/>
        <v>494.792207678995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-3.4106051316484809E-13</v>
      </c>
      <c r="O136" s="14">
        <f>N136*VLOOKUP('Données projet'!$B$9,Paramètres!$A$1:$I$89,3,0)*VLOOKUP('Données projet'!$B$9,Paramètres!$A$1:$I$89,5,0)</f>
        <v>-1.5961632016114892E-13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273.21086764807194</v>
      </c>
      <c r="T136" s="62">
        <f t="shared" si="142"/>
        <v>259.3474218586631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-1.1368683772161603E-13</v>
      </c>
      <c r="AJ136" s="14">
        <f>AI136*VLOOKUP('Données projet'!$B$10,Paramètres!$A$1:$I$89,3,0)*VLOOKUP('Données projet'!$B$10,Paramètres!$A$1:$I$89,5,0)</f>
        <v>-9.9316821433603781E-14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121.79484266530449</v>
      </c>
      <c r="AO136" s="62">
        <f t="shared" si="144"/>
        <v>129.14577359424788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0.16419755732582339</v>
      </c>
      <c r="AW136" s="23">
        <f>EXP(-LN(2)/2)*AW135+(1-EXP(-LN(2)/2))/(LN(2)/2)*AQ136*AT136*VLOOKUP('Données projet'!$B$10,Paramètres!$A$1:$I$89,3,0)*0.475*44/12</f>
        <v>1.1236456094672996E-15</v>
      </c>
      <c r="AX136" s="23">
        <f t="shared" si="114"/>
        <v>0.1641975573258245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-5.6843418860808015E-14</v>
      </c>
      <c r="BE136" s="14">
        <f>BD136*VLOOKUP('Données projet'!$B$11,Paramètres!$A$1:$I$89,3,0)*VLOOKUP('Données projet'!$B$11,Paramètres!$A$1:$I$89,5,0)</f>
        <v>-5.7639226724859328E-14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201.65575435598231</v>
      </c>
      <c r="BJ136" s="62">
        <f t="shared" si="146"/>
        <v>103.75701796419935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1.1368683772161603E-13</v>
      </c>
      <c r="BZ136" s="14">
        <f>BY136*VLOOKUP('Données projet'!$B$12,Paramètres!$A$1:$I$89,3,0)*VLOOKUP('Données projet'!$B$12,Paramètres!$A$1:$I$89,5,0)</f>
        <v>6.7984728957526396E-14</v>
      </c>
      <c r="CA136" s="14">
        <f t="shared" si="147"/>
        <v>1.0682447123141398E-12</v>
      </c>
      <c r="CB136" s="22">
        <f t="shared" si="118"/>
        <v>1.978932943548152E-12</v>
      </c>
      <c r="CC136" s="62">
        <f t="shared" si="119"/>
        <v>293.3333333333353</v>
      </c>
      <c r="CD136" s="62">
        <f ca="1">AVERAGE(OFFSET($CC$3,0,0,'Données projet'!$E$12+1,1))-AVERAGE(OFFSET($H$3,0,0,'Données projet'!$E$12+1,1))</f>
        <v>222.32495275055498</v>
      </c>
      <c r="CE136" s="62">
        <f t="shared" si="148"/>
        <v>156.39259018918381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5.3168996289443486E-2</v>
      </c>
      <c r="CM136" s="23">
        <f>EXP(-LN(2)/2)*CM135+(1-EXP(-LN(2)/2))/(LN(2)/2)*CG136*CJ136*VLOOKUP('Données projet'!$B$12,Paramètres!$A$1:$I$89,3,0)*0.475*44/12</f>
        <v>3.3387422881734982E-15</v>
      </c>
      <c r="CN136" s="24">
        <f t="shared" si="120"/>
        <v>5.3168996289446824E-2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108.70079999999994</v>
      </c>
      <c r="D137" s="12">
        <f t="shared" si="140"/>
        <v>29.024671575819966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1063.1439911115924</v>
      </c>
      <c r="H137" s="70">
        <f t="shared" si="110"/>
        <v>496.53852966121974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-3.4106051316484809E-13</v>
      </c>
      <c r="O137" s="14">
        <f>N137*VLOOKUP('Données projet'!$B$9,Paramètres!$A$1:$I$89,3,0)*VLOOKUP('Données projet'!$B$9,Paramètres!$A$1:$I$89,5,0)</f>
        <v>-1.5961632016114892E-13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273.21086764807194</v>
      </c>
      <c r="T137" s="62">
        <f t="shared" si="142"/>
        <v>259.3474218586631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-1.1368683772161603E-13</v>
      </c>
      <c r="AJ137" s="14">
        <f>AI137*VLOOKUP('Données projet'!$B$10,Paramètres!$A$1:$I$89,3,0)*VLOOKUP('Données projet'!$B$10,Paramètres!$A$1:$I$89,5,0)</f>
        <v>-9.9316821433603781E-14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121.79484266530449</v>
      </c>
      <c r="AO137" s="62">
        <f t="shared" si="144"/>
        <v>129.14577359424788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0.15970756648597448</v>
      </c>
      <c r="AW137" s="23">
        <f>EXP(-LN(2)/2)*AW136+(1-EXP(-LN(2)/2))/(LN(2)/2)*AQ137*AT137*VLOOKUP('Données projet'!$B$10,Paramètres!$A$1:$I$89,3,0)*0.475*44/12</f>
        <v>7.9453743010481867E-16</v>
      </c>
      <c r="AX137" s="23">
        <f t="shared" si="114"/>
        <v>0.15970756648597528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-5.6843418860808015E-14</v>
      </c>
      <c r="BE137" s="14">
        <f>BD137*VLOOKUP('Données projet'!$B$11,Paramètres!$A$1:$I$89,3,0)*VLOOKUP('Données projet'!$B$11,Paramètres!$A$1:$I$89,5,0)</f>
        <v>-5.7639226724859328E-14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201.65575435598231</v>
      </c>
      <c r="BJ137" s="62">
        <f t="shared" si="146"/>
        <v>103.75701796419935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1.1368683772161603E-13</v>
      </c>
      <c r="BZ137" s="14">
        <f>BY137*VLOOKUP('Données projet'!$B$12,Paramètres!$A$1:$I$89,3,0)*VLOOKUP('Données projet'!$B$12,Paramètres!$A$1:$I$89,5,0)</f>
        <v>6.7984728957526396E-14</v>
      </c>
      <c r="CA137" s="14">
        <f t="shared" si="147"/>
        <v>1.0682447123141398E-12</v>
      </c>
      <c r="CB137" s="22">
        <f t="shared" si="118"/>
        <v>1.978932943548152E-12</v>
      </c>
      <c r="CC137" s="62">
        <f t="shared" si="119"/>
        <v>293.3333333333353</v>
      </c>
      <c r="CD137" s="62">
        <f ca="1">AVERAGE(OFFSET($CC$3,0,0,'Données projet'!$E$12+1,1))-AVERAGE(OFFSET($H$3,0,0,'Données projet'!$E$12+1,1))</f>
        <v>222.32495275055498</v>
      </c>
      <c r="CE137" s="62">
        <f t="shared" si="148"/>
        <v>156.39259018918381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5.171508728987266E-2</v>
      </c>
      <c r="CM137" s="23">
        <f>EXP(-LN(2)/2)*CM136+(1-EXP(-LN(2)/2))/(LN(2)/2)*CG137*CJ137*VLOOKUP('Données projet'!$B$12,Paramètres!$A$1:$I$89,3,0)*0.475*44/12</f>
        <v>2.3608473126017707E-15</v>
      </c>
      <c r="CN137" s="24">
        <f t="shared" si="120"/>
        <v>5.171508728987502E-2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109.51199999999994</v>
      </c>
      <c r="D138" s="12">
        <f t="shared" si="140"/>
        <v>29.21597823063253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1070.8826389733031</v>
      </c>
      <c r="H138" s="70">
        <f t="shared" si="110"/>
        <v>498.28456208501819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-3.4106051316484809E-13</v>
      </c>
      <c r="O138" s="14">
        <f>N138*VLOOKUP('Données projet'!$B$9,Paramètres!$A$1:$I$89,3,0)*VLOOKUP('Données projet'!$B$9,Paramètres!$A$1:$I$89,5,0)</f>
        <v>-1.5961632016114892E-13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273.21086764807194</v>
      </c>
      <c r="T138" s="62">
        <f t="shared" si="142"/>
        <v>259.3474218586631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-1.1368683772161603E-13</v>
      </c>
      <c r="AJ138" s="14">
        <f>AI138*VLOOKUP('Données projet'!$B$10,Paramètres!$A$1:$I$89,3,0)*VLOOKUP('Données projet'!$B$10,Paramètres!$A$1:$I$89,5,0)</f>
        <v>-9.9316821433603781E-14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121.79484266530449</v>
      </c>
      <c r="AO138" s="62">
        <f t="shared" si="144"/>
        <v>129.14577359424788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0.15534035468175961</v>
      </c>
      <c r="AW138" s="23">
        <f>EXP(-LN(2)/2)*AW137+(1-EXP(-LN(2)/2))/(LN(2)/2)*AQ138*AT138*VLOOKUP('Données projet'!$B$10,Paramètres!$A$1:$I$89,3,0)*0.475*44/12</f>
        <v>5.6182280473364981E-16</v>
      </c>
      <c r="AX138" s="23">
        <f t="shared" si="114"/>
        <v>0.15534035468176016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-5.6843418860808015E-14</v>
      </c>
      <c r="BE138" s="14">
        <f>BD138*VLOOKUP('Données projet'!$B$11,Paramètres!$A$1:$I$89,3,0)*VLOOKUP('Données projet'!$B$11,Paramètres!$A$1:$I$89,5,0)</f>
        <v>-5.7639226724859328E-14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201.65575435598231</v>
      </c>
      <c r="BJ138" s="62">
        <f t="shared" si="146"/>
        <v>103.75701796419935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1.1368683772161603E-13</v>
      </c>
      <c r="BZ138" s="14">
        <f>BY138*VLOOKUP('Données projet'!$B$12,Paramètres!$A$1:$I$89,3,0)*VLOOKUP('Données projet'!$B$12,Paramètres!$A$1:$I$89,5,0)</f>
        <v>6.7984728957526396E-14</v>
      </c>
      <c r="CA138" s="14">
        <f t="shared" si="147"/>
        <v>1.0682447123141398E-12</v>
      </c>
      <c r="CB138" s="22">
        <f t="shared" si="118"/>
        <v>1.978932943548152E-12</v>
      </c>
      <c r="CC138" s="62">
        <f t="shared" si="119"/>
        <v>293.3333333333353</v>
      </c>
      <c r="CD138" s="62">
        <f ca="1">AVERAGE(OFFSET($CC$3,0,0,'Données projet'!$E$12+1,1))-AVERAGE(OFFSET($H$3,0,0,'Données projet'!$E$12+1,1))</f>
        <v>222.32495275055498</v>
      </c>
      <c r="CE138" s="62">
        <f t="shared" si="148"/>
        <v>156.39259018918381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5.0300935508352851E-2</v>
      </c>
      <c r="CM138" s="23">
        <f>EXP(-LN(2)/2)*CM137+(1-EXP(-LN(2)/2))/(LN(2)/2)*CG138*CJ138*VLOOKUP('Données projet'!$B$12,Paramètres!$A$1:$I$89,3,0)*0.475*44/12</f>
        <v>1.6693711440867491E-15</v>
      </c>
      <c r="CN138" s="24">
        <f t="shared" si="120"/>
        <v>5.0300935508354523E-2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110.32319999999994</v>
      </c>
      <c r="D139" s="12">
        <f t="shared" si="140"/>
        <v>29.407120006092001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1078.6200140821131</v>
      </c>
      <c r="H139" s="70">
        <f t="shared" si="110"/>
        <v>500.03030734394349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-3.4106051316484809E-13</v>
      </c>
      <c r="O139" s="14">
        <f>N139*VLOOKUP('Données projet'!$B$9,Paramètres!$A$1:$I$89,3,0)*VLOOKUP('Données projet'!$B$9,Paramètres!$A$1:$I$89,5,0)</f>
        <v>-1.5961632016114892E-13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273.21086764807194</v>
      </c>
      <c r="T139" s="62">
        <f t="shared" si="142"/>
        <v>259.3474218586631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-1.1368683772161603E-13</v>
      </c>
      <c r="AJ139" s="14">
        <f>AI139*VLOOKUP('Données projet'!$B$10,Paramètres!$A$1:$I$89,3,0)*VLOOKUP('Données projet'!$B$10,Paramètres!$A$1:$I$89,5,0)</f>
        <v>-9.9316821433603781E-14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121.79484266530449</v>
      </c>
      <c r="AO139" s="62">
        <f t="shared" si="144"/>
        <v>129.14577359424788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0.15109256451399267</v>
      </c>
      <c r="AW139" s="23">
        <f>EXP(-LN(2)/2)*AW138+(1-EXP(-LN(2)/2))/(LN(2)/2)*AQ139*AT139*VLOOKUP('Données projet'!$B$10,Paramètres!$A$1:$I$89,3,0)*0.475*44/12</f>
        <v>3.9726871505240933E-16</v>
      </c>
      <c r="AX139" s="23">
        <f t="shared" si="114"/>
        <v>0.15109256451399306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-5.6843418860808015E-14</v>
      </c>
      <c r="BE139" s="14">
        <f>BD139*VLOOKUP('Données projet'!$B$11,Paramètres!$A$1:$I$89,3,0)*VLOOKUP('Données projet'!$B$11,Paramètres!$A$1:$I$89,5,0)</f>
        <v>-5.7639226724859328E-14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201.65575435598231</v>
      </c>
      <c r="BJ139" s="62">
        <f t="shared" si="146"/>
        <v>103.75701796419935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1.1368683772161603E-13</v>
      </c>
      <c r="BZ139" s="14">
        <f>BY139*VLOOKUP('Données projet'!$B$12,Paramètres!$A$1:$I$89,3,0)*VLOOKUP('Données projet'!$B$12,Paramètres!$A$1:$I$89,5,0)</f>
        <v>6.7984728957526396E-14</v>
      </c>
      <c r="CA139" s="14">
        <f t="shared" si="147"/>
        <v>1.0682447123141398E-12</v>
      </c>
      <c r="CB139" s="22">
        <f t="shared" si="118"/>
        <v>1.978932943548152E-12</v>
      </c>
      <c r="CC139" s="62">
        <f t="shared" si="119"/>
        <v>293.3333333333353</v>
      </c>
      <c r="CD139" s="62">
        <f ca="1">AVERAGE(OFFSET($CC$3,0,0,'Données projet'!$E$12+1,1))-AVERAGE(OFFSET($H$3,0,0,'Données projet'!$E$12+1,1))</f>
        <v>222.32495275055498</v>
      </c>
      <c r="CE139" s="62">
        <f t="shared" si="148"/>
        <v>156.39259018918381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4.8925453781665705E-2</v>
      </c>
      <c r="CM139" s="23">
        <f>EXP(-LN(2)/2)*CM138+(1-EXP(-LN(2)/2))/(LN(2)/2)*CG139*CJ139*VLOOKUP('Données projet'!$B$12,Paramètres!$A$1:$I$89,3,0)*0.475*44/12</f>
        <v>1.1804236563008854E-15</v>
      </c>
      <c r="CN139" s="24">
        <f t="shared" si="120"/>
        <v>4.8925453781666885E-2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111.13439999999994</v>
      </c>
      <c r="D140" s="12">
        <f t="shared" si="140"/>
        <v>29.59809825510931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1086.3561268815452</v>
      </c>
      <c r="H140" s="70">
        <f t="shared" si="110"/>
        <v>501.7757677943153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-3.4106051316484809E-13</v>
      </c>
      <c r="O140" s="14">
        <f>N140*VLOOKUP('Données projet'!$B$9,Paramètres!$A$1:$I$89,3,0)*VLOOKUP('Données projet'!$B$9,Paramètres!$A$1:$I$89,5,0)</f>
        <v>-1.5961632016114892E-13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273.21086764807194</v>
      </c>
      <c r="T140" s="62">
        <f t="shared" si="142"/>
        <v>259.3474218586631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-1.1368683772161603E-13</v>
      </c>
      <c r="AJ140" s="14">
        <f>AI140*VLOOKUP('Données projet'!$B$10,Paramètres!$A$1:$I$89,3,0)*VLOOKUP('Données projet'!$B$10,Paramètres!$A$1:$I$89,5,0)</f>
        <v>-9.9316821433603781E-14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121.79484266530449</v>
      </c>
      <c r="AO140" s="62">
        <f t="shared" si="144"/>
        <v>129.14577359424788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0.1469609303917449</v>
      </c>
      <c r="AW140" s="23">
        <f>EXP(-LN(2)/2)*AW139+(1-EXP(-LN(2)/2))/(LN(2)/2)*AQ140*AT140*VLOOKUP('Données projet'!$B$10,Paramètres!$A$1:$I$89,3,0)*0.475*44/12</f>
        <v>2.809114023668249E-16</v>
      </c>
      <c r="AX140" s="23">
        <f t="shared" si="114"/>
        <v>0.14696093039174518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-5.6843418860808015E-14</v>
      </c>
      <c r="BE140" s="14">
        <f>BD140*VLOOKUP('Données projet'!$B$11,Paramètres!$A$1:$I$89,3,0)*VLOOKUP('Données projet'!$B$11,Paramètres!$A$1:$I$89,5,0)</f>
        <v>-5.7639226724859328E-14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201.65575435598231</v>
      </c>
      <c r="BJ140" s="62">
        <f t="shared" si="146"/>
        <v>103.75701796419935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1.1368683772161603E-13</v>
      </c>
      <c r="BZ140" s="14">
        <f>BY140*VLOOKUP('Données projet'!$B$12,Paramètres!$A$1:$I$89,3,0)*VLOOKUP('Données projet'!$B$12,Paramètres!$A$1:$I$89,5,0)</f>
        <v>6.7984728957526396E-14</v>
      </c>
      <c r="CA140" s="14">
        <f t="shared" si="147"/>
        <v>1.0682447123141398E-12</v>
      </c>
      <c r="CB140" s="22">
        <f t="shared" si="118"/>
        <v>1.978932943548152E-12</v>
      </c>
      <c r="CC140" s="62">
        <f t="shared" si="119"/>
        <v>293.3333333333353</v>
      </c>
      <c r="CD140" s="62">
        <f ca="1">AVERAGE(OFFSET($CC$3,0,0,'Données projet'!$E$12+1,1))-AVERAGE(OFFSET($H$3,0,0,'Données projet'!$E$12+1,1))</f>
        <v>222.32495275055498</v>
      </c>
      <c r="CE140" s="62">
        <f t="shared" si="148"/>
        <v>156.39259018918381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4.7587584675128261E-2</v>
      </c>
      <c r="CM140" s="23">
        <f>EXP(-LN(2)/2)*CM139+(1-EXP(-LN(2)/2))/(LN(2)/2)*CG140*CJ140*VLOOKUP('Données projet'!$B$12,Paramètres!$A$1:$I$89,3,0)*0.475*44/12</f>
        <v>8.3468557204337454E-16</v>
      </c>
      <c r="CN140" s="24">
        <f t="shared" si="120"/>
        <v>4.7587584675129094E-2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111.94559999999994</v>
      </c>
      <c r="D141" s="12">
        <f t="shared" si="140"/>
        <v>29.788914309703735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1094.0909876538531</v>
      </c>
      <c r="H141" s="70">
        <f t="shared" si="110"/>
        <v>503.52094575606725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-3.4106051316484809E-13</v>
      </c>
      <c r="O141" s="14">
        <f>N141*VLOOKUP('Données projet'!$B$9,Paramètres!$A$1:$I$89,3,0)*VLOOKUP('Données projet'!$B$9,Paramètres!$A$1:$I$89,5,0)</f>
        <v>-1.5961632016114892E-13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273.21086764807194</v>
      </c>
      <c r="T141" s="62">
        <f t="shared" si="142"/>
        <v>259.3474218586631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-1.1368683772161603E-13</v>
      </c>
      <c r="AJ141" s="14">
        <f>AI141*VLOOKUP('Données projet'!$B$10,Paramètres!$A$1:$I$89,3,0)*VLOOKUP('Données projet'!$B$10,Paramètres!$A$1:$I$89,5,0)</f>
        <v>-9.9316821433603781E-14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121.79484266530449</v>
      </c>
      <c r="AO141" s="62">
        <f t="shared" si="144"/>
        <v>129.14577359424788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0.1429422760218432</v>
      </c>
      <c r="AW141" s="23">
        <f>EXP(-LN(2)/2)*AW140+(1-EXP(-LN(2)/2))/(LN(2)/2)*AQ141*AT141*VLOOKUP('Données projet'!$B$10,Paramètres!$A$1:$I$89,3,0)*0.475*44/12</f>
        <v>1.9863435752620467E-16</v>
      </c>
      <c r="AX141" s="23">
        <f t="shared" si="114"/>
        <v>0.1429422760218434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-5.6843418860808015E-14</v>
      </c>
      <c r="BE141" s="14">
        <f>BD141*VLOOKUP('Données projet'!$B$11,Paramètres!$A$1:$I$89,3,0)*VLOOKUP('Données projet'!$B$11,Paramètres!$A$1:$I$89,5,0)</f>
        <v>-5.7639226724859328E-14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201.65575435598231</v>
      </c>
      <c r="BJ141" s="62">
        <f t="shared" si="146"/>
        <v>103.75701796419935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1.1368683772161603E-13</v>
      </c>
      <c r="BZ141" s="14">
        <f>BY141*VLOOKUP('Données projet'!$B$12,Paramètres!$A$1:$I$89,3,0)*VLOOKUP('Données projet'!$B$12,Paramètres!$A$1:$I$89,5,0)</f>
        <v>6.7984728957526396E-14</v>
      </c>
      <c r="CA141" s="14">
        <f t="shared" si="147"/>
        <v>1.0682447123141398E-12</v>
      </c>
      <c r="CB141" s="22">
        <f t="shared" si="118"/>
        <v>1.978932943548152E-12</v>
      </c>
      <c r="CC141" s="62">
        <f t="shared" si="119"/>
        <v>293.3333333333353</v>
      </c>
      <c r="CD141" s="62">
        <f ca="1">AVERAGE(OFFSET($CC$3,0,0,'Données projet'!$E$12+1,1))-AVERAGE(OFFSET($H$3,0,0,'Données projet'!$E$12+1,1))</f>
        <v>222.32495275055498</v>
      </c>
      <c r="CE141" s="62">
        <f t="shared" si="148"/>
        <v>156.39259018918381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4.6286299669664563E-2</v>
      </c>
      <c r="CM141" s="23">
        <f>EXP(-LN(2)/2)*CM140+(1-EXP(-LN(2)/2))/(LN(2)/2)*CG141*CJ141*VLOOKUP('Données projet'!$B$12,Paramètres!$A$1:$I$89,3,0)*0.475*44/12</f>
        <v>5.9021182815044268E-16</v>
      </c>
      <c r="CN141" s="24">
        <f t="shared" si="120"/>
        <v>4.6286299669665153E-2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112.75679999999994</v>
      </c>
      <c r="D142" s="12">
        <f t="shared" si="140"/>
        <v>29.979569481474449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1101.8246065236619</v>
      </c>
      <c r="H142" s="70">
        <f t="shared" si="110"/>
        <v>505.26584351356792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-3.4106051316484809E-13</v>
      </c>
      <c r="O142" s="14">
        <f>N142*VLOOKUP('Données projet'!$B$9,Paramètres!$A$1:$I$89,3,0)*VLOOKUP('Données projet'!$B$9,Paramètres!$A$1:$I$89,5,0)</f>
        <v>-1.5961632016114892E-13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273.21086764807194</v>
      </c>
      <c r="T142" s="62">
        <f t="shared" si="142"/>
        <v>259.3474218586631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-1.1368683772161603E-13</v>
      </c>
      <c r="AJ142" s="14">
        <f>AI142*VLOOKUP('Données projet'!$B$10,Paramètres!$A$1:$I$89,3,0)*VLOOKUP('Données projet'!$B$10,Paramètres!$A$1:$I$89,5,0)</f>
        <v>-9.9316821433603781E-14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121.79484266530449</v>
      </c>
      <c r="AO142" s="62">
        <f t="shared" si="144"/>
        <v>129.14577359424788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0.1390335119670183</v>
      </c>
      <c r="AW142" s="23">
        <f>EXP(-LN(2)/2)*AW141+(1-EXP(-LN(2)/2))/(LN(2)/2)*AQ142*AT142*VLOOKUP('Données projet'!$B$10,Paramètres!$A$1:$I$89,3,0)*0.475*44/12</f>
        <v>1.4045570118341245E-16</v>
      </c>
      <c r="AX142" s="23">
        <f t="shared" si="114"/>
        <v>0.13903351196701844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-5.6843418860808015E-14</v>
      </c>
      <c r="BE142" s="14">
        <f>BD142*VLOOKUP('Données projet'!$B$11,Paramètres!$A$1:$I$89,3,0)*VLOOKUP('Données projet'!$B$11,Paramètres!$A$1:$I$89,5,0)</f>
        <v>-5.7639226724859328E-14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201.65575435598231</v>
      </c>
      <c r="BJ142" s="62">
        <f t="shared" si="146"/>
        <v>103.75701796419935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1.1368683772161603E-13</v>
      </c>
      <c r="BZ142" s="14">
        <f>BY142*VLOOKUP('Données projet'!$B$12,Paramètres!$A$1:$I$89,3,0)*VLOOKUP('Données projet'!$B$12,Paramètres!$A$1:$I$89,5,0)</f>
        <v>6.7984728957526396E-14</v>
      </c>
      <c r="CA142" s="14">
        <f t="shared" si="147"/>
        <v>1.0682447123141398E-12</v>
      </c>
      <c r="CB142" s="22">
        <f t="shared" si="118"/>
        <v>1.978932943548152E-12</v>
      </c>
      <c r="CC142" s="62">
        <f t="shared" si="119"/>
        <v>293.3333333333353</v>
      </c>
      <c r="CD142" s="62">
        <f ca="1">AVERAGE(OFFSET($CC$3,0,0,'Données projet'!$E$12+1,1))-AVERAGE(OFFSET($H$3,0,0,'Données projet'!$E$12+1,1))</f>
        <v>222.32495275055498</v>
      </c>
      <c r="CE142" s="62">
        <f t="shared" si="148"/>
        <v>156.39259018918381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4.5020598371106876E-2</v>
      </c>
      <c r="CM142" s="23">
        <f>EXP(-LN(2)/2)*CM141+(1-EXP(-LN(2)/2))/(LN(2)/2)*CG142*CJ142*VLOOKUP('Données projet'!$B$12,Paramètres!$A$1:$I$89,3,0)*0.475*44/12</f>
        <v>4.1734278602168727E-16</v>
      </c>
      <c r="CN142" s="24">
        <f t="shared" si="120"/>
        <v>4.5020598371107293E-2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113.56799999999994</v>
      </c>
      <c r="D143" s="12">
        <f t="shared" si="140"/>
        <v>30.170065062058185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1109.5569934615014</v>
      </c>
      <c r="H143" s="70">
        <f t="shared" si="110"/>
        <v>507.01046331641794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-3.4106051316484809E-13</v>
      </c>
      <c r="O143" s="14">
        <f>N143*VLOOKUP('Données projet'!$B$9,Paramètres!$A$1:$I$89,3,0)*VLOOKUP('Données projet'!$B$9,Paramètres!$A$1:$I$89,5,0)</f>
        <v>-1.5961632016114892E-13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273.21086764807194</v>
      </c>
      <c r="T143" s="62">
        <f t="shared" si="142"/>
        <v>259.3474218586631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-1.1368683772161603E-13</v>
      </c>
      <c r="AJ143" s="14">
        <f>AI143*VLOOKUP('Données projet'!$B$10,Paramètres!$A$1:$I$89,3,0)*VLOOKUP('Données projet'!$B$10,Paramètres!$A$1:$I$89,5,0)</f>
        <v>-9.9316821433603781E-14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121.79484266530449</v>
      </c>
      <c r="AO143" s="62">
        <f t="shared" si="144"/>
        <v>129.14577359424788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0.13523163327082555</v>
      </c>
      <c r="AW143" s="23">
        <f>EXP(-LN(2)/2)*AW142+(1-EXP(-LN(2)/2))/(LN(2)/2)*AQ143*AT143*VLOOKUP('Données projet'!$B$10,Paramètres!$A$1:$I$89,3,0)*0.475*44/12</f>
        <v>9.9317178763102334E-17</v>
      </c>
      <c r="AX143" s="23">
        <f t="shared" si="114"/>
        <v>0.13523163327082566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-5.6843418860808015E-14</v>
      </c>
      <c r="BE143" s="14">
        <f>BD143*VLOOKUP('Données projet'!$B$11,Paramètres!$A$1:$I$89,3,0)*VLOOKUP('Données projet'!$B$11,Paramètres!$A$1:$I$89,5,0)</f>
        <v>-5.7639226724859328E-14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201.65575435598231</v>
      </c>
      <c r="BJ143" s="62">
        <f t="shared" si="146"/>
        <v>103.75701796419935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1.1368683772161603E-13</v>
      </c>
      <c r="BZ143" s="14">
        <f>BY143*VLOOKUP('Données projet'!$B$12,Paramètres!$A$1:$I$89,3,0)*VLOOKUP('Données projet'!$B$12,Paramètres!$A$1:$I$89,5,0)</f>
        <v>6.7984728957526396E-14</v>
      </c>
      <c r="CA143" s="14">
        <f t="shared" si="147"/>
        <v>1.0682447123141398E-12</v>
      </c>
      <c r="CB143" s="22">
        <f t="shared" si="118"/>
        <v>1.978932943548152E-12</v>
      </c>
      <c r="CC143" s="62">
        <f t="shared" si="119"/>
        <v>293.3333333333353</v>
      </c>
      <c r="CD143" s="62">
        <f ca="1">AVERAGE(OFFSET($CC$3,0,0,'Données projet'!$E$12+1,1))-AVERAGE(OFFSET($H$3,0,0,'Données projet'!$E$12+1,1))</f>
        <v>222.32495275055498</v>
      </c>
      <c r="CE143" s="62">
        <f t="shared" si="148"/>
        <v>156.39259018918381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4.3789507741118588E-2</v>
      </c>
      <c r="CM143" s="23">
        <f>EXP(-LN(2)/2)*CM142+(1-EXP(-LN(2)/2))/(LN(2)/2)*CG143*CJ143*VLOOKUP('Données projet'!$B$12,Paramètres!$A$1:$I$89,3,0)*0.475*44/12</f>
        <v>2.9510591407522134E-16</v>
      </c>
      <c r="CN143" s="24">
        <f t="shared" si="120"/>
        <v>4.3789507741118887E-2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114.37919999999994</v>
      </c>
      <c r="D144" s="12">
        <f t="shared" si="140"/>
        <v>30.360402323573524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1117.288158287234</v>
      </c>
      <c r="H144" s="70">
        <f t="shared" si="110"/>
        <v>508.75480738022384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-3.4106051316484809E-13</v>
      </c>
      <c r="O144" s="14">
        <f>N144*VLOOKUP('Données projet'!$B$9,Paramètres!$A$1:$I$89,3,0)*VLOOKUP('Données projet'!$B$9,Paramètres!$A$1:$I$89,5,0)</f>
        <v>-1.5961632016114892E-13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273.21086764807194</v>
      </c>
      <c r="T144" s="62">
        <f t="shared" si="142"/>
        <v>259.3474218586631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-1.1368683772161603E-13</v>
      </c>
      <c r="AJ144" s="14">
        <f>AI144*VLOOKUP('Données projet'!$B$10,Paramètres!$A$1:$I$89,3,0)*VLOOKUP('Données projet'!$B$10,Paramètres!$A$1:$I$89,5,0)</f>
        <v>-9.9316821433603781E-14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121.79484266530449</v>
      </c>
      <c r="AO144" s="62">
        <f t="shared" si="144"/>
        <v>129.14577359424788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0.1315337171475123</v>
      </c>
      <c r="AW144" s="23">
        <f>EXP(-LN(2)/2)*AW143+(1-EXP(-LN(2)/2))/(LN(2)/2)*AQ144*AT144*VLOOKUP('Données projet'!$B$10,Paramètres!$A$1:$I$89,3,0)*0.475*44/12</f>
        <v>7.0227850591706226E-17</v>
      </c>
      <c r="AX144" s="23">
        <f t="shared" si="114"/>
        <v>0.13153371714751239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-5.6843418860808015E-14</v>
      </c>
      <c r="BE144" s="14">
        <f>BD144*VLOOKUP('Données projet'!$B$11,Paramètres!$A$1:$I$89,3,0)*VLOOKUP('Données projet'!$B$11,Paramètres!$A$1:$I$89,5,0)</f>
        <v>-5.7639226724859328E-14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201.65575435598231</v>
      </c>
      <c r="BJ144" s="62">
        <f t="shared" si="146"/>
        <v>103.75701796419935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1.1368683772161603E-13</v>
      </c>
      <c r="BZ144" s="14">
        <f>BY144*VLOOKUP('Données projet'!$B$12,Paramètres!$A$1:$I$89,3,0)*VLOOKUP('Données projet'!$B$12,Paramètres!$A$1:$I$89,5,0)</f>
        <v>6.7984728957526396E-14</v>
      </c>
      <c r="CA144" s="14">
        <f t="shared" si="147"/>
        <v>1.0682447123141398E-12</v>
      </c>
      <c r="CB144" s="22">
        <f t="shared" si="118"/>
        <v>1.978932943548152E-12</v>
      </c>
      <c r="CC144" s="62">
        <f t="shared" si="119"/>
        <v>293.3333333333353</v>
      </c>
      <c r="CD144" s="62">
        <f ca="1">AVERAGE(OFFSET($CC$3,0,0,'Données projet'!$E$12+1,1))-AVERAGE(OFFSET($H$3,0,0,'Données projet'!$E$12+1,1))</f>
        <v>222.32495275055498</v>
      </c>
      <c r="CE144" s="62">
        <f t="shared" si="148"/>
        <v>156.39259018918381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4.2592081349147569E-2</v>
      </c>
      <c r="CM144" s="23">
        <f>EXP(-LN(2)/2)*CM143+(1-EXP(-LN(2)/2))/(LN(2)/2)*CG144*CJ144*VLOOKUP('Données projet'!$B$12,Paramètres!$A$1:$I$89,3,0)*0.475*44/12</f>
        <v>2.0867139301084363E-16</v>
      </c>
      <c r="CN144" s="24">
        <f t="shared" si="120"/>
        <v>4.2592081349147777E-2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115.19039999999994</v>
      </c>
      <c r="D145" s="12">
        <f t="shared" si="140"/>
        <v>30.550582519051918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1125.0181106733828</v>
      </c>
      <c r="H145" s="70">
        <f t="shared" si="110"/>
        <v>510.49887788734873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-3.4106051316484809E-13</v>
      </c>
      <c r="O145" s="14">
        <f>N145*VLOOKUP('Données projet'!$B$9,Paramètres!$A$1:$I$89,3,0)*VLOOKUP('Données projet'!$B$9,Paramètres!$A$1:$I$89,5,0)</f>
        <v>-1.5961632016114892E-13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273.21086764807194</v>
      </c>
      <c r="T145" s="62">
        <f t="shared" si="142"/>
        <v>259.3474218586631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-1.1368683772161603E-13</v>
      </c>
      <c r="AJ145" s="14">
        <f>AI145*VLOOKUP('Données projet'!$B$10,Paramètres!$A$1:$I$89,3,0)*VLOOKUP('Données projet'!$B$10,Paramètres!$A$1:$I$89,5,0)</f>
        <v>-9.9316821433603781E-14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121.79484266530449</v>
      </c>
      <c r="AO145" s="62">
        <f t="shared" si="144"/>
        <v>129.14577359424788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0.12793692073505603</v>
      </c>
      <c r="AW145" s="23">
        <f>EXP(-LN(2)/2)*AW144+(1-EXP(-LN(2)/2))/(LN(2)/2)*AQ145*AT145*VLOOKUP('Données projet'!$B$10,Paramètres!$A$1:$I$89,3,0)*0.475*44/12</f>
        <v>4.9658589381551167E-17</v>
      </c>
      <c r="AX145" s="23">
        <f t="shared" si="114"/>
        <v>0.12793692073505608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-5.6843418860808015E-14</v>
      </c>
      <c r="BE145" s="14">
        <f>BD145*VLOOKUP('Données projet'!$B$11,Paramètres!$A$1:$I$89,3,0)*VLOOKUP('Données projet'!$B$11,Paramètres!$A$1:$I$89,5,0)</f>
        <v>-5.7639226724859328E-14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201.65575435598231</v>
      </c>
      <c r="BJ145" s="62">
        <f t="shared" si="146"/>
        <v>103.75701796419935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1.1368683772161603E-13</v>
      </c>
      <c r="BZ145" s="14">
        <f>BY145*VLOOKUP('Données projet'!$B$12,Paramètres!$A$1:$I$89,3,0)*VLOOKUP('Données projet'!$B$12,Paramètres!$A$1:$I$89,5,0)</f>
        <v>6.7984728957526396E-14</v>
      </c>
      <c r="CA145" s="14">
        <f t="shared" si="147"/>
        <v>1.0682447123141398E-12</v>
      </c>
      <c r="CB145" s="22">
        <f t="shared" si="118"/>
        <v>1.978932943548152E-12</v>
      </c>
      <c r="CC145" s="62">
        <f t="shared" si="119"/>
        <v>293.3333333333353</v>
      </c>
      <c r="CD145" s="62">
        <f ca="1">AVERAGE(OFFSET($CC$3,0,0,'Données projet'!$E$12+1,1))-AVERAGE(OFFSET($H$3,0,0,'Données projet'!$E$12+1,1))</f>
        <v>222.32495275055498</v>
      </c>
      <c r="CE145" s="62">
        <f t="shared" si="148"/>
        <v>156.39259018918381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4.1427398644834919E-2</v>
      </c>
      <c r="CM145" s="23">
        <f>EXP(-LN(2)/2)*CM144+(1-EXP(-LN(2)/2))/(LN(2)/2)*CG145*CJ145*VLOOKUP('Données projet'!$B$12,Paramètres!$A$1:$I$89,3,0)*0.475*44/12</f>
        <v>1.4755295703761067E-16</v>
      </c>
      <c r="CN145" s="24">
        <f t="shared" si="120"/>
        <v>4.1427398644835065E-2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116.00159999999994</v>
      </c>
      <c r="D146" s="12">
        <f t="shared" si="140"/>
        <v>30.740606882856699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1132.746860148367</v>
      </c>
      <c r="H146" s="70">
        <f t="shared" si="110"/>
        <v>512.24267698764197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-3.4106051316484809E-13</v>
      </c>
      <c r="O146" s="14">
        <f>N146*VLOOKUP('Données projet'!$B$9,Paramètres!$A$1:$I$89,3,0)*VLOOKUP('Données projet'!$B$9,Paramètres!$A$1:$I$89,5,0)</f>
        <v>-1.5961632016114892E-13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273.21086764807194</v>
      </c>
      <c r="T146" s="62">
        <f t="shared" si="142"/>
        <v>259.3474218586631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-1.1368683772161603E-13</v>
      </c>
      <c r="AJ146" s="14">
        <f>AI146*VLOOKUP('Données projet'!$B$10,Paramètres!$A$1:$I$89,3,0)*VLOOKUP('Données projet'!$B$10,Paramètres!$A$1:$I$89,5,0)</f>
        <v>-9.9316821433603781E-14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121.79484266530449</v>
      </c>
      <c r="AO146" s="62">
        <f t="shared" si="144"/>
        <v>129.14577359424788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0.12443847890964566</v>
      </c>
      <c r="AW146" s="23">
        <f>EXP(-LN(2)/2)*AW145+(1-EXP(-LN(2)/2))/(LN(2)/2)*AQ146*AT146*VLOOKUP('Données projet'!$B$10,Paramètres!$A$1:$I$89,3,0)*0.475*44/12</f>
        <v>3.5113925295853113E-17</v>
      </c>
      <c r="AX146" s="23">
        <f t="shared" si="114"/>
        <v>0.1244384789096457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-5.6843418860808015E-14</v>
      </c>
      <c r="BE146" s="14">
        <f>BD146*VLOOKUP('Données projet'!$B$11,Paramètres!$A$1:$I$89,3,0)*VLOOKUP('Données projet'!$B$11,Paramètres!$A$1:$I$89,5,0)</f>
        <v>-5.7639226724859328E-14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201.65575435598231</v>
      </c>
      <c r="BJ146" s="62">
        <f t="shared" si="146"/>
        <v>103.75701796419935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1.1368683772161603E-13</v>
      </c>
      <c r="BZ146" s="14">
        <f>BY146*VLOOKUP('Données projet'!$B$12,Paramètres!$A$1:$I$89,3,0)*VLOOKUP('Données projet'!$B$12,Paramètres!$A$1:$I$89,5,0)</f>
        <v>6.7984728957526396E-14</v>
      </c>
      <c r="CA146" s="14">
        <f t="shared" si="147"/>
        <v>1.0682447123141398E-12</v>
      </c>
      <c r="CB146" s="22">
        <f t="shared" si="118"/>
        <v>1.978932943548152E-12</v>
      </c>
      <c r="CC146" s="62">
        <f t="shared" si="119"/>
        <v>293.3333333333353</v>
      </c>
      <c r="CD146" s="62">
        <f ca="1">AVERAGE(OFFSET($CC$3,0,0,'Données projet'!$E$12+1,1))-AVERAGE(OFFSET($H$3,0,0,'Données projet'!$E$12+1,1))</f>
        <v>222.32495275055498</v>
      </c>
      <c r="CE146" s="62">
        <f t="shared" si="148"/>
        <v>156.39259018918381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4.0294564250319694E-2</v>
      </c>
      <c r="CM146" s="23">
        <f>EXP(-LN(2)/2)*CM145+(1-EXP(-LN(2)/2))/(LN(2)/2)*CG146*CJ146*VLOOKUP('Données projet'!$B$12,Paramètres!$A$1:$I$89,3,0)*0.475*44/12</f>
        <v>1.0433569650542182E-16</v>
      </c>
      <c r="CN146" s="24">
        <f t="shared" si="120"/>
        <v>4.0294564250319798E-2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116.81279999999994</v>
      </c>
      <c r="D147" s="12">
        <f t="shared" si="140"/>
        <v>30.930476631089483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1140.4744160996379</v>
      </c>
      <c r="H147" s="70">
        <f t="shared" si="110"/>
        <v>513.98620679914734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-3.4106051316484809E-13</v>
      </c>
      <c r="O147" s="14">
        <f>N147*VLOOKUP('Données projet'!$B$9,Paramètres!$A$1:$I$89,3,0)*VLOOKUP('Données projet'!$B$9,Paramètres!$A$1:$I$89,5,0)</f>
        <v>-1.5961632016114892E-13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273.21086764807194</v>
      </c>
      <c r="T147" s="62">
        <f t="shared" si="142"/>
        <v>259.3474218586631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-1.1368683772161603E-13</v>
      </c>
      <c r="AJ147" s="14">
        <f>AI147*VLOOKUP('Données projet'!$B$10,Paramètres!$A$1:$I$89,3,0)*VLOOKUP('Données projet'!$B$10,Paramètres!$A$1:$I$89,5,0)</f>
        <v>-9.9316821433603781E-14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121.79484266530449</v>
      </c>
      <c r="AO147" s="62">
        <f t="shared" si="144"/>
        <v>129.14577359424788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0.12103570215992619</v>
      </c>
      <c r="AW147" s="23">
        <f>EXP(-LN(2)/2)*AW146+(1-EXP(-LN(2)/2))/(LN(2)/2)*AQ147*AT147*VLOOKUP('Données projet'!$B$10,Paramètres!$A$1:$I$89,3,0)*0.475*44/12</f>
        <v>2.4829294690775583E-17</v>
      </c>
      <c r="AX147" s="23">
        <f t="shared" si="114"/>
        <v>0.12103570215992622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-5.6843418860808015E-14</v>
      </c>
      <c r="BE147" s="14">
        <f>BD147*VLOOKUP('Données projet'!$B$11,Paramètres!$A$1:$I$89,3,0)*VLOOKUP('Données projet'!$B$11,Paramètres!$A$1:$I$89,5,0)</f>
        <v>-5.7639226724859328E-14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201.65575435598231</v>
      </c>
      <c r="BJ147" s="62">
        <f t="shared" si="146"/>
        <v>103.75701796419935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1.1368683772161603E-13</v>
      </c>
      <c r="BZ147" s="14">
        <f>BY147*VLOOKUP('Données projet'!$B$12,Paramètres!$A$1:$I$89,3,0)*VLOOKUP('Données projet'!$B$12,Paramètres!$A$1:$I$89,5,0)</f>
        <v>6.7984728957526396E-14</v>
      </c>
      <c r="CA147" s="14">
        <f t="shared" si="147"/>
        <v>1.0682447123141398E-12</v>
      </c>
      <c r="CB147" s="22">
        <f t="shared" si="118"/>
        <v>1.978932943548152E-12</v>
      </c>
      <c r="CC147" s="62">
        <f t="shared" si="119"/>
        <v>293.3333333333353</v>
      </c>
      <c r="CD147" s="62">
        <f ca="1">AVERAGE(OFFSET($CC$3,0,0,'Données projet'!$E$12+1,1))-AVERAGE(OFFSET($H$3,0,0,'Données projet'!$E$12+1,1))</f>
        <v>222.32495275055498</v>
      </c>
      <c r="CE147" s="62">
        <f t="shared" si="148"/>
        <v>156.39259018918381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3.9192707271895659E-2</v>
      </c>
      <c r="CM147" s="23">
        <f>EXP(-LN(2)/2)*CM146+(1-EXP(-LN(2)/2))/(LN(2)/2)*CG147*CJ147*VLOOKUP('Données projet'!$B$12,Paramètres!$A$1:$I$89,3,0)*0.475*44/12</f>
        <v>7.3776478518805335E-17</v>
      </c>
      <c r="CN147" s="24">
        <f t="shared" si="120"/>
        <v>3.9192707271895735E-2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117.62399999999994</v>
      </c>
      <c r="D148" s="12">
        <f t="shared" si="140"/>
        <v>31.120192961985413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1148.2007877767292</v>
      </c>
      <c r="H148" s="70">
        <f t="shared" si="110"/>
        <v>515.72946940879115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-3.4106051316484809E-13</v>
      </c>
      <c r="O148" s="14">
        <f>N148*VLOOKUP('Données projet'!$B$9,Paramètres!$A$1:$I$89,3,0)*VLOOKUP('Données projet'!$B$9,Paramètres!$A$1:$I$89,5,0)</f>
        <v>-1.5961632016114892E-13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273.21086764807194</v>
      </c>
      <c r="T148" s="62">
        <f t="shared" si="142"/>
        <v>259.3474218586631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-1.1368683772161603E-13</v>
      </c>
      <c r="AJ148" s="14">
        <f>AI148*VLOOKUP('Données projet'!$B$10,Paramètres!$A$1:$I$89,3,0)*VLOOKUP('Données projet'!$B$10,Paramètres!$A$1:$I$89,5,0)</f>
        <v>-9.9316821433603781E-14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121.79484266530449</v>
      </c>
      <c r="AO148" s="62">
        <f t="shared" si="144"/>
        <v>129.14577359424788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0.11772597451937207</v>
      </c>
      <c r="AW148" s="23">
        <f>EXP(-LN(2)/2)*AW147+(1-EXP(-LN(2)/2))/(LN(2)/2)*AQ148*AT148*VLOOKUP('Données projet'!$B$10,Paramètres!$A$1:$I$89,3,0)*0.475*44/12</f>
        <v>1.7556962647926556E-17</v>
      </c>
      <c r="AX148" s="23">
        <f t="shared" si="114"/>
        <v>0.11772597451937208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-5.6843418860808015E-14</v>
      </c>
      <c r="BE148" s="14">
        <f>BD148*VLOOKUP('Données projet'!$B$11,Paramètres!$A$1:$I$89,3,0)*VLOOKUP('Données projet'!$B$11,Paramètres!$A$1:$I$89,5,0)</f>
        <v>-5.7639226724859328E-14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201.65575435598231</v>
      </c>
      <c r="BJ148" s="62">
        <f t="shared" si="146"/>
        <v>103.75701796419935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1.1368683772161603E-13</v>
      </c>
      <c r="BZ148" s="14">
        <f>BY148*VLOOKUP('Données projet'!$B$12,Paramètres!$A$1:$I$89,3,0)*VLOOKUP('Données projet'!$B$12,Paramètres!$A$1:$I$89,5,0)</f>
        <v>6.7984728957526396E-14</v>
      </c>
      <c r="CA148" s="14">
        <f t="shared" si="147"/>
        <v>1.0682447123141398E-12</v>
      </c>
      <c r="CB148" s="22">
        <f t="shared" si="118"/>
        <v>1.978932943548152E-12</v>
      </c>
      <c r="CC148" s="62">
        <f t="shared" si="119"/>
        <v>293.3333333333353</v>
      </c>
      <c r="CD148" s="62">
        <f ca="1">AVERAGE(OFFSET($CC$3,0,0,'Données projet'!$E$12+1,1))-AVERAGE(OFFSET($H$3,0,0,'Données projet'!$E$12+1,1))</f>
        <v>222.32495275055498</v>
      </c>
      <c r="CE148" s="62">
        <f t="shared" si="148"/>
        <v>156.39259018918381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3.8120980630490769E-2</v>
      </c>
      <c r="CM148" s="23">
        <f>EXP(-LN(2)/2)*CM147+(1-EXP(-LN(2)/2))/(LN(2)/2)*CG148*CJ148*VLOOKUP('Données projet'!$B$12,Paramètres!$A$1:$I$89,3,0)*0.475*44/12</f>
        <v>5.2167848252710909E-17</v>
      </c>
      <c r="CN148" s="24">
        <f t="shared" si="120"/>
        <v>3.8120980630490825E-2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118.43519999999994</v>
      </c>
      <c r="D149" s="12">
        <f t="shared" si="140"/>
        <v>31.309757056296963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1155.9259842942217</v>
      </c>
      <c r="H149" s="70">
        <f t="shared" si="110"/>
        <v>517.47246687305051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-3.4106051316484809E-13</v>
      </c>
      <c r="O149" s="14">
        <f>N149*VLOOKUP('Données projet'!$B$9,Paramètres!$A$1:$I$89,3,0)*VLOOKUP('Données projet'!$B$9,Paramètres!$A$1:$I$89,5,0)</f>
        <v>-1.5961632016114892E-13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273.21086764807194</v>
      </c>
      <c r="T149" s="62">
        <f t="shared" si="142"/>
        <v>259.3474218586631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-1.1368683772161603E-13</v>
      </c>
      <c r="AJ149" s="14">
        <f>AI149*VLOOKUP('Données projet'!$B$10,Paramètres!$A$1:$I$89,3,0)*VLOOKUP('Données projet'!$B$10,Paramètres!$A$1:$I$89,5,0)</f>
        <v>-9.9316821433603781E-14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121.79484266530449</v>
      </c>
      <c r="AO149" s="62">
        <f t="shared" si="144"/>
        <v>129.14577359424788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0.1145067515551999</v>
      </c>
      <c r="AW149" s="23">
        <f>EXP(-LN(2)/2)*AW148+(1-EXP(-LN(2)/2))/(LN(2)/2)*AQ149*AT149*VLOOKUP('Données projet'!$B$10,Paramètres!$A$1:$I$89,3,0)*0.475*44/12</f>
        <v>1.2414647345387792E-17</v>
      </c>
      <c r="AX149" s="23">
        <f t="shared" si="114"/>
        <v>0.11450675155519992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-5.6843418860808015E-14</v>
      </c>
      <c r="BE149" s="14">
        <f>BD149*VLOOKUP('Données projet'!$B$11,Paramètres!$A$1:$I$89,3,0)*VLOOKUP('Données projet'!$B$11,Paramètres!$A$1:$I$89,5,0)</f>
        <v>-5.7639226724859328E-14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201.65575435598231</v>
      </c>
      <c r="BJ149" s="62">
        <f t="shared" si="146"/>
        <v>103.75701796419935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1.1368683772161603E-13</v>
      </c>
      <c r="BZ149" s="14">
        <f>BY149*VLOOKUP('Données projet'!$B$12,Paramètres!$A$1:$I$89,3,0)*VLOOKUP('Données projet'!$B$12,Paramètres!$A$1:$I$89,5,0)</f>
        <v>6.7984728957526396E-14</v>
      </c>
      <c r="CA149" s="14">
        <f t="shared" si="147"/>
        <v>1.0682447123141398E-12</v>
      </c>
      <c r="CB149" s="22">
        <f t="shared" si="118"/>
        <v>1.978932943548152E-12</v>
      </c>
      <c r="CC149" s="62">
        <f t="shared" si="119"/>
        <v>293.3333333333353</v>
      </c>
      <c r="CD149" s="62">
        <f ca="1">AVERAGE(OFFSET($CC$3,0,0,'Données projet'!$E$12+1,1))-AVERAGE(OFFSET($H$3,0,0,'Données projet'!$E$12+1,1))</f>
        <v>222.32495275055498</v>
      </c>
      <c r="CE149" s="62">
        <f t="shared" si="148"/>
        <v>156.39259018918381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3.7078560410454757E-2</v>
      </c>
      <c r="CM149" s="23">
        <f>EXP(-LN(2)/2)*CM148+(1-EXP(-LN(2)/2))/(LN(2)/2)*CG149*CJ149*VLOOKUP('Données projet'!$B$12,Paramètres!$A$1:$I$89,3,0)*0.475*44/12</f>
        <v>3.6888239259402668E-17</v>
      </c>
      <c r="CN149" s="24">
        <f t="shared" si="120"/>
        <v>3.7078560410454792E-2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119.24639999999994</v>
      </c>
      <c r="D150" s="12">
        <f t="shared" si="140"/>
        <v>31.499170077667014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1163.650014634622</v>
      </c>
      <c r="H150" s="70">
        <f t="shared" si="110"/>
        <v>519.21520121860328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-3.4106051316484809E-13</v>
      </c>
      <c r="O150" s="14">
        <f>N150*VLOOKUP('Données projet'!$B$9,Paramètres!$A$1:$I$89,3,0)*VLOOKUP('Données projet'!$B$9,Paramètres!$A$1:$I$89,5,0)</f>
        <v>-1.5961632016114892E-13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273.21086764807194</v>
      </c>
      <c r="T150" s="62">
        <f t="shared" si="142"/>
        <v>259.3474218586631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-1.1368683772161603E-13</v>
      </c>
      <c r="AJ150" s="14">
        <f>AI150*VLOOKUP('Données projet'!$B$10,Paramètres!$A$1:$I$89,3,0)*VLOOKUP('Données projet'!$B$10,Paramètres!$A$1:$I$89,5,0)</f>
        <v>-9.9316821433603781E-14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121.79484266530449</v>
      </c>
      <c r="AO150" s="62">
        <f t="shared" si="144"/>
        <v>129.14577359424788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0.1113755584122746</v>
      </c>
      <c r="AW150" s="23">
        <f>EXP(-LN(2)/2)*AW149+(1-EXP(-LN(2)/2))/(LN(2)/2)*AQ150*AT150*VLOOKUP('Données projet'!$B$10,Paramètres!$A$1:$I$89,3,0)*0.475*44/12</f>
        <v>8.7784813239632782E-18</v>
      </c>
      <c r="AX150" s="23">
        <f t="shared" si="114"/>
        <v>0.11137555841227462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-5.6843418860808015E-14</v>
      </c>
      <c r="BE150" s="14">
        <f>BD150*VLOOKUP('Données projet'!$B$11,Paramètres!$A$1:$I$89,3,0)*VLOOKUP('Données projet'!$B$11,Paramètres!$A$1:$I$89,5,0)</f>
        <v>-5.7639226724859328E-14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201.65575435598231</v>
      </c>
      <c r="BJ150" s="62">
        <f t="shared" si="146"/>
        <v>103.75701796419935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1.1368683772161603E-13</v>
      </c>
      <c r="BZ150" s="14">
        <f>BY150*VLOOKUP('Données projet'!$B$12,Paramètres!$A$1:$I$89,3,0)*VLOOKUP('Données projet'!$B$12,Paramètres!$A$1:$I$89,5,0)</f>
        <v>6.7984728957526396E-14</v>
      </c>
      <c r="CA150" s="14">
        <f t="shared" si="147"/>
        <v>1.0682447123141398E-12</v>
      </c>
      <c r="CB150" s="22">
        <f t="shared" si="118"/>
        <v>1.978932943548152E-12</v>
      </c>
      <c r="CC150" s="62">
        <f t="shared" si="119"/>
        <v>293.3333333333353</v>
      </c>
      <c r="CD150" s="62">
        <f ca="1">AVERAGE(OFFSET($CC$3,0,0,'Données projet'!$E$12+1,1))-AVERAGE(OFFSET($H$3,0,0,'Données projet'!$E$12+1,1))</f>
        <v>222.32495275055498</v>
      </c>
      <c r="CE150" s="62">
        <f t="shared" si="148"/>
        <v>156.39259018918381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3.6064645226154123E-2</v>
      </c>
      <c r="CM150" s="23">
        <f>EXP(-LN(2)/2)*CM149+(1-EXP(-LN(2)/2))/(LN(2)/2)*CG150*CJ150*VLOOKUP('Données projet'!$B$12,Paramètres!$A$1:$I$89,3,0)*0.475*44/12</f>
        <v>2.6083924126355454E-17</v>
      </c>
      <c r="CN150" s="24">
        <f t="shared" si="120"/>
        <v>3.606464522615415E-2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120.05759999999994</v>
      </c>
      <c r="D151" s="12">
        <f t="shared" si="140"/>
        <v>31.68843317299136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1171.3728876511611</v>
      </c>
      <c r="H151" s="70">
        <f t="shared" si="110"/>
        <v>520.95767444295984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-3.4106051316484809E-13</v>
      </c>
      <c r="O151" s="14">
        <f>N151*VLOOKUP('Données projet'!$B$9,Paramètres!$A$1:$I$89,3,0)*VLOOKUP('Données projet'!$B$9,Paramètres!$A$1:$I$89,5,0)</f>
        <v>-1.5961632016114892E-13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273.21086764807194</v>
      </c>
      <c r="T151" s="62">
        <f t="shared" si="142"/>
        <v>259.3474218586631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-1.1368683772161603E-13</v>
      </c>
      <c r="AJ151" s="14">
        <f>AI151*VLOOKUP('Données projet'!$B$10,Paramètres!$A$1:$I$89,3,0)*VLOOKUP('Données projet'!$B$10,Paramètres!$A$1:$I$89,5,0)</f>
        <v>-9.9316821433603781E-14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121.79484266530449</v>
      </c>
      <c r="AO151" s="62">
        <f t="shared" si="144"/>
        <v>129.14577359424788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0.10832998791050488</v>
      </c>
      <c r="AW151" s="23">
        <f>EXP(-LN(2)/2)*AW150+(1-EXP(-LN(2)/2))/(LN(2)/2)*AQ151*AT151*VLOOKUP('Données projet'!$B$10,Paramètres!$A$1:$I$89,3,0)*0.475*44/12</f>
        <v>6.2073236726938958E-18</v>
      </c>
      <c r="AX151" s="23">
        <f t="shared" si="114"/>
        <v>0.10832998791050488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-5.6843418860808015E-14</v>
      </c>
      <c r="BE151" s="14">
        <f>BD151*VLOOKUP('Données projet'!$B$11,Paramètres!$A$1:$I$89,3,0)*VLOOKUP('Données projet'!$B$11,Paramètres!$A$1:$I$89,5,0)</f>
        <v>-5.7639226724859328E-14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201.65575435598231</v>
      </c>
      <c r="BJ151" s="62">
        <f t="shared" si="146"/>
        <v>103.75701796419935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1.1368683772161603E-13</v>
      </c>
      <c r="BZ151" s="14">
        <f>BY151*VLOOKUP('Données projet'!$B$12,Paramètres!$A$1:$I$89,3,0)*VLOOKUP('Données projet'!$B$12,Paramètres!$A$1:$I$89,5,0)</f>
        <v>6.7984728957526396E-14</v>
      </c>
      <c r="CA151" s="14">
        <f t="shared" si="147"/>
        <v>1.0682447123141398E-12</v>
      </c>
      <c r="CB151" s="22">
        <f t="shared" si="118"/>
        <v>1.978932943548152E-12</v>
      </c>
      <c r="CC151" s="62">
        <f t="shared" si="119"/>
        <v>293.3333333333353</v>
      </c>
      <c r="CD151" s="62">
        <f ca="1">AVERAGE(OFFSET($CC$3,0,0,'Données projet'!$E$12+1,1))-AVERAGE(OFFSET($H$3,0,0,'Données projet'!$E$12+1,1))</f>
        <v>222.32495275055498</v>
      </c>
      <c r="CE151" s="62">
        <f t="shared" si="148"/>
        <v>156.39259018918381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3.5078455605887675E-2</v>
      </c>
      <c r="CM151" s="23">
        <f>EXP(-LN(2)/2)*CM150+(1-EXP(-LN(2)/2))/(LN(2)/2)*CG151*CJ151*VLOOKUP('Données projet'!$B$12,Paramètres!$A$1:$I$89,3,0)*0.475*44/12</f>
        <v>1.8444119629701334E-17</v>
      </c>
      <c r="CN151" s="24">
        <f t="shared" si="120"/>
        <v>3.5078455605887696E-2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120.86879999999994</v>
      </c>
      <c r="D152" s="12">
        <f t="shared" si="140"/>
        <v>31.877547472771269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1179.0946120705146</v>
      </c>
      <c r="H152" s="70">
        <f t="shared" si="110"/>
        <v>522.69988851507651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-3.4106051316484809E-13</v>
      </c>
      <c r="O152" s="14">
        <f>N152*VLOOKUP('Données projet'!$B$9,Paramètres!$A$1:$I$89,3,0)*VLOOKUP('Données projet'!$B$9,Paramètres!$A$1:$I$89,5,0)</f>
        <v>-1.5961632016114892E-13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273.21086764807194</v>
      </c>
      <c r="T152" s="62">
        <f t="shared" si="142"/>
        <v>259.3474218586631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-1.1368683772161603E-13</v>
      </c>
      <c r="AJ152" s="14">
        <f>AI152*VLOOKUP('Données projet'!$B$10,Paramètres!$A$1:$I$89,3,0)*VLOOKUP('Données projet'!$B$10,Paramètres!$A$1:$I$89,5,0)</f>
        <v>-9.9316821433603781E-14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121.79484266530449</v>
      </c>
      <c r="AO152" s="62">
        <f t="shared" si="144"/>
        <v>129.14577359424788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0.10536769869426565</v>
      </c>
      <c r="AW152" s="23">
        <f>EXP(-LN(2)/2)*AW151+(1-EXP(-LN(2)/2))/(LN(2)/2)*AQ152*AT152*VLOOKUP('Données projet'!$B$10,Paramètres!$A$1:$I$89,3,0)*0.475*44/12</f>
        <v>4.3892406619816391E-18</v>
      </c>
      <c r="AX152" s="23">
        <f t="shared" si="114"/>
        <v>0.10536769869426565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-5.6843418860808015E-14</v>
      </c>
      <c r="BE152" s="14">
        <f>BD152*VLOOKUP('Données projet'!$B$11,Paramètres!$A$1:$I$89,3,0)*VLOOKUP('Données projet'!$B$11,Paramètres!$A$1:$I$89,5,0)</f>
        <v>-5.7639226724859328E-14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201.65575435598231</v>
      </c>
      <c r="BJ152" s="62">
        <f t="shared" si="146"/>
        <v>103.75701796419935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1.1368683772161603E-13</v>
      </c>
      <c r="BZ152" s="14">
        <f>BY152*VLOOKUP('Données projet'!$B$12,Paramètres!$A$1:$I$89,3,0)*VLOOKUP('Données projet'!$B$12,Paramètres!$A$1:$I$89,5,0)</f>
        <v>6.7984728957526396E-14</v>
      </c>
      <c r="CA152" s="14">
        <f t="shared" si="147"/>
        <v>1.0682447123141398E-12</v>
      </c>
      <c r="CB152" s="22">
        <f t="shared" si="118"/>
        <v>1.978932943548152E-12</v>
      </c>
      <c r="CC152" s="62">
        <f t="shared" si="119"/>
        <v>293.3333333333353</v>
      </c>
      <c r="CD152" s="62">
        <f ca="1">AVERAGE(OFFSET($CC$3,0,0,'Données projet'!$E$12+1,1))-AVERAGE(OFFSET($H$3,0,0,'Données projet'!$E$12+1,1))</f>
        <v>222.32495275055498</v>
      </c>
      <c r="CE152" s="62">
        <f t="shared" si="148"/>
        <v>156.39259018918381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3.4119233392648871E-2</v>
      </c>
      <c r="CM152" s="23">
        <f>EXP(-LN(2)/2)*CM151+(1-EXP(-LN(2)/2))/(LN(2)/2)*CG152*CJ152*VLOOKUP('Données projet'!$B$12,Paramètres!$A$1:$I$89,3,0)*0.475*44/12</f>
        <v>1.3041962063177727E-17</v>
      </c>
      <c r="CN152" s="24">
        <f t="shared" si="120"/>
        <v>3.4119233392648884E-2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121.67999999999994</v>
      </c>
      <c r="D153" s="12">
        <f t="shared" si="140"/>
        <v>32.066514091456256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1186.8151964954513</v>
      </c>
      <c r="H153" s="70">
        <f t="shared" si="110"/>
        <v>524.44184537595288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-3.4106051316484809E-13</v>
      </c>
      <c r="O153" s="14">
        <f>N153*VLOOKUP('Données projet'!$B$9,Paramètres!$A$1:$I$89,3,0)*VLOOKUP('Données projet'!$B$9,Paramètres!$A$1:$I$89,5,0)</f>
        <v>-1.5961632016114892E-13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273.21086764807194</v>
      </c>
      <c r="T153" s="62">
        <f t="shared" si="142"/>
        <v>259.3474218586631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-1.1368683772161603E-13</v>
      </c>
      <c r="AJ153" s="14">
        <f>AI153*VLOOKUP('Données projet'!$B$10,Paramètres!$A$1:$I$89,3,0)*VLOOKUP('Données projet'!$B$10,Paramètres!$A$1:$I$89,5,0)</f>
        <v>-9.9316821433603781E-14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121.79484266530449</v>
      </c>
      <c r="AO153" s="62">
        <f t="shared" si="144"/>
        <v>129.14577359424788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0.10248641343242451</v>
      </c>
      <c r="AW153" s="23">
        <f>EXP(-LN(2)/2)*AW152+(1-EXP(-LN(2)/2))/(LN(2)/2)*AQ153*AT153*VLOOKUP('Données projet'!$B$10,Paramètres!$A$1:$I$89,3,0)*0.475*44/12</f>
        <v>3.1036618363469479E-18</v>
      </c>
      <c r="AX153" s="23">
        <f t="shared" si="114"/>
        <v>0.10248641343242451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-5.6843418860808015E-14</v>
      </c>
      <c r="BE153" s="14">
        <f>BD153*VLOOKUP('Données projet'!$B$11,Paramètres!$A$1:$I$89,3,0)*VLOOKUP('Données projet'!$B$11,Paramètres!$A$1:$I$89,5,0)</f>
        <v>-5.7639226724859328E-14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201.65575435598231</v>
      </c>
      <c r="BJ153" s="62">
        <f t="shared" si="146"/>
        <v>103.75701796419935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1.1368683772161603E-13</v>
      </c>
      <c r="BZ153" s="14">
        <f>BY153*VLOOKUP('Données projet'!$B$12,Paramètres!$A$1:$I$89,3,0)*VLOOKUP('Données projet'!$B$12,Paramètres!$A$1:$I$89,5,0)</f>
        <v>6.7984728957526396E-14</v>
      </c>
      <c r="CA153" s="14">
        <f t="shared" si="147"/>
        <v>1.0682447123141398E-12</v>
      </c>
      <c r="CB153" s="22">
        <f t="shared" si="118"/>
        <v>1.978932943548152E-12</v>
      </c>
      <c r="CC153" s="62">
        <f t="shared" si="119"/>
        <v>293.3333333333353</v>
      </c>
      <c r="CD153" s="62">
        <f ca="1">AVERAGE(OFFSET($CC$3,0,0,'Données projet'!$E$12+1,1))-AVERAGE(OFFSET($H$3,0,0,'Données projet'!$E$12+1,1))</f>
        <v>222.32495275055498</v>
      </c>
      <c r="CE153" s="62">
        <f t="shared" si="148"/>
        <v>156.39259018918381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3.3186241161274381E-2</v>
      </c>
      <c r="CM153" s="23">
        <f>EXP(-LN(2)/2)*CM152+(1-EXP(-LN(2)/2))/(LN(2)/2)*CG153*CJ153*VLOOKUP('Données projet'!$B$12,Paramètres!$A$1:$I$89,3,0)*0.475*44/12</f>
        <v>9.2220598148506669E-18</v>
      </c>
      <c r="CN153" s="24">
        <f t="shared" si="120"/>
        <v>3.3186241161274388E-2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122.49119999999994</v>
      </c>
      <c r="D154" s="12">
        <f t="shared" si="140"/>
        <v>32.255334127777445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1194.5346494074045</v>
      </c>
      <c r="H154" s="70">
        <f t="shared" si="110"/>
        <v>526.18354693921231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-3.4106051316484809E-13</v>
      </c>
      <c r="O154" s="14">
        <f>N154*VLOOKUP('Données projet'!$B$9,Paramètres!$A$1:$I$89,3,0)*VLOOKUP('Données projet'!$B$9,Paramètres!$A$1:$I$89,5,0)</f>
        <v>-1.5961632016114892E-13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273.21086764807194</v>
      </c>
      <c r="T154" s="62">
        <f t="shared" si="142"/>
        <v>259.3474218586631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-1.1368683772161603E-13</v>
      </c>
      <c r="AJ154" s="14">
        <f>AI154*VLOOKUP('Données projet'!$B$10,Paramètres!$A$1:$I$89,3,0)*VLOOKUP('Données projet'!$B$10,Paramètres!$A$1:$I$89,5,0)</f>
        <v>-9.9316821433603781E-14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121.79484266530449</v>
      </c>
      <c r="AO154" s="62">
        <f t="shared" si="144"/>
        <v>129.14577359424788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9.9683917067588612E-2</v>
      </c>
      <c r="AW154" s="23">
        <f>EXP(-LN(2)/2)*AW153+(1-EXP(-LN(2)/2))/(LN(2)/2)*AQ154*AT154*VLOOKUP('Données projet'!$B$10,Paramètres!$A$1:$I$89,3,0)*0.475*44/12</f>
        <v>2.1946203309908196E-18</v>
      </c>
      <c r="AX154" s="23">
        <f t="shared" ref="AX154:AX203" si="166">SUM(AU154:AW154)</f>
        <v>9.9683917067588612E-2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-5.6843418860808015E-14</v>
      </c>
      <c r="BE154" s="14">
        <f>BD154*VLOOKUP('Données projet'!$B$11,Paramètres!$A$1:$I$89,3,0)*VLOOKUP('Données projet'!$B$11,Paramètres!$A$1:$I$89,5,0)</f>
        <v>-5.7639226724859328E-14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201.65575435598231</v>
      </c>
      <c r="BJ154" s="62">
        <f t="shared" si="146"/>
        <v>103.75701796419935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1.1368683772161603E-13</v>
      </c>
      <c r="BZ154" s="14">
        <f>BY154*VLOOKUP('Données projet'!$B$12,Paramètres!$A$1:$I$89,3,0)*VLOOKUP('Données projet'!$B$12,Paramètres!$A$1:$I$89,5,0)</f>
        <v>6.7984728957526396E-14</v>
      </c>
      <c r="CA154" s="14">
        <f t="shared" ref="CA154:CA203" si="170">EXP(-1.0587+0.8836*LN(BZ154)+0.284)</f>
        <v>1.0682447123141398E-12</v>
      </c>
      <c r="CB154" s="22">
        <f t="shared" ref="CB154:CB203" si="171">(BZ154+CA154)*0.475*44/12</f>
        <v>1.978932943548152E-12</v>
      </c>
      <c r="CC154" s="62">
        <f t="shared" si="119"/>
        <v>293.3333333333353</v>
      </c>
      <c r="CD154" s="62">
        <f ca="1">AVERAGE(OFFSET($CC$3,0,0,'Données projet'!$E$12+1,1))-AVERAGE(OFFSET($H$3,0,0,'Données projet'!$E$12+1,1))</f>
        <v>222.32495275055498</v>
      </c>
      <c r="CE154" s="62">
        <f t="shared" si="148"/>
        <v>156.39259018918381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3.2278761651530756E-2</v>
      </c>
      <c r="CM154" s="23">
        <f>EXP(-LN(2)/2)*CM153+(1-EXP(-LN(2)/2))/(LN(2)/2)*CG154*CJ154*VLOOKUP('Données projet'!$B$12,Paramètres!$A$1:$I$89,3,0)*0.475*44/12</f>
        <v>6.5209810315888636E-18</v>
      </c>
      <c r="CN154" s="24">
        <f t="shared" ref="CN154:CN203" si="172">SUM(CK154:CM154)</f>
        <v>3.2278761651530763E-2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123.30239999999993</v>
      </c>
      <c r="D155" s="12">
        <f t="shared" si="140"/>
        <v>32.444008665071891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1202.2529791689758</v>
      </c>
      <c r="H155" s="70">
        <f t="shared" si="110"/>
        <v>527.9249950916668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-3.4106051316484809E-13</v>
      </c>
      <c r="O155" s="14">
        <f>N155*VLOOKUP('Données projet'!$B$9,Paramètres!$A$1:$I$89,3,0)*VLOOKUP('Données projet'!$B$9,Paramètres!$A$1:$I$89,5,0)</f>
        <v>-1.5961632016114892E-13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273.21086764807194</v>
      </c>
      <c r="T155" s="62">
        <f t="shared" si="142"/>
        <v>259.3474218586631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-1.1368683772161603E-13</v>
      </c>
      <c r="AJ155" s="14">
        <f>AI155*VLOOKUP('Données projet'!$B$10,Paramètres!$A$1:$I$89,3,0)*VLOOKUP('Données projet'!$B$10,Paramètres!$A$1:$I$89,5,0)</f>
        <v>-9.9316821433603781E-14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121.79484266530449</v>
      </c>
      <c r="AO155" s="62">
        <f t="shared" si="144"/>
        <v>129.14577359424788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9.6958055113226027E-2</v>
      </c>
      <c r="AW155" s="23">
        <f>EXP(-LN(2)/2)*AW154+(1-EXP(-LN(2)/2))/(LN(2)/2)*AQ155*AT155*VLOOKUP('Données projet'!$B$10,Paramètres!$A$1:$I$89,3,0)*0.475*44/12</f>
        <v>1.551830918173474E-18</v>
      </c>
      <c r="AX155" s="23">
        <f t="shared" si="166"/>
        <v>9.6958055113226027E-2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-5.6843418860808015E-14</v>
      </c>
      <c r="BE155" s="14">
        <f>BD155*VLOOKUP('Données projet'!$B$11,Paramètres!$A$1:$I$89,3,0)*VLOOKUP('Données projet'!$B$11,Paramètres!$A$1:$I$89,5,0)</f>
        <v>-5.7639226724859328E-14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201.65575435598231</v>
      </c>
      <c r="BJ155" s="62">
        <f t="shared" si="146"/>
        <v>103.75701796419935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1.1368683772161603E-13</v>
      </c>
      <c r="BZ155" s="14">
        <f>BY155*VLOOKUP('Données projet'!$B$12,Paramètres!$A$1:$I$89,3,0)*VLOOKUP('Données projet'!$B$12,Paramètres!$A$1:$I$89,5,0)</f>
        <v>6.7984728957526396E-14</v>
      </c>
      <c r="CA155" s="14">
        <f t="shared" si="170"/>
        <v>1.0682447123141398E-12</v>
      </c>
      <c r="CB155" s="22">
        <f t="shared" si="171"/>
        <v>1.978932943548152E-12</v>
      </c>
      <c r="CC155" s="62">
        <f t="shared" si="119"/>
        <v>293.3333333333353</v>
      </c>
      <c r="CD155" s="62">
        <f ca="1">AVERAGE(OFFSET($CC$3,0,0,'Données projet'!$E$12+1,1))-AVERAGE(OFFSET($H$3,0,0,'Données projet'!$E$12+1,1))</f>
        <v>222.32495275055498</v>
      </c>
      <c r="CE155" s="62">
        <f t="shared" si="148"/>
        <v>156.39259018918381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3.1396097216703348E-2</v>
      </c>
      <c r="CM155" s="23">
        <f>EXP(-LN(2)/2)*CM154+(1-EXP(-LN(2)/2))/(LN(2)/2)*CG155*CJ155*VLOOKUP('Données projet'!$B$12,Paramètres!$A$1:$I$89,3,0)*0.475*44/12</f>
        <v>4.6110299074253335E-18</v>
      </c>
      <c r="CN155" s="24">
        <f t="shared" si="172"/>
        <v>3.1396097216703354E-2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124.11359999999993</v>
      </c>
      <c r="D156" s="12">
        <f t="shared" si="140"/>
        <v>32.632538771598028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1209.9701940263703</v>
      </c>
      <c r="H156" s="70">
        <f t="shared" si="110"/>
        <v>529.66619169386649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-3.4106051316484809E-13</v>
      </c>
      <c r="O156" s="14">
        <f>N156*VLOOKUP('Données projet'!$B$9,Paramètres!$A$1:$I$89,3,0)*VLOOKUP('Données projet'!$B$9,Paramètres!$A$1:$I$89,5,0)</f>
        <v>-1.5961632016114892E-13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273.21086764807194</v>
      </c>
      <c r="T156" s="62">
        <f t="shared" si="142"/>
        <v>259.3474218586631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-1.1368683772161603E-13</v>
      </c>
      <c r="AJ156" s="14">
        <f>AI156*VLOOKUP('Données projet'!$B$10,Paramètres!$A$1:$I$89,3,0)*VLOOKUP('Données projet'!$B$10,Paramètres!$A$1:$I$89,5,0)</f>
        <v>-9.9316821433603781E-14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121.79484266530449</v>
      </c>
      <c r="AO156" s="62">
        <f t="shared" si="144"/>
        <v>129.14577359424788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9.4306731997352344E-2</v>
      </c>
      <c r="AW156" s="23">
        <f>EXP(-LN(2)/2)*AW155+(1-EXP(-LN(2)/2))/(LN(2)/2)*AQ156*AT156*VLOOKUP('Données projet'!$B$10,Paramètres!$A$1:$I$89,3,0)*0.475*44/12</f>
        <v>1.0973101654954098E-18</v>
      </c>
      <c r="AX156" s="23">
        <f t="shared" si="166"/>
        <v>9.4306731997352344E-2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-5.6843418860808015E-14</v>
      </c>
      <c r="BE156" s="14">
        <f>BD156*VLOOKUP('Données projet'!$B$11,Paramètres!$A$1:$I$89,3,0)*VLOOKUP('Données projet'!$B$11,Paramètres!$A$1:$I$89,5,0)</f>
        <v>-5.7639226724859328E-14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201.65575435598231</v>
      </c>
      <c r="BJ156" s="62">
        <f t="shared" si="146"/>
        <v>103.75701796419935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1.1368683772161603E-13</v>
      </c>
      <c r="BZ156" s="14">
        <f>BY156*VLOOKUP('Données projet'!$B$12,Paramètres!$A$1:$I$89,3,0)*VLOOKUP('Données projet'!$B$12,Paramètres!$A$1:$I$89,5,0)</f>
        <v>6.7984728957526396E-14</v>
      </c>
      <c r="CA156" s="14">
        <f t="shared" si="170"/>
        <v>1.0682447123141398E-12</v>
      </c>
      <c r="CB156" s="22">
        <f t="shared" si="171"/>
        <v>1.978932943548152E-12</v>
      </c>
      <c r="CC156" s="62">
        <f t="shared" si="119"/>
        <v>293.3333333333353</v>
      </c>
      <c r="CD156" s="62">
        <f ca="1">AVERAGE(OFFSET($CC$3,0,0,'Données projet'!$E$12+1,1))-AVERAGE(OFFSET($H$3,0,0,'Données projet'!$E$12+1,1))</f>
        <v>222.32495275055498</v>
      </c>
      <c r="CE156" s="62">
        <f t="shared" si="148"/>
        <v>156.39259018918381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3.0537569287263599E-2</v>
      </c>
      <c r="CM156" s="23">
        <f>EXP(-LN(2)/2)*CM155+(1-EXP(-LN(2)/2))/(LN(2)/2)*CG156*CJ156*VLOOKUP('Données projet'!$B$12,Paramètres!$A$1:$I$89,3,0)*0.475*44/12</f>
        <v>3.2604905157944318E-18</v>
      </c>
      <c r="CN156" s="24">
        <f t="shared" si="172"/>
        <v>3.0537569287263602E-2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124.92479999999993</v>
      </c>
      <c r="D157" s="12">
        <f t="shared" si="140"/>
        <v>32.820925500842712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1217.6863021117676</v>
      </c>
      <c r="H157" s="70">
        <f t="shared" si="110"/>
        <v>531.4071385806343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-3.4106051316484809E-13</v>
      </c>
      <c r="O157" s="14">
        <f>N157*VLOOKUP('Données projet'!$B$9,Paramètres!$A$1:$I$89,3,0)*VLOOKUP('Données projet'!$B$9,Paramètres!$A$1:$I$89,5,0)</f>
        <v>-1.5961632016114892E-13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273.21086764807194</v>
      </c>
      <c r="T157" s="62">
        <f t="shared" si="142"/>
        <v>259.3474218586631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-1.1368683772161603E-13</v>
      </c>
      <c r="AJ157" s="14">
        <f>AI157*VLOOKUP('Données projet'!$B$10,Paramètres!$A$1:$I$89,3,0)*VLOOKUP('Données projet'!$B$10,Paramètres!$A$1:$I$89,5,0)</f>
        <v>-9.9316821433603781E-14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121.79484266530449</v>
      </c>
      <c r="AO157" s="62">
        <f t="shared" si="144"/>
        <v>129.14577359424788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9.1727909451509243E-2</v>
      </c>
      <c r="AW157" s="23">
        <f>EXP(-LN(2)/2)*AW156+(1-EXP(-LN(2)/2))/(LN(2)/2)*AQ157*AT157*VLOOKUP('Données projet'!$B$10,Paramètres!$A$1:$I$89,3,0)*0.475*44/12</f>
        <v>7.7591545908673698E-19</v>
      </c>
      <c r="AX157" s="23">
        <f t="shared" si="166"/>
        <v>9.1727909451509243E-2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-5.6843418860808015E-14</v>
      </c>
      <c r="BE157" s="14">
        <f>BD157*VLOOKUP('Données projet'!$B$11,Paramètres!$A$1:$I$89,3,0)*VLOOKUP('Données projet'!$B$11,Paramètres!$A$1:$I$89,5,0)</f>
        <v>-5.7639226724859328E-14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201.65575435598231</v>
      </c>
      <c r="BJ157" s="62">
        <f t="shared" si="146"/>
        <v>103.75701796419935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1.1368683772161603E-13</v>
      </c>
      <c r="BZ157" s="14">
        <f>BY157*VLOOKUP('Données projet'!$B$12,Paramètres!$A$1:$I$89,3,0)*VLOOKUP('Données projet'!$B$12,Paramètres!$A$1:$I$89,5,0)</f>
        <v>6.7984728957526396E-14</v>
      </c>
      <c r="CA157" s="14">
        <f t="shared" si="170"/>
        <v>1.0682447123141398E-12</v>
      </c>
      <c r="CB157" s="22">
        <f t="shared" si="171"/>
        <v>1.978932943548152E-12</v>
      </c>
      <c r="CC157" s="62">
        <f t="shared" si="119"/>
        <v>293.3333333333353</v>
      </c>
      <c r="CD157" s="62">
        <f ca="1">AVERAGE(OFFSET($CC$3,0,0,'Données projet'!$E$12+1,1))-AVERAGE(OFFSET($H$3,0,0,'Données projet'!$E$12+1,1))</f>
        <v>222.32495275055498</v>
      </c>
      <c r="CE157" s="62">
        <f t="shared" si="148"/>
        <v>156.39259018918381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2.9702517849202401E-2</v>
      </c>
      <c r="CM157" s="23">
        <f>EXP(-LN(2)/2)*CM156+(1-EXP(-LN(2)/2))/(LN(2)/2)*CG157*CJ157*VLOOKUP('Données projet'!$B$12,Paramètres!$A$1:$I$89,3,0)*0.475*44/12</f>
        <v>2.3055149537126667E-18</v>
      </c>
      <c r="CN157" s="24">
        <f t="shared" si="172"/>
        <v>2.9702517849202404E-2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125.73599999999993</v>
      </c>
      <c r="D158" s="12">
        <f t="shared" si="140"/>
        <v>33.009169891820072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1225.4013114456282</v>
      </c>
      <c r="H158" s="70">
        <f t="shared" si="110"/>
        <v>533.14783756158647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-3.4106051316484809E-13</v>
      </c>
      <c r="O158" s="14">
        <f>N158*VLOOKUP('Données projet'!$B$9,Paramètres!$A$1:$I$89,3,0)*VLOOKUP('Données projet'!$B$9,Paramètres!$A$1:$I$89,5,0)</f>
        <v>-1.5961632016114892E-13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273.21086764807194</v>
      </c>
      <c r="T158" s="62">
        <f t="shared" si="142"/>
        <v>259.3474218586631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-1.1368683772161603E-13</v>
      </c>
      <c r="AJ158" s="14">
        <f>AI158*VLOOKUP('Données projet'!$B$10,Paramètres!$A$1:$I$89,3,0)*VLOOKUP('Données projet'!$B$10,Paramètres!$A$1:$I$89,5,0)</f>
        <v>-9.9316821433603781E-14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121.79484266530449</v>
      </c>
      <c r="AO158" s="62">
        <f t="shared" si="144"/>
        <v>129.14577359424788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8.9219604943796618E-2</v>
      </c>
      <c r="AW158" s="23">
        <f>EXP(-LN(2)/2)*AW157+(1-EXP(-LN(2)/2))/(LN(2)/2)*AQ158*AT158*VLOOKUP('Données projet'!$B$10,Paramètres!$A$1:$I$89,3,0)*0.475*44/12</f>
        <v>5.4865508274770489E-19</v>
      </c>
      <c r="AX158" s="23">
        <f t="shared" si="166"/>
        <v>8.9219604943796618E-2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-5.6843418860808015E-14</v>
      </c>
      <c r="BE158" s="14">
        <f>BD158*VLOOKUP('Données projet'!$B$11,Paramètres!$A$1:$I$89,3,0)*VLOOKUP('Données projet'!$B$11,Paramètres!$A$1:$I$89,5,0)</f>
        <v>-5.7639226724859328E-14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201.65575435598231</v>
      </c>
      <c r="BJ158" s="62">
        <f t="shared" si="146"/>
        <v>103.75701796419935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1.1368683772161603E-13</v>
      </c>
      <c r="BZ158" s="14">
        <f>BY158*VLOOKUP('Données projet'!$B$12,Paramètres!$A$1:$I$89,3,0)*VLOOKUP('Données projet'!$B$12,Paramètres!$A$1:$I$89,5,0)</f>
        <v>6.7984728957526396E-14</v>
      </c>
      <c r="CA158" s="14">
        <f t="shared" si="170"/>
        <v>1.0682447123141398E-12</v>
      </c>
      <c r="CB158" s="22">
        <f t="shared" si="171"/>
        <v>1.978932943548152E-12</v>
      </c>
      <c r="CC158" s="62">
        <f t="shared" si="119"/>
        <v>293.3333333333353</v>
      </c>
      <c r="CD158" s="62">
        <f ca="1">AVERAGE(OFFSET($CC$3,0,0,'Données projet'!$E$12+1,1))-AVERAGE(OFFSET($H$3,0,0,'Données projet'!$E$12+1,1))</f>
        <v>222.32495275055498</v>
      </c>
      <c r="CE158" s="62">
        <f t="shared" si="148"/>
        <v>156.39259018918381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2.8890300936628432E-2</v>
      </c>
      <c r="CM158" s="23">
        <f>EXP(-LN(2)/2)*CM157+(1-EXP(-LN(2)/2))/(LN(2)/2)*CG158*CJ158*VLOOKUP('Données projet'!$B$12,Paramètres!$A$1:$I$89,3,0)*0.475*44/12</f>
        <v>1.6302452578972159E-18</v>
      </c>
      <c r="CN158" s="24">
        <f t="shared" si="172"/>
        <v>2.8890300936628432E-2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126.54719999999993</v>
      </c>
      <c r="D159" s="12">
        <f t="shared" si="140"/>
        <v>33.19727296936243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1233.1152299389375</v>
      </c>
      <c r="H159" s="70">
        <f t="shared" si="110"/>
        <v>534.88829042163945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-3.4106051316484809E-13</v>
      </c>
      <c r="O159" s="14">
        <f>N159*VLOOKUP('Données projet'!$B$9,Paramètres!$A$1:$I$89,3,0)*VLOOKUP('Données projet'!$B$9,Paramètres!$A$1:$I$89,5,0)</f>
        <v>-1.5961632016114892E-13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273.21086764807194</v>
      </c>
      <c r="T159" s="62">
        <f t="shared" si="142"/>
        <v>259.3474218586631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-1.1368683772161603E-13</v>
      </c>
      <c r="AJ159" s="14">
        <f>AI159*VLOOKUP('Données projet'!$B$10,Paramètres!$A$1:$I$89,3,0)*VLOOKUP('Données projet'!$B$10,Paramètres!$A$1:$I$89,5,0)</f>
        <v>-9.9316821433603781E-14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121.79484266530449</v>
      </c>
      <c r="AO159" s="62">
        <f t="shared" si="144"/>
        <v>129.14577359424788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8.6779890154753389E-2</v>
      </c>
      <c r="AW159" s="23">
        <f>EXP(-LN(2)/2)*AW158+(1-EXP(-LN(2)/2))/(LN(2)/2)*AQ159*AT159*VLOOKUP('Données projet'!$B$10,Paramètres!$A$1:$I$89,3,0)*0.475*44/12</f>
        <v>3.8795772954336849E-19</v>
      </c>
      <c r="AX159" s="23">
        <f t="shared" si="166"/>
        <v>8.6779890154753389E-2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-5.6843418860808015E-14</v>
      </c>
      <c r="BE159" s="14">
        <f>BD159*VLOOKUP('Données projet'!$B$11,Paramètres!$A$1:$I$89,3,0)*VLOOKUP('Données projet'!$B$11,Paramètres!$A$1:$I$89,5,0)</f>
        <v>-5.7639226724859328E-14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201.65575435598231</v>
      </c>
      <c r="BJ159" s="62">
        <f t="shared" si="146"/>
        <v>103.75701796419935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1.1368683772161603E-13</v>
      </c>
      <c r="BZ159" s="14">
        <f>BY159*VLOOKUP('Données projet'!$B$12,Paramètres!$A$1:$I$89,3,0)*VLOOKUP('Données projet'!$B$12,Paramètres!$A$1:$I$89,5,0)</f>
        <v>6.7984728957526396E-14</v>
      </c>
      <c r="CA159" s="14">
        <f t="shared" si="170"/>
        <v>1.0682447123141398E-12</v>
      </c>
      <c r="CB159" s="22">
        <f t="shared" si="171"/>
        <v>1.978932943548152E-12</v>
      </c>
      <c r="CC159" s="62">
        <f t="shared" si="119"/>
        <v>293.3333333333353</v>
      </c>
      <c r="CD159" s="62">
        <f ca="1">AVERAGE(OFFSET($CC$3,0,0,'Données projet'!$E$12+1,1))-AVERAGE(OFFSET($H$3,0,0,'Données projet'!$E$12+1,1))</f>
        <v>222.32495275055498</v>
      </c>
      <c r="CE159" s="62">
        <f t="shared" si="148"/>
        <v>156.39259018918381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2.810029413824143E-2</v>
      </c>
      <c r="CM159" s="23">
        <f>EXP(-LN(2)/2)*CM158+(1-EXP(-LN(2)/2))/(LN(2)/2)*CG159*CJ159*VLOOKUP('Données projet'!$B$12,Paramètres!$A$1:$I$89,3,0)*0.475*44/12</f>
        <v>1.1527574768563334E-18</v>
      </c>
      <c r="CN159" s="24">
        <f t="shared" si="172"/>
        <v>2.810029413824143E-2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127.35839999999993</v>
      </c>
      <c r="D160" s="12">
        <f t="shared" si="140"/>
        <v>33.385235744403289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1240.8280653953932</v>
      </c>
      <c r="H160" s="70">
        <f t="shared" si="110"/>
        <v>536.62849892150234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-3.4106051316484809E-13</v>
      </c>
      <c r="O160" s="14">
        <f>N160*VLOOKUP('Données projet'!$B$9,Paramètres!$A$1:$I$89,3,0)*VLOOKUP('Données projet'!$B$9,Paramètres!$A$1:$I$89,5,0)</f>
        <v>-1.5961632016114892E-13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273.21086764807194</v>
      </c>
      <c r="T160" s="62">
        <f t="shared" si="142"/>
        <v>259.3474218586631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-1.1368683772161603E-13</v>
      </c>
      <c r="AJ160" s="14">
        <f>AI160*VLOOKUP('Données projet'!$B$10,Paramètres!$A$1:$I$89,3,0)*VLOOKUP('Données projet'!$B$10,Paramètres!$A$1:$I$89,5,0)</f>
        <v>-9.9316821433603781E-14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121.79484266530449</v>
      </c>
      <c r="AO160" s="62">
        <f t="shared" si="144"/>
        <v>129.14577359424788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8.4406889494915566E-2</v>
      </c>
      <c r="AW160" s="23">
        <f>EXP(-LN(2)/2)*AW159+(1-EXP(-LN(2)/2))/(LN(2)/2)*AQ160*AT160*VLOOKUP('Données projet'!$B$10,Paramètres!$A$1:$I$89,3,0)*0.475*44/12</f>
        <v>2.7432754137385244E-19</v>
      </c>
      <c r="AX160" s="23">
        <f t="shared" si="166"/>
        <v>8.4406889494915566E-2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-5.6843418860808015E-14</v>
      </c>
      <c r="BE160" s="14">
        <f>BD160*VLOOKUP('Données projet'!$B$11,Paramètres!$A$1:$I$89,3,0)*VLOOKUP('Données projet'!$B$11,Paramètres!$A$1:$I$89,5,0)</f>
        <v>-5.7639226724859328E-14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201.65575435598231</v>
      </c>
      <c r="BJ160" s="62">
        <f t="shared" si="146"/>
        <v>103.75701796419935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1.1368683772161603E-13</v>
      </c>
      <c r="BZ160" s="14">
        <f>BY160*VLOOKUP('Données projet'!$B$12,Paramètres!$A$1:$I$89,3,0)*VLOOKUP('Données projet'!$B$12,Paramètres!$A$1:$I$89,5,0)</f>
        <v>6.7984728957526396E-14</v>
      </c>
      <c r="CA160" s="14">
        <f t="shared" si="170"/>
        <v>1.0682447123141398E-12</v>
      </c>
      <c r="CB160" s="22">
        <f t="shared" si="171"/>
        <v>1.978932943548152E-12</v>
      </c>
      <c r="CC160" s="62">
        <f t="shared" si="119"/>
        <v>293.3333333333353</v>
      </c>
      <c r="CD160" s="62">
        <f ca="1">AVERAGE(OFFSET($CC$3,0,0,'Données projet'!$E$12+1,1))-AVERAGE(OFFSET($H$3,0,0,'Données projet'!$E$12+1,1))</f>
        <v>222.32495275055498</v>
      </c>
      <c r="CE160" s="62">
        <f t="shared" si="148"/>
        <v>156.39259018918381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2.7331890117300972E-2</v>
      </c>
      <c r="CM160" s="23">
        <f>EXP(-LN(2)/2)*CM159+(1-EXP(-LN(2)/2))/(LN(2)/2)*CG160*CJ160*VLOOKUP('Données projet'!$B$12,Paramètres!$A$1:$I$89,3,0)*0.475*44/12</f>
        <v>8.1512262894860795E-19</v>
      </c>
      <c r="CN160" s="24">
        <f t="shared" si="172"/>
        <v>2.7331890117300972E-2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128.16959999999995</v>
      </c>
      <c r="D161" s="12">
        <f t="shared" si="140"/>
        <v>33.573059214253476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1248.5398255135353</v>
      </c>
      <c r="H161" s="70">
        <f t="shared" si="110"/>
        <v>538.36846479815813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-3.4106051316484809E-13</v>
      </c>
      <c r="O161" s="14">
        <f>N161*VLOOKUP('Données projet'!$B$9,Paramètres!$A$1:$I$89,3,0)*VLOOKUP('Données projet'!$B$9,Paramètres!$A$1:$I$89,5,0)</f>
        <v>-1.5961632016114892E-13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273.21086764807194</v>
      </c>
      <c r="T161" s="62">
        <f t="shared" si="142"/>
        <v>259.3474218586631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-1.1368683772161603E-13</v>
      </c>
      <c r="AJ161" s="14">
        <f>AI161*VLOOKUP('Données projet'!$B$10,Paramètres!$A$1:$I$89,3,0)*VLOOKUP('Données projet'!$B$10,Paramètres!$A$1:$I$89,5,0)</f>
        <v>-9.9316821433603781E-14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121.79484266530449</v>
      </c>
      <c r="AO161" s="62">
        <f t="shared" si="144"/>
        <v>129.14577359424788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8.2098778662911695E-2</v>
      </c>
      <c r="AW161" s="23">
        <f>EXP(-LN(2)/2)*AW160+(1-EXP(-LN(2)/2))/(LN(2)/2)*AQ161*AT161*VLOOKUP('Données projet'!$B$10,Paramètres!$A$1:$I$89,3,0)*0.475*44/12</f>
        <v>1.9397886477168425E-19</v>
      </c>
      <c r="AX161" s="23">
        <f t="shared" si="166"/>
        <v>8.2098778662911695E-2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-5.6843418860808015E-14</v>
      </c>
      <c r="BE161" s="14">
        <f>BD161*VLOOKUP('Données projet'!$B$11,Paramètres!$A$1:$I$89,3,0)*VLOOKUP('Données projet'!$B$11,Paramètres!$A$1:$I$89,5,0)</f>
        <v>-5.7639226724859328E-14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201.65575435598231</v>
      </c>
      <c r="BJ161" s="62">
        <f t="shared" si="146"/>
        <v>103.75701796419935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1.1368683772161603E-13</v>
      </c>
      <c r="BZ161" s="14">
        <f>BY161*VLOOKUP('Données projet'!$B$12,Paramètres!$A$1:$I$89,3,0)*VLOOKUP('Données projet'!$B$12,Paramètres!$A$1:$I$89,5,0)</f>
        <v>6.7984728957526396E-14</v>
      </c>
      <c r="CA161" s="14">
        <f t="shared" si="170"/>
        <v>1.0682447123141398E-12</v>
      </c>
      <c r="CB161" s="22">
        <f t="shared" si="171"/>
        <v>1.978932943548152E-12</v>
      </c>
      <c r="CC161" s="62">
        <f t="shared" si="119"/>
        <v>293.3333333333353</v>
      </c>
      <c r="CD161" s="62">
        <f ca="1">AVERAGE(OFFSET($CC$3,0,0,'Données projet'!$E$12+1,1))-AVERAGE(OFFSET($H$3,0,0,'Données projet'!$E$12+1,1))</f>
        <v>222.32495275055498</v>
      </c>
      <c r="CE161" s="62">
        <f t="shared" si="148"/>
        <v>156.39259018918381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2.6584498144721743E-2</v>
      </c>
      <c r="CM161" s="23">
        <f>EXP(-LN(2)/2)*CM160+(1-EXP(-LN(2)/2))/(LN(2)/2)*CG161*CJ161*VLOOKUP('Données projet'!$B$12,Paramètres!$A$1:$I$89,3,0)*0.475*44/12</f>
        <v>5.7637873842816668E-19</v>
      </c>
      <c r="CN161" s="24">
        <f t="shared" si="172"/>
        <v>2.6584498144721743E-2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128.98079999999996</v>
      </c>
      <c r="D162" s="12">
        <f t="shared" si="140"/>
        <v>33.76074436286941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1256.2505178888161</v>
      </c>
      <c r="H162" s="70">
        <f t="shared" si="110"/>
        <v>540.10818976533085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-3.4106051316484809E-13</v>
      </c>
      <c r="O162" s="14">
        <f>N162*VLOOKUP('Données projet'!$B$9,Paramètres!$A$1:$I$89,3,0)*VLOOKUP('Données projet'!$B$9,Paramètres!$A$1:$I$89,5,0)</f>
        <v>-1.5961632016114892E-13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273.21086764807194</v>
      </c>
      <c r="T162" s="62">
        <f t="shared" si="142"/>
        <v>259.3474218586631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-1.1368683772161603E-13</v>
      </c>
      <c r="AJ162" s="14">
        <f>AI162*VLOOKUP('Données projet'!$B$10,Paramètres!$A$1:$I$89,3,0)*VLOOKUP('Données projet'!$B$10,Paramètres!$A$1:$I$89,5,0)</f>
        <v>-9.9316821433603781E-14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121.79484266530449</v>
      </c>
      <c r="AO162" s="62">
        <f t="shared" si="144"/>
        <v>129.14577359424788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7.9853783242987239E-2</v>
      </c>
      <c r="AW162" s="23">
        <f>EXP(-LN(2)/2)*AW161+(1-EXP(-LN(2)/2))/(LN(2)/2)*AQ162*AT162*VLOOKUP('Données projet'!$B$10,Paramètres!$A$1:$I$89,3,0)*0.475*44/12</f>
        <v>1.3716377068692622E-19</v>
      </c>
      <c r="AX162" s="23">
        <f t="shared" si="166"/>
        <v>7.9853783242987239E-2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-5.6843418860808015E-14</v>
      </c>
      <c r="BE162" s="14">
        <f>BD162*VLOOKUP('Données projet'!$B$11,Paramètres!$A$1:$I$89,3,0)*VLOOKUP('Données projet'!$B$11,Paramètres!$A$1:$I$89,5,0)</f>
        <v>-5.7639226724859328E-14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201.65575435598231</v>
      </c>
      <c r="BJ162" s="62">
        <f t="shared" si="146"/>
        <v>103.75701796419935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1.1368683772161603E-13</v>
      </c>
      <c r="BZ162" s="14">
        <f>BY162*VLOOKUP('Données projet'!$B$12,Paramètres!$A$1:$I$89,3,0)*VLOOKUP('Données projet'!$B$12,Paramètres!$A$1:$I$89,5,0)</f>
        <v>6.7984728957526396E-14</v>
      </c>
      <c r="CA162" s="14">
        <f t="shared" si="170"/>
        <v>1.0682447123141398E-12</v>
      </c>
      <c r="CB162" s="22">
        <f t="shared" si="171"/>
        <v>1.978932943548152E-12</v>
      </c>
      <c r="CC162" s="62">
        <f t="shared" si="119"/>
        <v>293.3333333333353</v>
      </c>
      <c r="CD162" s="62">
        <f ca="1">AVERAGE(OFFSET($CC$3,0,0,'Données projet'!$E$12+1,1))-AVERAGE(OFFSET($H$3,0,0,'Données projet'!$E$12+1,1))</f>
        <v>222.32495275055498</v>
      </c>
      <c r="CE162" s="62">
        <f t="shared" si="148"/>
        <v>156.39259018918381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2.585754364493633E-2</v>
      </c>
      <c r="CM162" s="23">
        <f>EXP(-LN(2)/2)*CM161+(1-EXP(-LN(2)/2))/(LN(2)/2)*CG162*CJ162*VLOOKUP('Données projet'!$B$12,Paramètres!$A$1:$I$89,3,0)*0.475*44/12</f>
        <v>4.0756131447430397E-19</v>
      </c>
      <c r="CN162" s="24">
        <f t="shared" si="172"/>
        <v>2.585754364493633E-2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129.79199999999997</v>
      </c>
      <c r="D163" s="12">
        <f t="shared" si="140"/>
        <v>33.948292161114985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1263.9601500156243</v>
      </c>
      <c r="H163" s="70">
        <f t="shared" si="110"/>
        <v>541.84767551394179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-3.4106051316484809E-13</v>
      </c>
      <c r="O163" s="14">
        <f>N163*VLOOKUP('Données projet'!$B$9,Paramètres!$A$1:$I$89,3,0)*VLOOKUP('Données projet'!$B$9,Paramètres!$A$1:$I$89,5,0)</f>
        <v>-1.5961632016114892E-13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273.21086764807194</v>
      </c>
      <c r="T163" s="62">
        <f t="shared" si="142"/>
        <v>259.3474218586631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-1.1368683772161603E-13</v>
      </c>
      <c r="AJ163" s="14">
        <f>AI163*VLOOKUP('Données projet'!$B$10,Paramètres!$A$1:$I$89,3,0)*VLOOKUP('Données projet'!$B$10,Paramètres!$A$1:$I$89,5,0)</f>
        <v>-9.9316821433603781E-14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121.79484266530449</v>
      </c>
      <c r="AO163" s="62">
        <f t="shared" si="144"/>
        <v>129.14577359424788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7.7670177340879804E-2</v>
      </c>
      <c r="AW163" s="23">
        <f>EXP(-LN(2)/2)*AW162+(1-EXP(-LN(2)/2))/(LN(2)/2)*AQ163*AT163*VLOOKUP('Données projet'!$B$10,Paramètres!$A$1:$I$89,3,0)*0.475*44/12</f>
        <v>9.6989432385842123E-20</v>
      </c>
      <c r="AX163" s="23">
        <f t="shared" si="166"/>
        <v>7.7670177340879804E-2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-5.6843418860808015E-14</v>
      </c>
      <c r="BE163" s="14">
        <f>BD163*VLOOKUP('Données projet'!$B$11,Paramètres!$A$1:$I$89,3,0)*VLOOKUP('Données projet'!$B$11,Paramètres!$A$1:$I$89,5,0)</f>
        <v>-5.7639226724859328E-14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201.65575435598231</v>
      </c>
      <c r="BJ163" s="62">
        <f t="shared" si="146"/>
        <v>103.75701796419935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1.1368683772161603E-13</v>
      </c>
      <c r="BZ163" s="14">
        <f>BY163*VLOOKUP('Données projet'!$B$12,Paramètres!$A$1:$I$89,3,0)*VLOOKUP('Données projet'!$B$12,Paramètres!$A$1:$I$89,5,0)</f>
        <v>6.7984728957526396E-14</v>
      </c>
      <c r="CA163" s="14">
        <f t="shared" si="170"/>
        <v>1.0682447123141398E-12</v>
      </c>
      <c r="CB163" s="22">
        <f t="shared" si="171"/>
        <v>1.978932943548152E-12</v>
      </c>
      <c r="CC163" s="62">
        <f t="shared" si="119"/>
        <v>293.3333333333353</v>
      </c>
      <c r="CD163" s="62">
        <f ca="1">AVERAGE(OFFSET($CC$3,0,0,'Données projet'!$E$12+1,1))-AVERAGE(OFFSET($H$3,0,0,'Données projet'!$E$12+1,1))</f>
        <v>222.32495275055498</v>
      </c>
      <c r="CE163" s="62">
        <f t="shared" si="148"/>
        <v>156.39259018918381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2.5150467754176425E-2</v>
      </c>
      <c r="CM163" s="23">
        <f>EXP(-LN(2)/2)*CM162+(1-EXP(-LN(2)/2))/(LN(2)/2)*CG163*CJ163*VLOOKUP('Données projet'!$B$12,Paramètres!$A$1:$I$89,3,0)*0.475*44/12</f>
        <v>2.8818936921408334E-19</v>
      </c>
      <c r="CN163" s="24">
        <f t="shared" si="172"/>
        <v>2.5150467754176425E-2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130.60319999999999</v>
      </c>
      <c r="D164" s="12">
        <f t="shared" si="140"/>
        <v>34.135703567016428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1271.6687292892495</v>
      </c>
      <c r="H164" s="70">
        <f t="shared" si="110"/>
        <v>543.58692371255358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-3.4106051316484809E-13</v>
      </c>
      <c r="O164" s="14">
        <f>N164*VLOOKUP('Données projet'!$B$9,Paramètres!$A$1:$I$89,3,0)*VLOOKUP('Données projet'!$B$9,Paramètres!$A$1:$I$89,5,0)</f>
        <v>-1.5961632016114892E-13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273.21086764807194</v>
      </c>
      <c r="T164" s="62">
        <f t="shared" si="142"/>
        <v>259.3474218586631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-1.1368683772161603E-13</v>
      </c>
      <c r="AJ164" s="14">
        <f>AI164*VLOOKUP('Données projet'!$B$10,Paramètres!$A$1:$I$89,3,0)*VLOOKUP('Données projet'!$B$10,Paramètres!$A$1:$I$89,5,0)</f>
        <v>-9.9316821433603781E-14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121.79484266530449</v>
      </c>
      <c r="AO164" s="62">
        <f t="shared" si="144"/>
        <v>129.14577359424788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7.5546282256996333E-2</v>
      </c>
      <c r="AW164" s="23">
        <f>EXP(-LN(2)/2)*AW163+(1-EXP(-LN(2)/2))/(LN(2)/2)*AQ164*AT164*VLOOKUP('Données projet'!$B$10,Paramètres!$A$1:$I$89,3,0)*0.475*44/12</f>
        <v>6.8581885343463111E-20</v>
      </c>
      <c r="AX164" s="23">
        <f t="shared" si="166"/>
        <v>7.5546282256996333E-2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-5.6843418860808015E-14</v>
      </c>
      <c r="BE164" s="14">
        <f>BD164*VLOOKUP('Données projet'!$B$11,Paramètres!$A$1:$I$89,3,0)*VLOOKUP('Données projet'!$B$11,Paramètres!$A$1:$I$89,5,0)</f>
        <v>-5.7639226724859328E-14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201.65575435598231</v>
      </c>
      <c r="BJ164" s="62">
        <f t="shared" si="146"/>
        <v>103.75701796419935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1.1368683772161603E-13</v>
      </c>
      <c r="BZ164" s="14">
        <f>BY164*VLOOKUP('Données projet'!$B$12,Paramètres!$A$1:$I$89,3,0)*VLOOKUP('Données projet'!$B$12,Paramètres!$A$1:$I$89,5,0)</f>
        <v>6.7984728957526396E-14</v>
      </c>
      <c r="CA164" s="14">
        <f t="shared" si="170"/>
        <v>1.0682447123141398E-12</v>
      </c>
      <c r="CB164" s="22">
        <f t="shared" si="171"/>
        <v>1.978932943548152E-12</v>
      </c>
      <c r="CC164" s="62">
        <f t="shared" si="119"/>
        <v>293.3333333333353</v>
      </c>
      <c r="CD164" s="62">
        <f ca="1">AVERAGE(OFFSET($CC$3,0,0,'Données projet'!$E$12+1,1))-AVERAGE(OFFSET($H$3,0,0,'Données projet'!$E$12+1,1))</f>
        <v>222.32495275055498</v>
      </c>
      <c r="CE164" s="62">
        <f t="shared" si="148"/>
        <v>156.39259018918381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2.4462726890832853E-2</v>
      </c>
      <c r="CM164" s="23">
        <f>EXP(-LN(2)/2)*CM163+(1-EXP(-LN(2)/2))/(LN(2)/2)*CG164*CJ164*VLOOKUP('Données projet'!$B$12,Paramètres!$A$1:$I$89,3,0)*0.475*44/12</f>
        <v>2.0378065723715199E-19</v>
      </c>
      <c r="CN164" s="24">
        <f t="shared" si="172"/>
        <v>2.4462726890832853E-2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131.4144</v>
      </c>
      <c r="D165" s="12">
        <f t="shared" si="140"/>
        <v>34.32297952601067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1279.3762630078018</v>
      </c>
      <c r="H165" s="70">
        <f t="shared" si="110"/>
        <v>545.32593600780183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-3.4106051316484809E-13</v>
      </c>
      <c r="O165" s="14">
        <f>N165*VLOOKUP('Données projet'!$B$9,Paramètres!$A$1:$I$89,3,0)*VLOOKUP('Données projet'!$B$9,Paramètres!$A$1:$I$89,5,0)</f>
        <v>-1.5961632016114892E-13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273.21086764807194</v>
      </c>
      <c r="T165" s="62">
        <f t="shared" si="142"/>
        <v>259.3474218586631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-1.1368683772161603E-13</v>
      </c>
      <c r="AJ165" s="14">
        <f>AI165*VLOOKUP('Données projet'!$B$10,Paramètres!$A$1:$I$89,3,0)*VLOOKUP('Données projet'!$B$10,Paramètres!$A$1:$I$89,5,0)</f>
        <v>-9.9316821433603781E-14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121.79484266530449</v>
      </c>
      <c r="AO165" s="62">
        <f t="shared" si="144"/>
        <v>129.14577359424788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7.3480465195872452E-2</v>
      </c>
      <c r="AW165" s="23">
        <f>EXP(-LN(2)/2)*AW164+(1-EXP(-LN(2)/2))/(LN(2)/2)*AQ165*AT165*VLOOKUP('Données projet'!$B$10,Paramètres!$A$1:$I$89,3,0)*0.475*44/12</f>
        <v>4.8494716192921061E-20</v>
      </c>
      <c r="AX165" s="23">
        <f t="shared" si="166"/>
        <v>7.3480465195872452E-2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-5.6843418860808015E-14</v>
      </c>
      <c r="BE165" s="14">
        <f>BD165*VLOOKUP('Données projet'!$B$11,Paramètres!$A$1:$I$89,3,0)*VLOOKUP('Données projet'!$B$11,Paramètres!$A$1:$I$89,5,0)</f>
        <v>-5.7639226724859328E-14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201.65575435598231</v>
      </c>
      <c r="BJ165" s="62">
        <f t="shared" si="146"/>
        <v>103.75701796419935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1.1368683772161603E-13</v>
      </c>
      <c r="BZ165" s="14">
        <f>BY165*VLOOKUP('Données projet'!$B$12,Paramètres!$A$1:$I$89,3,0)*VLOOKUP('Données projet'!$B$12,Paramètres!$A$1:$I$89,5,0)</f>
        <v>6.7984728957526396E-14</v>
      </c>
      <c r="CA165" s="14">
        <f t="shared" si="170"/>
        <v>1.0682447123141398E-12</v>
      </c>
      <c r="CB165" s="22">
        <f t="shared" si="171"/>
        <v>1.978932943548152E-12</v>
      </c>
      <c r="CC165" s="62">
        <f t="shared" si="119"/>
        <v>293.3333333333353</v>
      </c>
      <c r="CD165" s="62">
        <f ca="1">AVERAGE(OFFSET($CC$3,0,0,'Données projet'!$E$12+1,1))-AVERAGE(OFFSET($H$3,0,0,'Données projet'!$E$12+1,1))</f>
        <v>222.32495275055498</v>
      </c>
      <c r="CE165" s="62">
        <f t="shared" si="148"/>
        <v>156.39259018918381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2.3793792337564131E-2</v>
      </c>
      <c r="CM165" s="23">
        <f>EXP(-LN(2)/2)*CM164+(1-EXP(-LN(2)/2))/(LN(2)/2)*CG165*CJ165*VLOOKUP('Données projet'!$B$12,Paramètres!$A$1:$I$89,3,0)*0.475*44/12</f>
        <v>1.4409468460704167E-19</v>
      </c>
      <c r="CN165" s="24">
        <f t="shared" si="172"/>
        <v>2.3793792337564131E-2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132.22560000000001</v>
      </c>
      <c r="D166" s="12">
        <f t="shared" si="140"/>
        <v>34.510120971187391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1287.0827583740781</v>
      </c>
      <c r="H166" s="70">
        <f t="shared" si="110"/>
        <v>547.06471402481804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-3.4106051316484809E-13</v>
      </c>
      <c r="O166" s="14">
        <f>N166*VLOOKUP('Données projet'!$B$9,Paramètres!$A$1:$I$89,3,0)*VLOOKUP('Données projet'!$B$9,Paramètres!$A$1:$I$89,5,0)</f>
        <v>-1.5961632016114892E-13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273.21086764807194</v>
      </c>
      <c r="T166" s="62">
        <f t="shared" si="142"/>
        <v>259.3474218586631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-1.1368683772161603E-13</v>
      </c>
      <c r="AJ166" s="14">
        <f>AI166*VLOOKUP('Données projet'!$B$10,Paramètres!$A$1:$I$89,3,0)*VLOOKUP('Données projet'!$B$10,Paramètres!$A$1:$I$89,5,0)</f>
        <v>-9.9316821433603781E-14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121.79484266530449</v>
      </c>
      <c r="AO166" s="62">
        <f t="shared" si="144"/>
        <v>129.14577359424788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7.14711380109216E-2</v>
      </c>
      <c r="AW166" s="23">
        <f>EXP(-LN(2)/2)*AW165+(1-EXP(-LN(2)/2))/(LN(2)/2)*AQ166*AT166*VLOOKUP('Données projet'!$B$10,Paramètres!$A$1:$I$89,3,0)*0.475*44/12</f>
        <v>3.4290942671731556E-20</v>
      </c>
      <c r="AX166" s="23">
        <f t="shared" si="166"/>
        <v>7.14711380109216E-2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-5.6843418860808015E-14</v>
      </c>
      <c r="BE166" s="14">
        <f>BD166*VLOOKUP('Données projet'!$B$11,Paramètres!$A$1:$I$89,3,0)*VLOOKUP('Données projet'!$B$11,Paramètres!$A$1:$I$89,5,0)</f>
        <v>-5.7639226724859328E-14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201.65575435598231</v>
      </c>
      <c r="BJ166" s="62">
        <f t="shared" si="146"/>
        <v>103.75701796419935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1.1368683772161603E-13</v>
      </c>
      <c r="BZ166" s="14">
        <f>BY166*VLOOKUP('Données projet'!$B$12,Paramètres!$A$1:$I$89,3,0)*VLOOKUP('Données projet'!$B$12,Paramètres!$A$1:$I$89,5,0)</f>
        <v>6.7984728957526396E-14</v>
      </c>
      <c r="CA166" s="14">
        <f t="shared" si="170"/>
        <v>1.0682447123141398E-12</v>
      </c>
      <c r="CB166" s="22">
        <f t="shared" si="171"/>
        <v>1.978932943548152E-12</v>
      </c>
      <c r="CC166" s="62">
        <f t="shared" si="119"/>
        <v>293.3333333333353</v>
      </c>
      <c r="CD166" s="62">
        <f ca="1">AVERAGE(OFFSET($CC$3,0,0,'Données projet'!$E$12+1,1))-AVERAGE(OFFSET($H$3,0,0,'Données projet'!$E$12+1,1))</f>
        <v>222.32495275055498</v>
      </c>
      <c r="CE166" s="62">
        <f t="shared" si="148"/>
        <v>156.39259018918381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2.3143149834832281E-2</v>
      </c>
      <c r="CM166" s="23">
        <f>EXP(-LN(2)/2)*CM165+(1-EXP(-LN(2)/2))/(LN(2)/2)*CG166*CJ166*VLOOKUP('Données projet'!$B$12,Paramètres!$A$1:$I$89,3,0)*0.475*44/12</f>
        <v>1.0189032861857599E-19</v>
      </c>
      <c r="CN166" s="24">
        <f t="shared" si="172"/>
        <v>2.3143149834832281E-2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133.03680000000003</v>
      </c>
      <c r="D167" s="12">
        <f t="shared" si="140"/>
        <v>34.697128823525262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1294.788222497388</v>
      </c>
      <c r="H167" s="70">
        <f t="shared" si="110"/>
        <v>548.80325936763984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-3.4106051316484809E-13</v>
      </c>
      <c r="O167" s="14">
        <f>N167*VLOOKUP('Données projet'!$B$9,Paramètres!$A$1:$I$89,3,0)*VLOOKUP('Données projet'!$B$9,Paramètres!$A$1:$I$89,5,0)</f>
        <v>-1.5961632016114892E-13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273.21086764807194</v>
      </c>
      <c r="T167" s="62">
        <f t="shared" si="142"/>
        <v>259.3474218586631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-1.1368683772161603E-13</v>
      </c>
      <c r="AJ167" s="14">
        <f>AI167*VLOOKUP('Données projet'!$B$10,Paramètres!$A$1:$I$89,3,0)*VLOOKUP('Données projet'!$B$10,Paramètres!$A$1:$I$89,5,0)</f>
        <v>-9.9316821433603781E-14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121.79484266530449</v>
      </c>
      <c r="AO167" s="62">
        <f t="shared" si="144"/>
        <v>129.14577359424788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6.9516755983509149E-2</v>
      </c>
      <c r="AW167" s="23">
        <f>EXP(-LN(2)/2)*AW166+(1-EXP(-LN(2)/2))/(LN(2)/2)*AQ167*AT167*VLOOKUP('Données projet'!$B$10,Paramètres!$A$1:$I$89,3,0)*0.475*44/12</f>
        <v>2.4247358096460531E-20</v>
      </c>
      <c r="AX167" s="23">
        <f t="shared" si="166"/>
        <v>6.9516755983509149E-2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-5.6843418860808015E-14</v>
      </c>
      <c r="BE167" s="14">
        <f>BD167*VLOOKUP('Données projet'!$B$11,Paramètres!$A$1:$I$89,3,0)*VLOOKUP('Données projet'!$B$11,Paramètres!$A$1:$I$89,5,0)</f>
        <v>-5.7639226724859328E-14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201.65575435598231</v>
      </c>
      <c r="BJ167" s="62">
        <f t="shared" si="146"/>
        <v>103.75701796419935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1.1368683772161603E-13</v>
      </c>
      <c r="BZ167" s="14">
        <f>BY167*VLOOKUP('Données projet'!$B$12,Paramètres!$A$1:$I$89,3,0)*VLOOKUP('Données projet'!$B$12,Paramètres!$A$1:$I$89,5,0)</f>
        <v>6.7984728957526396E-14</v>
      </c>
      <c r="CA167" s="14">
        <f t="shared" si="170"/>
        <v>1.0682447123141398E-12</v>
      </c>
      <c r="CB167" s="22">
        <f t="shared" si="171"/>
        <v>1.978932943548152E-12</v>
      </c>
      <c r="CC167" s="62">
        <f t="shared" si="119"/>
        <v>293.3333333333353</v>
      </c>
      <c r="CD167" s="62">
        <f ca="1">AVERAGE(OFFSET($CC$3,0,0,'Données projet'!$E$12+1,1))-AVERAGE(OFFSET($H$3,0,0,'Données projet'!$E$12+1,1))</f>
        <v>222.32495275055498</v>
      </c>
      <c r="CE167" s="62">
        <f t="shared" si="148"/>
        <v>156.39259018918381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2.2510299185553438E-2</v>
      </c>
      <c r="CM167" s="23">
        <f>EXP(-LN(2)/2)*CM166+(1-EXP(-LN(2)/2))/(LN(2)/2)*CG167*CJ167*VLOOKUP('Données projet'!$B$12,Paramètres!$A$1:$I$89,3,0)*0.475*44/12</f>
        <v>7.2047342303520835E-20</v>
      </c>
      <c r="CN167" s="24">
        <f t="shared" si="172"/>
        <v>2.2510299185553438E-2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133.84800000000004</v>
      </c>
      <c r="D168" s="12">
        <f t="shared" si="140"/>
        <v>34.884003992121691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1302.4926623953259</v>
      </c>
      <c r="H168" s="70">
        <f t="shared" si="110"/>
        <v>550.54157361961211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-3.4106051316484809E-13</v>
      </c>
      <c r="O168" s="14">
        <f>N168*VLOOKUP('Données projet'!$B$9,Paramètres!$A$1:$I$89,3,0)*VLOOKUP('Données projet'!$B$9,Paramètres!$A$1:$I$89,5,0)</f>
        <v>-1.5961632016114892E-13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273.21086764807194</v>
      </c>
      <c r="T168" s="62">
        <f t="shared" si="142"/>
        <v>259.3474218586631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-1.1368683772161603E-13</v>
      </c>
      <c r="AJ168" s="14">
        <f>AI168*VLOOKUP('Données projet'!$B$10,Paramètres!$A$1:$I$89,3,0)*VLOOKUP('Données projet'!$B$10,Paramètres!$A$1:$I$89,5,0)</f>
        <v>-9.9316821433603781E-14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121.79484266530449</v>
      </c>
      <c r="AO168" s="62">
        <f t="shared" si="144"/>
        <v>129.14577359424788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6.7615816635412773E-2</v>
      </c>
      <c r="AW168" s="23">
        <f>EXP(-LN(2)/2)*AW167+(1-EXP(-LN(2)/2))/(LN(2)/2)*AQ168*AT168*VLOOKUP('Données projet'!$B$10,Paramètres!$A$1:$I$89,3,0)*0.475*44/12</f>
        <v>1.7145471335865778E-20</v>
      </c>
      <c r="AX168" s="23">
        <f t="shared" si="166"/>
        <v>6.7615816635412773E-2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-5.6843418860808015E-14</v>
      </c>
      <c r="BE168" s="14">
        <f>BD168*VLOOKUP('Données projet'!$B$11,Paramètres!$A$1:$I$89,3,0)*VLOOKUP('Données projet'!$B$11,Paramètres!$A$1:$I$89,5,0)</f>
        <v>-5.7639226724859328E-14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201.65575435598231</v>
      </c>
      <c r="BJ168" s="62">
        <f t="shared" si="146"/>
        <v>103.75701796419935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1.1368683772161603E-13</v>
      </c>
      <c r="BZ168" s="14">
        <f>BY168*VLOOKUP('Données projet'!$B$12,Paramètres!$A$1:$I$89,3,0)*VLOOKUP('Données projet'!$B$12,Paramètres!$A$1:$I$89,5,0)</f>
        <v>6.7984728957526396E-14</v>
      </c>
      <c r="CA168" s="14">
        <f t="shared" si="170"/>
        <v>1.0682447123141398E-12</v>
      </c>
      <c r="CB168" s="22">
        <f t="shared" si="171"/>
        <v>1.978932943548152E-12</v>
      </c>
      <c r="CC168" s="62">
        <f t="shared" si="119"/>
        <v>293.3333333333353</v>
      </c>
      <c r="CD168" s="62">
        <f ca="1">AVERAGE(OFFSET($CC$3,0,0,'Données projet'!$E$12+1,1))-AVERAGE(OFFSET($H$3,0,0,'Données projet'!$E$12+1,1))</f>
        <v>222.32495275055498</v>
      </c>
      <c r="CE168" s="62">
        <f t="shared" si="148"/>
        <v>156.39259018918381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2.1894753870559294E-2</v>
      </c>
      <c r="CM168" s="23">
        <f>EXP(-LN(2)/2)*CM167+(1-EXP(-LN(2)/2))/(LN(2)/2)*CG168*CJ168*VLOOKUP('Données projet'!$B$12,Paramètres!$A$1:$I$89,3,0)*0.475*44/12</f>
        <v>5.0945164309287997E-20</v>
      </c>
      <c r="CN168" s="24">
        <f t="shared" si="172"/>
        <v>2.1894753870559294E-2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134.65920000000006</v>
      </c>
      <c r="D169" s="12">
        <f t="shared" si="140"/>
        <v>35.07074737441733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1310.1960849955026</v>
      </c>
      <c r="H169" s="70">
        <f t="shared" si="110"/>
        <v>552.27965834377687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-3.4106051316484809E-13</v>
      </c>
      <c r="O169" s="14">
        <f>N169*VLOOKUP('Données projet'!$B$9,Paramètres!$A$1:$I$89,3,0)*VLOOKUP('Données projet'!$B$9,Paramètres!$A$1:$I$89,5,0)</f>
        <v>-1.5961632016114892E-13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273.21086764807194</v>
      </c>
      <c r="T169" s="62">
        <f t="shared" si="142"/>
        <v>259.3474218586631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-1.1368683772161603E-13</v>
      </c>
      <c r="AJ169" s="14">
        <f>AI169*VLOOKUP('Données projet'!$B$10,Paramètres!$A$1:$I$89,3,0)*VLOOKUP('Données projet'!$B$10,Paramètres!$A$1:$I$89,5,0)</f>
        <v>-9.9316821433603781E-14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121.79484266530449</v>
      </c>
      <c r="AO169" s="62">
        <f t="shared" si="144"/>
        <v>129.14577359424788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6.5766858573756151E-2</v>
      </c>
      <c r="AW169" s="23">
        <f>EXP(-LN(2)/2)*AW168+(1-EXP(-LN(2)/2))/(LN(2)/2)*AQ169*AT169*VLOOKUP('Données projet'!$B$10,Paramètres!$A$1:$I$89,3,0)*0.475*44/12</f>
        <v>1.2123679048230265E-20</v>
      </c>
      <c r="AX169" s="23">
        <f t="shared" si="166"/>
        <v>6.5766858573756151E-2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-5.6843418860808015E-14</v>
      </c>
      <c r="BE169" s="14">
        <f>BD169*VLOOKUP('Données projet'!$B$11,Paramètres!$A$1:$I$89,3,0)*VLOOKUP('Données projet'!$B$11,Paramètres!$A$1:$I$89,5,0)</f>
        <v>-5.7639226724859328E-14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201.65575435598231</v>
      </c>
      <c r="BJ169" s="62">
        <f t="shared" si="146"/>
        <v>103.75701796419935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1.1368683772161603E-13</v>
      </c>
      <c r="BZ169" s="14">
        <f>BY169*VLOOKUP('Données projet'!$B$12,Paramètres!$A$1:$I$89,3,0)*VLOOKUP('Données projet'!$B$12,Paramètres!$A$1:$I$89,5,0)</f>
        <v>6.7984728957526396E-14</v>
      </c>
      <c r="CA169" s="14">
        <f t="shared" si="170"/>
        <v>1.0682447123141398E-12</v>
      </c>
      <c r="CB169" s="22">
        <f t="shared" si="171"/>
        <v>1.978932943548152E-12</v>
      </c>
      <c r="CC169" s="62">
        <f t="shared" si="119"/>
        <v>293.3333333333353</v>
      </c>
      <c r="CD169" s="62">
        <f ca="1">AVERAGE(OFFSET($CC$3,0,0,'Données projet'!$E$12+1,1))-AVERAGE(OFFSET($H$3,0,0,'Données projet'!$E$12+1,1))</f>
        <v>222.32495275055498</v>
      </c>
      <c r="CE169" s="62">
        <f t="shared" si="148"/>
        <v>156.39259018918381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2.1296040674573784E-2</v>
      </c>
      <c r="CM169" s="23">
        <f>EXP(-LN(2)/2)*CM168+(1-EXP(-LN(2)/2))/(LN(2)/2)*CG169*CJ169*VLOOKUP('Données projet'!$B$12,Paramètres!$A$1:$I$89,3,0)*0.475*44/12</f>
        <v>3.6023671151760418E-20</v>
      </c>
      <c r="CN169" s="24">
        <f t="shared" si="172"/>
        <v>2.1296040674573784E-2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135.47040000000007</v>
      </c>
      <c r="D170" s="12">
        <f t="shared" si="140"/>
        <v>35.257359856414858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1317.8984971372381</v>
      </c>
      <c r="H170" s="70">
        <f t="shared" si="110"/>
        <v>554.01751508325606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-3.4106051316484809E-13</v>
      </c>
      <c r="O170" s="14">
        <f>N170*VLOOKUP('Données projet'!$B$9,Paramètres!$A$1:$I$89,3,0)*VLOOKUP('Données projet'!$B$9,Paramètres!$A$1:$I$89,5,0)</f>
        <v>-1.5961632016114892E-13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273.21086764807194</v>
      </c>
      <c r="T170" s="62">
        <f t="shared" si="142"/>
        <v>259.3474218586631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-1.1368683772161603E-13</v>
      </c>
      <c r="AJ170" s="14">
        <f>AI170*VLOOKUP('Données projet'!$B$10,Paramètres!$A$1:$I$89,3,0)*VLOOKUP('Données projet'!$B$10,Paramètres!$A$1:$I$89,5,0)</f>
        <v>-9.9316821433603781E-14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121.79484266530449</v>
      </c>
      <c r="AO170" s="62">
        <f t="shared" si="144"/>
        <v>129.14577359424788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6.3968460367528013E-2</v>
      </c>
      <c r="AW170" s="23">
        <f>EXP(-LN(2)/2)*AW169+(1-EXP(-LN(2)/2))/(LN(2)/2)*AQ170*AT170*VLOOKUP('Données projet'!$B$10,Paramètres!$A$1:$I$89,3,0)*0.475*44/12</f>
        <v>8.5727356679328889E-21</v>
      </c>
      <c r="AX170" s="23">
        <f t="shared" si="166"/>
        <v>6.3968460367528013E-2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-5.6843418860808015E-14</v>
      </c>
      <c r="BE170" s="14">
        <f>BD170*VLOOKUP('Données projet'!$B$11,Paramètres!$A$1:$I$89,3,0)*VLOOKUP('Données projet'!$B$11,Paramètres!$A$1:$I$89,5,0)</f>
        <v>-5.7639226724859328E-14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201.65575435598231</v>
      </c>
      <c r="BJ170" s="62">
        <f t="shared" si="146"/>
        <v>103.75701796419935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1.1368683772161603E-13</v>
      </c>
      <c r="BZ170" s="14">
        <f>BY170*VLOOKUP('Données projet'!$B$12,Paramètres!$A$1:$I$89,3,0)*VLOOKUP('Données projet'!$B$12,Paramètres!$A$1:$I$89,5,0)</f>
        <v>6.7984728957526396E-14</v>
      </c>
      <c r="CA170" s="14">
        <f t="shared" si="170"/>
        <v>1.0682447123141398E-12</v>
      </c>
      <c r="CB170" s="22">
        <f t="shared" si="171"/>
        <v>1.978932943548152E-12</v>
      </c>
      <c r="CC170" s="62">
        <f t="shared" si="119"/>
        <v>293.3333333333353</v>
      </c>
      <c r="CD170" s="62">
        <f ca="1">AVERAGE(OFFSET($CC$3,0,0,'Données projet'!$E$12+1,1))-AVERAGE(OFFSET($H$3,0,0,'Données projet'!$E$12+1,1))</f>
        <v>222.32495275055498</v>
      </c>
      <c r="CE170" s="62">
        <f t="shared" si="148"/>
        <v>156.39259018918381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2.0713699322417459E-2</v>
      </c>
      <c r="CM170" s="23">
        <f>EXP(-LN(2)/2)*CM169+(1-EXP(-LN(2)/2))/(LN(2)/2)*CG170*CJ170*VLOOKUP('Données projet'!$B$12,Paramètres!$A$1:$I$89,3,0)*0.475*44/12</f>
        <v>2.5472582154643998E-20</v>
      </c>
      <c r="CN170" s="24">
        <f t="shared" si="172"/>
        <v>2.0713699322417459E-2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136.28160000000008</v>
      </c>
      <c r="D171" s="12">
        <f t="shared" si="140"/>
        <v>35.443842312892279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1325.5999055732043</v>
      </c>
      <c r="H171" s="70">
        <f t="shared" si="110"/>
        <v>555.75514536162086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-3.4106051316484809E-13</v>
      </c>
      <c r="O171" s="14">
        <f>N171*VLOOKUP('Données projet'!$B$9,Paramètres!$A$1:$I$89,3,0)*VLOOKUP('Données projet'!$B$9,Paramètres!$A$1:$I$89,5,0)</f>
        <v>-1.5961632016114892E-13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273.21086764807194</v>
      </c>
      <c r="T171" s="62">
        <f t="shared" si="142"/>
        <v>259.3474218586631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-1.1368683772161603E-13</v>
      </c>
      <c r="AJ171" s="14">
        <f>AI171*VLOOKUP('Données projet'!$B$10,Paramètres!$A$1:$I$89,3,0)*VLOOKUP('Données projet'!$B$10,Paramètres!$A$1:$I$89,5,0)</f>
        <v>-9.9316821433603781E-14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121.79484266530449</v>
      </c>
      <c r="AO171" s="62">
        <f t="shared" si="144"/>
        <v>129.14577359424788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6.2219239454822828E-2</v>
      </c>
      <c r="AW171" s="23">
        <f>EXP(-LN(2)/2)*AW170+(1-EXP(-LN(2)/2))/(LN(2)/2)*AQ171*AT171*VLOOKUP('Données projet'!$B$10,Paramètres!$A$1:$I$89,3,0)*0.475*44/12</f>
        <v>6.0618395241151327E-21</v>
      </c>
      <c r="AX171" s="23">
        <f t="shared" si="166"/>
        <v>6.2219239454822828E-2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-5.6843418860808015E-14</v>
      </c>
      <c r="BE171" s="14">
        <f>BD171*VLOOKUP('Données projet'!$B$11,Paramètres!$A$1:$I$89,3,0)*VLOOKUP('Données projet'!$B$11,Paramètres!$A$1:$I$89,5,0)</f>
        <v>-5.7639226724859328E-14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201.65575435598231</v>
      </c>
      <c r="BJ171" s="62">
        <f t="shared" si="146"/>
        <v>103.75701796419935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1.1368683772161603E-13</v>
      </c>
      <c r="BZ171" s="14">
        <f>BY171*VLOOKUP('Données projet'!$B$12,Paramètres!$A$1:$I$89,3,0)*VLOOKUP('Données projet'!$B$12,Paramètres!$A$1:$I$89,5,0)</f>
        <v>6.7984728957526396E-14</v>
      </c>
      <c r="CA171" s="14">
        <f t="shared" si="170"/>
        <v>1.0682447123141398E-12</v>
      </c>
      <c r="CB171" s="22">
        <f t="shared" si="171"/>
        <v>1.978932943548152E-12</v>
      </c>
      <c r="CC171" s="62">
        <f t="shared" si="119"/>
        <v>293.3333333333353</v>
      </c>
      <c r="CD171" s="62">
        <f ca="1">AVERAGE(OFFSET($CC$3,0,0,'Données projet'!$E$12+1,1))-AVERAGE(OFFSET($H$3,0,0,'Données projet'!$E$12+1,1))</f>
        <v>222.32495275055498</v>
      </c>
      <c r="CE171" s="62">
        <f t="shared" si="148"/>
        <v>156.39259018918381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2.0147282125159847E-2</v>
      </c>
      <c r="CM171" s="23">
        <f>EXP(-LN(2)/2)*CM170+(1-EXP(-LN(2)/2))/(LN(2)/2)*CG171*CJ171*VLOOKUP('Données projet'!$B$12,Paramètres!$A$1:$I$89,3,0)*0.475*44/12</f>
        <v>1.8011835575880209E-20</v>
      </c>
      <c r="CN171" s="24">
        <f t="shared" si="172"/>
        <v>2.0147282125159847E-2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137.0928000000001</v>
      </c>
      <c r="D172" s="12">
        <f t="shared" si="140"/>
        <v>35.6301956076111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1333.3003169710339</v>
      </c>
      <c r="H172" s="70">
        <f t="shared" si="110"/>
        <v>557.49255068325624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-3.4106051316484809E-13</v>
      </c>
      <c r="O172" s="14">
        <f>N172*VLOOKUP('Données projet'!$B$9,Paramètres!$A$1:$I$89,3,0)*VLOOKUP('Données projet'!$B$9,Paramètres!$A$1:$I$89,5,0)</f>
        <v>-1.5961632016114892E-13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273.21086764807194</v>
      </c>
      <c r="T172" s="62">
        <f t="shared" si="142"/>
        <v>259.3474218586631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-1.1368683772161603E-13</v>
      </c>
      <c r="AJ172" s="14">
        <f>AI172*VLOOKUP('Données projet'!$B$10,Paramètres!$A$1:$I$89,3,0)*VLOOKUP('Données projet'!$B$10,Paramètres!$A$1:$I$89,5,0)</f>
        <v>-9.9316821433603781E-14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121.79484266530449</v>
      </c>
      <c r="AO172" s="62">
        <f t="shared" si="144"/>
        <v>129.14577359424788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6.0517851079963096E-2</v>
      </c>
      <c r="AW172" s="23">
        <f>EXP(-LN(2)/2)*AW171+(1-EXP(-LN(2)/2))/(LN(2)/2)*AQ172*AT172*VLOOKUP('Données projet'!$B$10,Paramètres!$A$1:$I$89,3,0)*0.475*44/12</f>
        <v>4.2863678339664444E-21</v>
      </c>
      <c r="AX172" s="23">
        <f t="shared" si="166"/>
        <v>6.0517851079963096E-2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-5.6843418860808015E-14</v>
      </c>
      <c r="BE172" s="14">
        <f>BD172*VLOOKUP('Données projet'!$B$11,Paramètres!$A$1:$I$89,3,0)*VLOOKUP('Données projet'!$B$11,Paramètres!$A$1:$I$89,5,0)</f>
        <v>-5.7639226724859328E-14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201.65575435598231</v>
      </c>
      <c r="BJ172" s="62">
        <f t="shared" si="146"/>
        <v>103.75701796419935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1.1368683772161603E-13</v>
      </c>
      <c r="BZ172" s="14">
        <f>BY172*VLOOKUP('Données projet'!$B$12,Paramètres!$A$1:$I$89,3,0)*VLOOKUP('Données projet'!$B$12,Paramètres!$A$1:$I$89,5,0)</f>
        <v>6.7984728957526396E-14</v>
      </c>
      <c r="CA172" s="14">
        <f t="shared" si="170"/>
        <v>1.0682447123141398E-12</v>
      </c>
      <c r="CB172" s="22">
        <f t="shared" si="171"/>
        <v>1.978932943548152E-12</v>
      </c>
      <c r="CC172" s="62">
        <f t="shared" si="119"/>
        <v>293.3333333333353</v>
      </c>
      <c r="CD172" s="62">
        <f ca="1">AVERAGE(OFFSET($CC$3,0,0,'Données projet'!$E$12+1,1))-AVERAGE(OFFSET($H$3,0,0,'Données projet'!$E$12+1,1))</f>
        <v>222.32495275055498</v>
      </c>
      <c r="CE172" s="62">
        <f t="shared" si="148"/>
        <v>156.39259018918381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1.959635363594783E-2</v>
      </c>
      <c r="CM172" s="23">
        <f>EXP(-LN(2)/2)*CM171+(1-EXP(-LN(2)/2))/(LN(2)/2)*CG172*CJ172*VLOOKUP('Données projet'!$B$12,Paramètres!$A$1:$I$89,3,0)*0.475*44/12</f>
        <v>1.2736291077321999E-20</v>
      </c>
      <c r="CN172" s="24">
        <f t="shared" si="172"/>
        <v>1.959635363594783E-2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137.90400000000011</v>
      </c>
      <c r="D173" s="12">
        <f t="shared" si="140"/>
        <v>35.816420593519382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1340.9997379148874</v>
      </c>
      <c r="H173" s="70">
        <f t="shared" si="110"/>
        <v>559.2297325337131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-3.4106051316484809E-13</v>
      </c>
      <c r="O173" s="14">
        <f>N173*VLOOKUP('Données projet'!$B$9,Paramètres!$A$1:$I$89,3,0)*VLOOKUP('Données projet'!$B$9,Paramètres!$A$1:$I$89,5,0)</f>
        <v>-1.5961632016114892E-13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273.21086764807194</v>
      </c>
      <c r="T173" s="62">
        <f t="shared" si="142"/>
        <v>259.3474218586631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-1.1368683772161603E-13</v>
      </c>
      <c r="AJ173" s="14">
        <f>AI173*VLOOKUP('Données projet'!$B$10,Paramètres!$A$1:$I$89,3,0)*VLOOKUP('Données projet'!$B$10,Paramètres!$A$1:$I$89,5,0)</f>
        <v>-9.9316821433603781E-14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121.79484266530449</v>
      </c>
      <c r="AO173" s="62">
        <f t="shared" si="144"/>
        <v>129.14577359424788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5.8862987259686035E-2</v>
      </c>
      <c r="AW173" s="23">
        <f>EXP(-LN(2)/2)*AW172+(1-EXP(-LN(2)/2))/(LN(2)/2)*AQ173*AT173*VLOOKUP('Données projet'!$B$10,Paramètres!$A$1:$I$89,3,0)*0.475*44/12</f>
        <v>3.0309197620575663E-21</v>
      </c>
      <c r="AX173" s="23">
        <f t="shared" si="166"/>
        <v>5.8862987259686035E-2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-5.6843418860808015E-14</v>
      </c>
      <c r="BE173" s="14">
        <f>BD173*VLOOKUP('Données projet'!$B$11,Paramètres!$A$1:$I$89,3,0)*VLOOKUP('Données projet'!$B$11,Paramètres!$A$1:$I$89,5,0)</f>
        <v>-5.7639226724859328E-14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201.65575435598231</v>
      </c>
      <c r="BJ173" s="62">
        <f t="shared" si="146"/>
        <v>103.75701796419935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1.1368683772161603E-13</v>
      </c>
      <c r="BZ173" s="14">
        <f>BY173*VLOOKUP('Données projet'!$B$12,Paramètres!$A$1:$I$89,3,0)*VLOOKUP('Données projet'!$B$12,Paramètres!$A$1:$I$89,5,0)</f>
        <v>6.7984728957526396E-14</v>
      </c>
      <c r="CA173" s="14">
        <f t="shared" si="170"/>
        <v>1.0682447123141398E-12</v>
      </c>
      <c r="CB173" s="22">
        <f t="shared" si="171"/>
        <v>1.978932943548152E-12</v>
      </c>
      <c r="CC173" s="62">
        <f t="shared" si="119"/>
        <v>293.3333333333353</v>
      </c>
      <c r="CD173" s="62">
        <f ca="1">AVERAGE(OFFSET($CC$3,0,0,'Données projet'!$E$12+1,1))-AVERAGE(OFFSET($H$3,0,0,'Données projet'!$E$12+1,1))</f>
        <v>222.32495275055498</v>
      </c>
      <c r="CE173" s="62">
        <f t="shared" si="148"/>
        <v>156.39259018918381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1.9060490315245385E-2</v>
      </c>
      <c r="CM173" s="23">
        <f>EXP(-LN(2)/2)*CM172+(1-EXP(-LN(2)/2))/(LN(2)/2)*CG173*CJ173*VLOOKUP('Données projet'!$B$12,Paramètres!$A$1:$I$89,3,0)*0.475*44/12</f>
        <v>9.0059177879401044E-21</v>
      </c>
      <c r="CN173" s="24">
        <f t="shared" si="172"/>
        <v>1.9060490315245385E-2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138.71520000000012</v>
      </c>
      <c r="D174" s="12">
        <f t="shared" si="140"/>
        <v>36.002518112950014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1348.6981749069835</v>
      </c>
      <c r="H174" s="70">
        <f t="shared" si="110"/>
        <v>560.96669238005484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-3.4106051316484809E-13</v>
      </c>
      <c r="O174" s="14">
        <f>N174*VLOOKUP('Données projet'!$B$9,Paramètres!$A$1:$I$89,3,0)*VLOOKUP('Données projet'!$B$9,Paramètres!$A$1:$I$89,5,0)</f>
        <v>-1.5961632016114892E-13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273.21086764807194</v>
      </c>
      <c r="T174" s="62">
        <f t="shared" si="142"/>
        <v>259.3474218586631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-1.1368683772161603E-13</v>
      </c>
      <c r="AJ174" s="14">
        <f>AI174*VLOOKUP('Données projet'!$B$10,Paramètres!$A$1:$I$89,3,0)*VLOOKUP('Données projet'!$B$10,Paramètres!$A$1:$I$89,5,0)</f>
        <v>-9.9316821433603781E-14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121.79484266530449</v>
      </c>
      <c r="AO174" s="62">
        <f t="shared" si="144"/>
        <v>129.14577359424788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5.7253375777599952E-2</v>
      </c>
      <c r="AW174" s="23">
        <f>EXP(-LN(2)/2)*AW173+(1-EXP(-LN(2)/2))/(LN(2)/2)*AQ174*AT174*VLOOKUP('Données projet'!$B$10,Paramètres!$A$1:$I$89,3,0)*0.475*44/12</f>
        <v>2.1431839169832222E-21</v>
      </c>
      <c r="AX174" s="23">
        <f t="shared" si="166"/>
        <v>5.7253375777599952E-2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-5.6843418860808015E-14</v>
      </c>
      <c r="BE174" s="14">
        <f>BD174*VLOOKUP('Données projet'!$B$11,Paramètres!$A$1:$I$89,3,0)*VLOOKUP('Données projet'!$B$11,Paramètres!$A$1:$I$89,5,0)</f>
        <v>-5.7639226724859328E-14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201.65575435598231</v>
      </c>
      <c r="BJ174" s="62">
        <f t="shared" si="146"/>
        <v>103.75701796419935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1.1368683772161603E-13</v>
      </c>
      <c r="BZ174" s="14">
        <f>BY174*VLOOKUP('Données projet'!$B$12,Paramètres!$A$1:$I$89,3,0)*VLOOKUP('Données projet'!$B$12,Paramètres!$A$1:$I$89,5,0)</f>
        <v>6.7984728957526396E-14</v>
      </c>
      <c r="CA174" s="14">
        <f t="shared" si="170"/>
        <v>1.0682447123141398E-12</v>
      </c>
      <c r="CB174" s="22">
        <f t="shared" si="171"/>
        <v>1.978932943548152E-12</v>
      </c>
      <c r="CC174" s="62">
        <f t="shared" si="119"/>
        <v>293.3333333333353</v>
      </c>
      <c r="CD174" s="62">
        <f ca="1">AVERAGE(OFFSET($CC$3,0,0,'Données projet'!$E$12+1,1))-AVERAGE(OFFSET($H$3,0,0,'Données projet'!$E$12+1,1))</f>
        <v>222.32495275055498</v>
      </c>
      <c r="CE174" s="62">
        <f t="shared" si="148"/>
        <v>156.39259018918381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1.8539280205227378E-2</v>
      </c>
      <c r="CM174" s="23">
        <f>EXP(-LN(2)/2)*CM173+(1-EXP(-LN(2)/2))/(LN(2)/2)*CG174*CJ174*VLOOKUP('Données projet'!$B$12,Paramètres!$A$1:$I$89,3,0)*0.475*44/12</f>
        <v>6.3681455386609996E-21</v>
      </c>
      <c r="CN174" s="24">
        <f t="shared" si="172"/>
        <v>1.8539280205227378E-2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139.52640000000014</v>
      </c>
      <c r="D175" s="12">
        <f t="shared" si="140"/>
        <v>36.18848899781392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1356.3956343690909</v>
      </c>
      <c r="H175" s="70">
        <f t="shared" si="110"/>
        <v>562.7034316711929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-3.4106051316484809E-13</v>
      </c>
      <c r="O175" s="14">
        <f>N175*VLOOKUP('Données projet'!$B$9,Paramètres!$A$1:$I$89,3,0)*VLOOKUP('Données projet'!$B$9,Paramètres!$A$1:$I$89,5,0)</f>
        <v>-1.5961632016114892E-13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273.21086764807194</v>
      </c>
      <c r="T175" s="62">
        <f t="shared" si="142"/>
        <v>259.3474218586631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-1.1368683772161603E-13</v>
      </c>
      <c r="AJ175" s="14">
        <f>AI175*VLOOKUP('Données projet'!$B$10,Paramètres!$A$1:$I$89,3,0)*VLOOKUP('Données projet'!$B$10,Paramètres!$A$1:$I$89,5,0)</f>
        <v>-9.9316821433603781E-14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121.79484266530449</v>
      </c>
      <c r="AO175" s="62">
        <f t="shared" si="144"/>
        <v>129.14577359424788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5.5687779206137301E-2</v>
      </c>
      <c r="AW175" s="23">
        <f>EXP(-LN(2)/2)*AW174+(1-EXP(-LN(2)/2))/(LN(2)/2)*AQ175*AT175*VLOOKUP('Données projet'!$B$10,Paramètres!$A$1:$I$89,3,0)*0.475*44/12</f>
        <v>1.5154598810287832E-21</v>
      </c>
      <c r="AX175" s="23">
        <f t="shared" si="166"/>
        <v>5.5687779206137301E-2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-5.6843418860808015E-14</v>
      </c>
      <c r="BE175" s="14">
        <f>BD175*VLOOKUP('Données projet'!$B$11,Paramètres!$A$1:$I$89,3,0)*VLOOKUP('Données projet'!$B$11,Paramètres!$A$1:$I$89,5,0)</f>
        <v>-5.7639226724859328E-14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201.65575435598231</v>
      </c>
      <c r="BJ175" s="62">
        <f t="shared" si="146"/>
        <v>103.75701796419935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1.1368683772161603E-13</v>
      </c>
      <c r="BZ175" s="14">
        <f>BY175*VLOOKUP('Données projet'!$B$12,Paramètres!$A$1:$I$89,3,0)*VLOOKUP('Données projet'!$B$12,Paramètres!$A$1:$I$89,5,0)</f>
        <v>6.7984728957526396E-14</v>
      </c>
      <c r="CA175" s="14">
        <f t="shared" si="170"/>
        <v>1.0682447123141398E-12</v>
      </c>
      <c r="CB175" s="22">
        <f t="shared" si="171"/>
        <v>1.978932943548152E-12</v>
      </c>
      <c r="CC175" s="62">
        <f t="shared" si="119"/>
        <v>293.3333333333353</v>
      </c>
      <c r="CD175" s="62">
        <f ca="1">AVERAGE(OFFSET($CC$3,0,0,'Données projet'!$E$12+1,1))-AVERAGE(OFFSET($H$3,0,0,'Données projet'!$E$12+1,1))</f>
        <v>222.32495275055498</v>
      </c>
      <c r="CE175" s="62">
        <f t="shared" si="148"/>
        <v>156.39259018918381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1.8032322613077061E-2</v>
      </c>
      <c r="CM175" s="23">
        <f>EXP(-LN(2)/2)*CM174+(1-EXP(-LN(2)/2))/(LN(2)/2)*CG175*CJ175*VLOOKUP('Données projet'!$B$12,Paramètres!$A$1:$I$89,3,0)*0.475*44/12</f>
        <v>4.5029588939700522E-21</v>
      </c>
      <c r="CN175" s="24">
        <f t="shared" si="172"/>
        <v>1.8032322613077061E-2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140.33760000000015</v>
      </c>
      <c r="D176" s="12">
        <f t="shared" si="140"/>
        <v>36.374334069789043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1364.0921226439868</v>
      </c>
      <c r="H176" s="70">
        <f t="shared" si="110"/>
        <v>564.43995183821619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-3.4106051316484809E-13</v>
      </c>
      <c r="O176" s="14">
        <f>N176*VLOOKUP('Données projet'!$B$9,Paramètres!$A$1:$I$89,3,0)*VLOOKUP('Données projet'!$B$9,Paramètres!$A$1:$I$89,5,0)</f>
        <v>-1.5961632016114892E-13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273.21086764807194</v>
      </c>
      <c r="T176" s="62">
        <f t="shared" si="142"/>
        <v>259.3474218586631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-1.1368683772161603E-13</v>
      </c>
      <c r="AJ176" s="14">
        <f>AI176*VLOOKUP('Données projet'!$B$10,Paramètres!$A$1:$I$89,3,0)*VLOOKUP('Données projet'!$B$10,Paramètres!$A$1:$I$89,5,0)</f>
        <v>-9.9316821433603781E-14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121.79484266530449</v>
      </c>
      <c r="AO176" s="62">
        <f t="shared" si="144"/>
        <v>129.14577359424788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5.4164993955252441E-2</v>
      </c>
      <c r="AW176" s="23">
        <f>EXP(-LN(2)/2)*AW175+(1-EXP(-LN(2)/2))/(LN(2)/2)*AQ176*AT176*VLOOKUP('Données projet'!$B$10,Paramètres!$A$1:$I$89,3,0)*0.475*44/12</f>
        <v>1.0715919584916111E-21</v>
      </c>
      <c r="AX176" s="23">
        <f t="shared" si="166"/>
        <v>5.4164993955252441E-2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-5.6843418860808015E-14</v>
      </c>
      <c r="BE176" s="14">
        <f>BD176*VLOOKUP('Données projet'!$B$11,Paramètres!$A$1:$I$89,3,0)*VLOOKUP('Données projet'!$B$11,Paramètres!$A$1:$I$89,5,0)</f>
        <v>-5.7639226724859328E-14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201.65575435598231</v>
      </c>
      <c r="BJ176" s="62">
        <f t="shared" si="146"/>
        <v>103.75701796419935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1.1368683772161603E-13</v>
      </c>
      <c r="BZ176" s="14">
        <f>BY176*VLOOKUP('Données projet'!$B$12,Paramètres!$A$1:$I$89,3,0)*VLOOKUP('Données projet'!$B$12,Paramètres!$A$1:$I$89,5,0)</f>
        <v>6.7984728957526396E-14</v>
      </c>
      <c r="CA176" s="14">
        <f t="shared" si="170"/>
        <v>1.0682447123141398E-12</v>
      </c>
      <c r="CB176" s="22">
        <f t="shared" si="171"/>
        <v>1.978932943548152E-12</v>
      </c>
      <c r="CC176" s="62">
        <f t="shared" si="119"/>
        <v>293.3333333333353</v>
      </c>
      <c r="CD176" s="62">
        <f ca="1">AVERAGE(OFFSET($CC$3,0,0,'Données projet'!$E$12+1,1))-AVERAGE(OFFSET($H$3,0,0,'Données projet'!$E$12+1,1))</f>
        <v>222.32495275055498</v>
      </c>
      <c r="CE176" s="62">
        <f t="shared" si="148"/>
        <v>156.39259018918381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1.7539227802943837E-2</v>
      </c>
      <c r="CM176" s="23">
        <f>EXP(-LN(2)/2)*CM175+(1-EXP(-LN(2)/2))/(LN(2)/2)*CG176*CJ176*VLOOKUP('Données projet'!$B$12,Paramètres!$A$1:$I$89,3,0)*0.475*44/12</f>
        <v>3.1840727693304998E-21</v>
      </c>
      <c r="CN176" s="24">
        <f t="shared" si="172"/>
        <v>1.7539227802943837E-2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141.14880000000016</v>
      </c>
      <c r="D177" s="12">
        <f t="shared" si="140"/>
        <v>36.560054140504519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1371.7876459968784</v>
      </c>
      <c r="H177" s="70">
        <f t="shared" si="110"/>
        <v>566.17625429471229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-3.4106051316484809E-13</v>
      </c>
      <c r="O177" s="14">
        <f>N177*VLOOKUP('Données projet'!$B$9,Paramètres!$A$1:$I$89,3,0)*VLOOKUP('Données projet'!$B$9,Paramètres!$A$1:$I$89,5,0)</f>
        <v>-1.5961632016114892E-13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273.21086764807194</v>
      </c>
      <c r="T177" s="62">
        <f t="shared" si="142"/>
        <v>259.3474218586631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-1.1368683772161603E-13</v>
      </c>
      <c r="AJ177" s="14">
        <f>AI177*VLOOKUP('Données projet'!$B$10,Paramètres!$A$1:$I$89,3,0)*VLOOKUP('Données projet'!$B$10,Paramètres!$A$1:$I$89,5,0)</f>
        <v>-9.9316821433603781E-14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121.79484266530449</v>
      </c>
      <c r="AO177" s="62">
        <f t="shared" si="144"/>
        <v>129.14577359424788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5.2683849347132827E-2</v>
      </c>
      <c r="AW177" s="23">
        <f>EXP(-LN(2)/2)*AW176+(1-EXP(-LN(2)/2))/(LN(2)/2)*AQ177*AT177*VLOOKUP('Données projet'!$B$10,Paramètres!$A$1:$I$89,3,0)*0.475*44/12</f>
        <v>7.5772994051439158E-22</v>
      </c>
      <c r="AX177" s="23">
        <f t="shared" si="166"/>
        <v>5.2683849347132827E-2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-5.6843418860808015E-14</v>
      </c>
      <c r="BE177" s="14">
        <f>BD177*VLOOKUP('Données projet'!$B$11,Paramètres!$A$1:$I$89,3,0)*VLOOKUP('Données projet'!$B$11,Paramètres!$A$1:$I$89,5,0)</f>
        <v>-5.7639226724859328E-14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201.65575435598231</v>
      </c>
      <c r="BJ177" s="62">
        <f t="shared" si="146"/>
        <v>103.75701796419935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1.1368683772161603E-13</v>
      </c>
      <c r="BZ177" s="14">
        <f>BY177*VLOOKUP('Données projet'!$B$12,Paramètres!$A$1:$I$89,3,0)*VLOOKUP('Données projet'!$B$12,Paramètres!$A$1:$I$89,5,0)</f>
        <v>6.7984728957526396E-14</v>
      </c>
      <c r="CA177" s="14">
        <f t="shared" si="170"/>
        <v>1.0682447123141398E-12</v>
      </c>
      <c r="CB177" s="22">
        <f t="shared" si="171"/>
        <v>1.978932943548152E-12</v>
      </c>
      <c r="CC177" s="62">
        <f t="shared" si="119"/>
        <v>293.3333333333353</v>
      </c>
      <c r="CD177" s="62">
        <f ca="1">AVERAGE(OFFSET($CC$3,0,0,'Données projet'!$E$12+1,1))-AVERAGE(OFFSET($H$3,0,0,'Données projet'!$E$12+1,1))</f>
        <v>222.32495275055498</v>
      </c>
      <c r="CE177" s="62">
        <f t="shared" si="148"/>
        <v>156.39259018918381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1.7059616696324435E-2</v>
      </c>
      <c r="CM177" s="23">
        <f>EXP(-LN(2)/2)*CM176+(1-EXP(-LN(2)/2))/(LN(2)/2)*CG177*CJ177*VLOOKUP('Données projet'!$B$12,Paramètres!$A$1:$I$89,3,0)*0.475*44/12</f>
        <v>2.2514794469850261E-21</v>
      </c>
      <c r="CN177" s="24">
        <f t="shared" si="172"/>
        <v>1.7059616696324435E-2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141.96000000000018</v>
      </c>
      <c r="D178" s="12">
        <f t="shared" si="140"/>
        <v>36.745650011720521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1379.4822106167915</v>
      </c>
      <c r="H178" s="70">
        <f t="shared" si="110"/>
        <v>567.91234043708027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-3.4106051316484809E-13</v>
      </c>
      <c r="O178" s="14">
        <f>N178*VLOOKUP('Données projet'!$B$9,Paramètres!$A$1:$I$89,3,0)*VLOOKUP('Données projet'!$B$9,Paramètres!$A$1:$I$89,5,0)</f>
        <v>-1.5961632016114892E-13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273.21086764807194</v>
      </c>
      <c r="T178" s="62">
        <f t="shared" si="142"/>
        <v>259.3474218586631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-1.1368683772161603E-13</v>
      </c>
      <c r="AJ178" s="14">
        <f>AI178*VLOOKUP('Données projet'!$B$10,Paramètres!$A$1:$I$89,3,0)*VLOOKUP('Données projet'!$B$10,Paramètres!$A$1:$I$89,5,0)</f>
        <v>-9.9316821433603781E-14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121.79484266530449</v>
      </c>
      <c r="AO178" s="62">
        <f t="shared" si="144"/>
        <v>129.14577359424788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5.1243206716212256E-2</v>
      </c>
      <c r="AW178" s="23">
        <f>EXP(-LN(2)/2)*AW177+(1-EXP(-LN(2)/2))/(LN(2)/2)*AQ178*AT178*VLOOKUP('Données projet'!$B$10,Paramètres!$A$1:$I$89,3,0)*0.475*44/12</f>
        <v>5.3579597924580556E-22</v>
      </c>
      <c r="AX178" s="23">
        <f t="shared" si="166"/>
        <v>5.1243206716212256E-2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-5.6843418860808015E-14</v>
      </c>
      <c r="BE178" s="14">
        <f>BD178*VLOOKUP('Données projet'!$B$11,Paramètres!$A$1:$I$89,3,0)*VLOOKUP('Données projet'!$B$11,Paramètres!$A$1:$I$89,5,0)</f>
        <v>-5.7639226724859328E-14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201.65575435598231</v>
      </c>
      <c r="BJ178" s="62">
        <f t="shared" si="146"/>
        <v>103.75701796419935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1.1368683772161603E-13</v>
      </c>
      <c r="BZ178" s="14">
        <f>BY178*VLOOKUP('Données projet'!$B$12,Paramètres!$A$1:$I$89,3,0)*VLOOKUP('Données projet'!$B$12,Paramètres!$A$1:$I$89,5,0)</f>
        <v>6.7984728957526396E-14</v>
      </c>
      <c r="CA178" s="14">
        <f t="shared" si="170"/>
        <v>1.0682447123141398E-12</v>
      </c>
      <c r="CB178" s="22">
        <f t="shared" si="171"/>
        <v>1.978932943548152E-12</v>
      </c>
      <c r="CC178" s="62">
        <f t="shared" si="119"/>
        <v>293.3333333333353</v>
      </c>
      <c r="CD178" s="62">
        <f ca="1">AVERAGE(OFFSET($CC$3,0,0,'Données projet'!$E$12+1,1))-AVERAGE(OFFSET($H$3,0,0,'Données projet'!$E$12+1,1))</f>
        <v>222.32495275055498</v>
      </c>
      <c r="CE178" s="62">
        <f t="shared" si="148"/>
        <v>156.39259018918381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1.6593120580637191E-2</v>
      </c>
      <c r="CM178" s="23">
        <f>EXP(-LN(2)/2)*CM177+(1-EXP(-LN(2)/2))/(LN(2)/2)*CG178*CJ178*VLOOKUP('Données projet'!$B$12,Paramètres!$A$1:$I$89,3,0)*0.475*44/12</f>
        <v>1.5920363846652499E-21</v>
      </c>
      <c r="CN178" s="24">
        <f t="shared" si="172"/>
        <v>1.6593120580637191E-2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142.77120000000019</v>
      </c>
      <c r="D179" s="12">
        <f t="shared" si="140"/>
        <v>36.931122475504125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1387.1758226179281</v>
      </c>
      <c r="H179" s="70">
        <f t="shared" si="110"/>
        <v>569.64821164483669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-3.4106051316484809E-13</v>
      </c>
      <c r="O179" s="14">
        <f>N179*VLOOKUP('Données projet'!$B$9,Paramètres!$A$1:$I$89,3,0)*VLOOKUP('Données projet'!$B$9,Paramètres!$A$1:$I$89,5,0)</f>
        <v>-1.5961632016114892E-13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273.21086764807194</v>
      </c>
      <c r="T179" s="62">
        <f t="shared" si="142"/>
        <v>259.3474218586631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-1.1368683772161603E-13</v>
      </c>
      <c r="AJ179" s="14">
        <f>AI179*VLOOKUP('Données projet'!$B$10,Paramètres!$A$1:$I$89,3,0)*VLOOKUP('Données projet'!$B$10,Paramètres!$A$1:$I$89,5,0)</f>
        <v>-9.9316821433603781E-14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121.79484266530449</v>
      </c>
      <c r="AO179" s="62">
        <f t="shared" si="144"/>
        <v>129.14577359424788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4.9841958533794306E-2</v>
      </c>
      <c r="AW179" s="23">
        <f>EXP(-LN(2)/2)*AW178+(1-EXP(-LN(2)/2))/(LN(2)/2)*AQ179*AT179*VLOOKUP('Données projet'!$B$10,Paramètres!$A$1:$I$89,3,0)*0.475*44/12</f>
        <v>3.7886497025719579E-22</v>
      </c>
      <c r="AX179" s="23">
        <f t="shared" si="166"/>
        <v>4.9841958533794306E-2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-5.6843418860808015E-14</v>
      </c>
      <c r="BE179" s="14">
        <f>BD179*VLOOKUP('Données projet'!$B$11,Paramètres!$A$1:$I$89,3,0)*VLOOKUP('Données projet'!$B$11,Paramètres!$A$1:$I$89,5,0)</f>
        <v>-5.7639226724859328E-14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201.65575435598231</v>
      </c>
      <c r="BJ179" s="62">
        <f t="shared" si="146"/>
        <v>103.75701796419935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1.1368683772161603E-13</v>
      </c>
      <c r="BZ179" s="14">
        <f>BY179*VLOOKUP('Données projet'!$B$12,Paramètres!$A$1:$I$89,3,0)*VLOOKUP('Données projet'!$B$12,Paramètres!$A$1:$I$89,5,0)</f>
        <v>6.7984728957526396E-14</v>
      </c>
      <c r="CA179" s="14">
        <f t="shared" si="170"/>
        <v>1.0682447123141398E-12</v>
      </c>
      <c r="CB179" s="22">
        <f t="shared" si="171"/>
        <v>1.978932943548152E-12</v>
      </c>
      <c r="CC179" s="62">
        <f t="shared" si="119"/>
        <v>293.3333333333353</v>
      </c>
      <c r="CD179" s="62">
        <f ca="1">AVERAGE(OFFSET($CC$3,0,0,'Données projet'!$E$12+1,1))-AVERAGE(OFFSET($H$3,0,0,'Données projet'!$E$12+1,1))</f>
        <v>222.32495275055498</v>
      </c>
      <c r="CE179" s="62">
        <f t="shared" si="148"/>
        <v>156.39259018918381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1.6139380825765378E-2</v>
      </c>
      <c r="CM179" s="23">
        <f>EXP(-LN(2)/2)*CM178+(1-EXP(-LN(2)/2))/(LN(2)/2)*CG179*CJ179*VLOOKUP('Données projet'!$B$12,Paramètres!$A$1:$I$89,3,0)*0.475*44/12</f>
        <v>1.1257397234925131E-21</v>
      </c>
      <c r="CN179" s="24">
        <f t="shared" si="172"/>
        <v>1.6139380825765378E-2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143.58240000000021</v>
      </c>
      <c r="D180" s="12">
        <f t="shared" si="140"/>
        <v>37.116472314400717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1394.8684880409899</v>
      </c>
      <c r="H180" s="70">
        <f t="shared" si="110"/>
        <v>571.38386928091495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-3.4106051316484809E-13</v>
      </c>
      <c r="O180" s="14">
        <f>N180*VLOOKUP('Données projet'!$B$9,Paramètres!$A$1:$I$89,3,0)*VLOOKUP('Données projet'!$B$9,Paramètres!$A$1:$I$89,5,0)</f>
        <v>-1.5961632016114892E-13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273.21086764807194</v>
      </c>
      <c r="T180" s="62">
        <f t="shared" si="142"/>
        <v>259.3474218586631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-1.1368683772161603E-13</v>
      </c>
      <c r="AJ180" s="14">
        <f>AI180*VLOOKUP('Données projet'!$B$10,Paramètres!$A$1:$I$89,3,0)*VLOOKUP('Données projet'!$B$10,Paramètres!$A$1:$I$89,5,0)</f>
        <v>-9.9316821433603781E-14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121.79484266530449</v>
      </c>
      <c r="AO180" s="62">
        <f t="shared" si="144"/>
        <v>129.14577359424788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4.8479027556613014E-2</v>
      </c>
      <c r="AW180" s="23">
        <f>EXP(-LN(2)/2)*AW179+(1-EXP(-LN(2)/2))/(LN(2)/2)*AQ180*AT180*VLOOKUP('Données projet'!$B$10,Paramètres!$A$1:$I$89,3,0)*0.475*44/12</f>
        <v>2.6789798962290278E-22</v>
      </c>
      <c r="AX180" s="23">
        <f t="shared" si="166"/>
        <v>4.8479027556613014E-2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-5.6843418860808015E-14</v>
      </c>
      <c r="BE180" s="14">
        <f>BD180*VLOOKUP('Données projet'!$B$11,Paramètres!$A$1:$I$89,3,0)*VLOOKUP('Données projet'!$B$11,Paramètres!$A$1:$I$89,5,0)</f>
        <v>-5.7639226724859328E-14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201.65575435598231</v>
      </c>
      <c r="BJ180" s="62">
        <f t="shared" si="146"/>
        <v>103.75701796419935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1.1368683772161603E-13</v>
      </c>
      <c r="BZ180" s="14">
        <f>BY180*VLOOKUP('Données projet'!$B$12,Paramètres!$A$1:$I$89,3,0)*VLOOKUP('Données projet'!$B$12,Paramètres!$A$1:$I$89,5,0)</f>
        <v>6.7984728957526396E-14</v>
      </c>
      <c r="CA180" s="14">
        <f t="shared" si="170"/>
        <v>1.0682447123141398E-12</v>
      </c>
      <c r="CB180" s="22">
        <f t="shared" si="171"/>
        <v>1.978932943548152E-12</v>
      </c>
      <c r="CC180" s="62">
        <f t="shared" si="119"/>
        <v>293.3333333333353</v>
      </c>
      <c r="CD180" s="62">
        <f ca="1">AVERAGE(OFFSET($CC$3,0,0,'Données projet'!$E$12+1,1))-AVERAGE(OFFSET($H$3,0,0,'Données projet'!$E$12+1,1))</f>
        <v>222.32495275055498</v>
      </c>
      <c r="CE180" s="62">
        <f t="shared" si="148"/>
        <v>156.39259018918381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1.5698048608351674E-2</v>
      </c>
      <c r="CM180" s="23">
        <f>EXP(-LN(2)/2)*CM179+(1-EXP(-LN(2)/2))/(LN(2)/2)*CG180*CJ180*VLOOKUP('Données projet'!$B$12,Paramètres!$A$1:$I$89,3,0)*0.475*44/12</f>
        <v>7.9601819233262495E-22</v>
      </c>
      <c r="CN180" s="24">
        <f t="shared" si="172"/>
        <v>1.5698048608351674E-2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144.39360000000022</v>
      </c>
      <c r="D181" s="12">
        <f t="shared" si="140"/>
        <v>37.301700301601755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1402.5602128544715</v>
      </c>
      <c r="H181" s="70">
        <f t="shared" si="110"/>
        <v>573.11931469195679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-3.4106051316484809E-13</v>
      </c>
      <c r="O181" s="14">
        <f>N181*VLOOKUP('Données projet'!$B$9,Paramètres!$A$1:$I$89,3,0)*VLOOKUP('Données projet'!$B$9,Paramètres!$A$1:$I$89,5,0)</f>
        <v>-1.5961632016114892E-13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273.21086764807194</v>
      </c>
      <c r="T181" s="62">
        <f t="shared" si="142"/>
        <v>259.3474218586631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-1.1368683772161603E-13</v>
      </c>
      <c r="AJ181" s="14">
        <f>AI181*VLOOKUP('Données projet'!$B$10,Paramètres!$A$1:$I$89,3,0)*VLOOKUP('Données projet'!$B$10,Paramètres!$A$1:$I$89,5,0)</f>
        <v>-9.9316821433603781E-14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121.79484266530449</v>
      </c>
      <c r="AO181" s="62">
        <f t="shared" si="144"/>
        <v>129.14577359424788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4.7153365998676172E-2</v>
      </c>
      <c r="AW181" s="23">
        <f>EXP(-LN(2)/2)*AW180+(1-EXP(-LN(2)/2))/(LN(2)/2)*AQ181*AT181*VLOOKUP('Données projet'!$B$10,Paramètres!$A$1:$I$89,3,0)*0.475*44/12</f>
        <v>1.894324851285979E-22</v>
      </c>
      <c r="AX181" s="23">
        <f t="shared" si="166"/>
        <v>4.7153365998676172E-2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-5.6843418860808015E-14</v>
      </c>
      <c r="BE181" s="14">
        <f>BD181*VLOOKUP('Données projet'!$B$11,Paramètres!$A$1:$I$89,3,0)*VLOOKUP('Données projet'!$B$11,Paramètres!$A$1:$I$89,5,0)</f>
        <v>-5.7639226724859328E-14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201.65575435598231</v>
      </c>
      <c r="BJ181" s="62">
        <f t="shared" si="146"/>
        <v>103.75701796419935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1.1368683772161603E-13</v>
      </c>
      <c r="BZ181" s="14">
        <f>BY181*VLOOKUP('Données projet'!$B$12,Paramètres!$A$1:$I$89,3,0)*VLOOKUP('Données projet'!$B$12,Paramètres!$A$1:$I$89,5,0)</f>
        <v>6.7984728957526396E-14</v>
      </c>
      <c r="CA181" s="14">
        <f t="shared" si="170"/>
        <v>1.0682447123141398E-12</v>
      </c>
      <c r="CB181" s="22">
        <f t="shared" si="171"/>
        <v>1.978932943548152E-12</v>
      </c>
      <c r="CC181" s="62">
        <f t="shared" si="119"/>
        <v>293.3333333333353</v>
      </c>
      <c r="CD181" s="62">
        <f ca="1">AVERAGE(OFFSET($CC$3,0,0,'Données projet'!$E$12+1,1))-AVERAGE(OFFSET($H$3,0,0,'Données projet'!$E$12+1,1))</f>
        <v>222.32495275055498</v>
      </c>
      <c r="CE181" s="62">
        <f t="shared" si="148"/>
        <v>156.39259018918381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1.5268784643631799E-2</v>
      </c>
      <c r="CM181" s="23">
        <f>EXP(-LN(2)/2)*CM180+(1-EXP(-LN(2)/2))/(LN(2)/2)*CG181*CJ181*VLOOKUP('Données projet'!$B$12,Paramètres!$A$1:$I$89,3,0)*0.475*44/12</f>
        <v>5.6286986174625653E-22</v>
      </c>
      <c r="CN181" s="24">
        <f t="shared" si="172"/>
        <v>1.5268784643631799E-2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145.20480000000023</v>
      </c>
      <c r="D182" s="12">
        <f t="shared" si="140"/>
        <v>37.486807201108292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1410.2510029559255</v>
      </c>
      <c r="H182" s="70">
        <f t="shared" si="110"/>
        <v>574.8545492085974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-3.4106051316484809E-13</v>
      </c>
      <c r="O182" s="14">
        <f>N182*VLOOKUP('Données projet'!$B$9,Paramètres!$A$1:$I$89,3,0)*VLOOKUP('Données projet'!$B$9,Paramètres!$A$1:$I$89,5,0)</f>
        <v>-1.5961632016114892E-13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273.21086764807194</v>
      </c>
      <c r="T182" s="62">
        <f t="shared" si="142"/>
        <v>259.3474218586631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-1.1368683772161603E-13</v>
      </c>
      <c r="AJ182" s="14">
        <f>AI182*VLOOKUP('Données projet'!$B$10,Paramètres!$A$1:$I$89,3,0)*VLOOKUP('Données projet'!$B$10,Paramètres!$A$1:$I$89,5,0)</f>
        <v>-9.9316821433603781E-14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121.79484266530449</v>
      </c>
      <c r="AO182" s="62">
        <f t="shared" si="144"/>
        <v>129.14577359424788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4.5863954725754622E-2</v>
      </c>
      <c r="AW182" s="23">
        <f>EXP(-LN(2)/2)*AW181+(1-EXP(-LN(2)/2))/(LN(2)/2)*AQ182*AT182*VLOOKUP('Données projet'!$B$10,Paramètres!$A$1:$I$89,3,0)*0.475*44/12</f>
        <v>1.3394899481145139E-22</v>
      </c>
      <c r="AX182" s="23">
        <f t="shared" si="166"/>
        <v>4.5863954725754622E-2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-5.6843418860808015E-14</v>
      </c>
      <c r="BE182" s="14">
        <f>BD182*VLOOKUP('Données projet'!$B$11,Paramètres!$A$1:$I$89,3,0)*VLOOKUP('Données projet'!$B$11,Paramètres!$A$1:$I$89,5,0)</f>
        <v>-5.7639226724859328E-14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201.65575435598231</v>
      </c>
      <c r="BJ182" s="62">
        <f t="shared" si="146"/>
        <v>103.75701796419935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1.1368683772161603E-13</v>
      </c>
      <c r="BZ182" s="14">
        <f>BY182*VLOOKUP('Données projet'!$B$12,Paramètres!$A$1:$I$89,3,0)*VLOOKUP('Données projet'!$B$12,Paramètres!$A$1:$I$89,5,0)</f>
        <v>6.7984728957526396E-14</v>
      </c>
      <c r="CA182" s="14">
        <f t="shared" si="170"/>
        <v>1.0682447123141398E-12</v>
      </c>
      <c r="CB182" s="22">
        <f t="shared" si="171"/>
        <v>1.978932943548152E-12</v>
      </c>
      <c r="CC182" s="62">
        <f t="shared" si="119"/>
        <v>293.3333333333353</v>
      </c>
      <c r="CD182" s="62">
        <f ca="1">AVERAGE(OFFSET($CC$3,0,0,'Données projet'!$E$12+1,1))-AVERAGE(OFFSET($H$3,0,0,'Données projet'!$E$12+1,1))</f>
        <v>222.32495275055498</v>
      </c>
      <c r="CE182" s="62">
        <f t="shared" si="148"/>
        <v>156.39259018918381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1.48512589246012E-2</v>
      </c>
      <c r="CM182" s="23">
        <f>EXP(-LN(2)/2)*CM181+(1-EXP(-LN(2)/2))/(LN(2)/2)*CG182*CJ182*VLOOKUP('Données projet'!$B$12,Paramètres!$A$1:$I$89,3,0)*0.475*44/12</f>
        <v>3.9800909616631248E-22</v>
      </c>
      <c r="CN182" s="24">
        <f t="shared" si="172"/>
        <v>1.48512589246012E-2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146.01600000000025</v>
      </c>
      <c r="D183" s="12">
        <f t="shared" si="140"/>
        <v>37.671793767891131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1417.9408641731968</v>
      </c>
      <c r="H183" s="70">
        <f t="shared" si="110"/>
        <v>576.58957414574411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-3.4106051316484809E-13</v>
      </c>
      <c r="O183" s="14">
        <f>N183*VLOOKUP('Données projet'!$B$9,Paramètres!$A$1:$I$89,3,0)*VLOOKUP('Données projet'!$B$9,Paramètres!$A$1:$I$89,5,0)</f>
        <v>-1.5961632016114892E-13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273.21086764807194</v>
      </c>
      <c r="T183" s="62">
        <f t="shared" si="142"/>
        <v>259.3474218586631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-1.1368683772161603E-13</v>
      </c>
      <c r="AJ183" s="14">
        <f>AI183*VLOOKUP('Données projet'!$B$10,Paramètres!$A$1:$I$89,3,0)*VLOOKUP('Données projet'!$B$10,Paramètres!$A$1:$I$89,5,0)</f>
        <v>-9.9316821433603781E-14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121.79484266530449</v>
      </c>
      <c r="AO183" s="62">
        <f t="shared" si="144"/>
        <v>129.14577359424788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4.4609802471898309E-2</v>
      </c>
      <c r="AW183" s="23">
        <f>EXP(-LN(2)/2)*AW182+(1-EXP(-LN(2)/2))/(LN(2)/2)*AQ183*AT183*VLOOKUP('Données projet'!$B$10,Paramètres!$A$1:$I$89,3,0)*0.475*44/12</f>
        <v>9.4716242564298948E-23</v>
      </c>
      <c r="AX183" s="23">
        <f t="shared" si="166"/>
        <v>4.4609802471898309E-2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-5.6843418860808015E-14</v>
      </c>
      <c r="BE183" s="14">
        <f>BD183*VLOOKUP('Données projet'!$B$11,Paramètres!$A$1:$I$89,3,0)*VLOOKUP('Données projet'!$B$11,Paramètres!$A$1:$I$89,5,0)</f>
        <v>-5.7639226724859328E-14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201.65575435598231</v>
      </c>
      <c r="BJ183" s="62">
        <f t="shared" si="146"/>
        <v>103.75701796419935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1.1368683772161603E-13</v>
      </c>
      <c r="BZ183" s="14">
        <f>BY183*VLOOKUP('Données projet'!$B$12,Paramètres!$A$1:$I$89,3,0)*VLOOKUP('Données projet'!$B$12,Paramètres!$A$1:$I$89,5,0)</f>
        <v>6.7984728957526396E-14</v>
      </c>
      <c r="CA183" s="14">
        <f t="shared" si="170"/>
        <v>1.0682447123141398E-12</v>
      </c>
      <c r="CB183" s="22">
        <f t="shared" si="171"/>
        <v>1.978932943548152E-12</v>
      </c>
      <c r="CC183" s="62">
        <f t="shared" si="119"/>
        <v>293.3333333333353</v>
      </c>
      <c r="CD183" s="62">
        <f ca="1">AVERAGE(OFFSET($CC$3,0,0,'Données projet'!$E$12+1,1))-AVERAGE(OFFSET($H$3,0,0,'Données projet'!$E$12+1,1))</f>
        <v>222.32495275055498</v>
      </c>
      <c r="CE183" s="62">
        <f t="shared" si="148"/>
        <v>156.39259018918381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1.4445150468314216E-2</v>
      </c>
      <c r="CM183" s="23">
        <f>EXP(-LN(2)/2)*CM182+(1-EXP(-LN(2)/2))/(LN(2)/2)*CG183*CJ183*VLOOKUP('Données projet'!$B$12,Paramètres!$A$1:$I$89,3,0)*0.475*44/12</f>
        <v>2.8143493087312826E-22</v>
      </c>
      <c r="CN183" s="24">
        <f t="shared" si="172"/>
        <v>1.4445150468314216E-2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146.82720000000026</v>
      </c>
      <c r="D184" s="12">
        <f t="shared" si="140"/>
        <v>37.856660748047048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1425.6298022656283</v>
      </c>
      <c r="H184" s="70">
        <f t="shared" si="110"/>
        <v>578.32439080284905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-3.4106051316484809E-13</v>
      </c>
      <c r="O184" s="14">
        <f>N184*VLOOKUP('Données projet'!$B$9,Paramètres!$A$1:$I$89,3,0)*VLOOKUP('Données projet'!$B$9,Paramètres!$A$1:$I$89,5,0)</f>
        <v>-1.5961632016114892E-13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273.21086764807194</v>
      </c>
      <c r="T184" s="62">
        <f t="shared" si="142"/>
        <v>259.3474218586631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-1.1368683772161603E-13</v>
      </c>
      <c r="AJ184" s="14">
        <f>AI184*VLOOKUP('Données projet'!$B$10,Paramètres!$A$1:$I$89,3,0)*VLOOKUP('Données projet'!$B$10,Paramètres!$A$1:$I$89,5,0)</f>
        <v>-9.9316821433603781E-14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121.79484266530449</v>
      </c>
      <c r="AO184" s="62">
        <f t="shared" si="144"/>
        <v>129.14577359424788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4.3389945077376695E-2</v>
      </c>
      <c r="AW184" s="23">
        <f>EXP(-LN(2)/2)*AW183+(1-EXP(-LN(2)/2))/(LN(2)/2)*AQ184*AT184*VLOOKUP('Données projet'!$B$10,Paramètres!$A$1:$I$89,3,0)*0.475*44/12</f>
        <v>6.6974497405725694E-23</v>
      </c>
      <c r="AX184" s="23">
        <f t="shared" si="166"/>
        <v>4.3389945077376695E-2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-5.6843418860808015E-14</v>
      </c>
      <c r="BE184" s="14">
        <f>BD184*VLOOKUP('Données projet'!$B$11,Paramètres!$A$1:$I$89,3,0)*VLOOKUP('Données projet'!$B$11,Paramètres!$A$1:$I$89,5,0)</f>
        <v>-5.7639226724859328E-14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201.65575435598231</v>
      </c>
      <c r="BJ184" s="62">
        <f t="shared" si="146"/>
        <v>103.75701796419935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1.1368683772161603E-13</v>
      </c>
      <c r="BZ184" s="14">
        <f>BY184*VLOOKUP('Données projet'!$B$12,Paramètres!$A$1:$I$89,3,0)*VLOOKUP('Données projet'!$B$12,Paramètres!$A$1:$I$89,5,0)</f>
        <v>6.7984728957526396E-14</v>
      </c>
      <c r="CA184" s="14">
        <f t="shared" si="170"/>
        <v>1.0682447123141398E-12</v>
      </c>
      <c r="CB184" s="22">
        <f t="shared" si="171"/>
        <v>1.978932943548152E-12</v>
      </c>
      <c r="CC184" s="62">
        <f t="shared" si="119"/>
        <v>293.3333333333353</v>
      </c>
      <c r="CD184" s="62">
        <f ca="1">AVERAGE(OFFSET($CC$3,0,0,'Données projet'!$E$12+1,1))-AVERAGE(OFFSET($H$3,0,0,'Données projet'!$E$12+1,1))</f>
        <v>222.32495275055498</v>
      </c>
      <c r="CE184" s="62">
        <f t="shared" si="148"/>
        <v>156.39259018918381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1.4050147069120715E-2</v>
      </c>
      <c r="CM184" s="23">
        <f>EXP(-LN(2)/2)*CM183+(1-EXP(-LN(2)/2))/(LN(2)/2)*CG184*CJ184*VLOOKUP('Données projet'!$B$12,Paramètres!$A$1:$I$89,3,0)*0.475*44/12</f>
        <v>1.9900454808315624E-22</v>
      </c>
      <c r="CN184" s="24">
        <f t="shared" si="172"/>
        <v>1.4050147069120715E-2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147.63840000000027</v>
      </c>
      <c r="D185" s="12">
        <f t="shared" si="140"/>
        <v>38.041408878951366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1433.3178229252408</v>
      </c>
      <c r="H185" s="70">
        <f t="shared" si="110"/>
        <v>580.05900046417401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-3.4106051316484809E-13</v>
      </c>
      <c r="O185" s="14">
        <f>N185*VLOOKUP('Données projet'!$B$9,Paramètres!$A$1:$I$89,3,0)*VLOOKUP('Données projet'!$B$9,Paramètres!$A$1:$I$89,5,0)</f>
        <v>-1.5961632016114892E-13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273.21086764807194</v>
      </c>
      <c r="T185" s="62">
        <f t="shared" si="142"/>
        <v>259.3474218586631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-1.1368683772161603E-13</v>
      </c>
      <c r="AJ185" s="14">
        <f>AI185*VLOOKUP('Données projet'!$B$10,Paramètres!$A$1:$I$89,3,0)*VLOOKUP('Données projet'!$B$10,Paramètres!$A$1:$I$89,5,0)</f>
        <v>-9.9316821433603781E-14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121.79484266530449</v>
      </c>
      <c r="AO185" s="62">
        <f t="shared" si="144"/>
        <v>129.14577359424788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4.2203444747457783E-2</v>
      </c>
      <c r="AW185" s="23">
        <f>EXP(-LN(2)/2)*AW184+(1-EXP(-LN(2)/2))/(LN(2)/2)*AQ185*AT185*VLOOKUP('Données projet'!$B$10,Paramètres!$A$1:$I$89,3,0)*0.475*44/12</f>
        <v>4.7358121282149474E-23</v>
      </c>
      <c r="AX185" s="23">
        <f t="shared" si="166"/>
        <v>4.2203444747457783E-2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-5.6843418860808015E-14</v>
      </c>
      <c r="BE185" s="14">
        <f>BD185*VLOOKUP('Données projet'!$B$11,Paramètres!$A$1:$I$89,3,0)*VLOOKUP('Données projet'!$B$11,Paramètres!$A$1:$I$89,5,0)</f>
        <v>-5.7639226724859328E-14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201.65575435598231</v>
      </c>
      <c r="BJ185" s="62">
        <f t="shared" si="146"/>
        <v>103.75701796419935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1.1368683772161603E-13</v>
      </c>
      <c r="BZ185" s="14">
        <f>BY185*VLOOKUP('Données projet'!$B$12,Paramètres!$A$1:$I$89,3,0)*VLOOKUP('Données projet'!$B$12,Paramètres!$A$1:$I$89,5,0)</f>
        <v>6.7984728957526396E-14</v>
      </c>
      <c r="CA185" s="14">
        <f t="shared" si="170"/>
        <v>1.0682447123141398E-12</v>
      </c>
      <c r="CB185" s="22">
        <f t="shared" si="171"/>
        <v>1.978932943548152E-12</v>
      </c>
      <c r="CC185" s="62">
        <f t="shared" si="119"/>
        <v>293.3333333333353</v>
      </c>
      <c r="CD185" s="62">
        <f ca="1">AVERAGE(OFFSET($CC$3,0,0,'Données projet'!$E$12+1,1))-AVERAGE(OFFSET($H$3,0,0,'Données projet'!$E$12+1,1))</f>
        <v>222.32495275055498</v>
      </c>
      <c r="CE185" s="62">
        <f t="shared" si="148"/>
        <v>156.39259018918381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1.3665945058650486E-2</v>
      </c>
      <c r="CM185" s="23">
        <f>EXP(-LN(2)/2)*CM184+(1-EXP(-LN(2)/2))/(LN(2)/2)*CG185*CJ185*VLOOKUP('Données projet'!$B$12,Paramètres!$A$1:$I$89,3,0)*0.475*44/12</f>
        <v>1.4071746543656413E-22</v>
      </c>
      <c r="CN185" s="24">
        <f t="shared" si="172"/>
        <v>1.3665945058650486E-2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148.44960000000029</v>
      </c>
      <c r="D186" s="12">
        <f t="shared" si="140"/>
        <v>38.226038889407569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1441.0049317778851</v>
      </c>
      <c r="H186" s="70">
        <f t="shared" si="110"/>
        <v>581.79340439905206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-3.4106051316484809E-13</v>
      </c>
      <c r="O186" s="14">
        <f>N186*VLOOKUP('Données projet'!$B$9,Paramètres!$A$1:$I$89,3,0)*VLOOKUP('Données projet'!$B$9,Paramètres!$A$1:$I$89,5,0)</f>
        <v>-1.5961632016114892E-13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273.21086764807194</v>
      </c>
      <c r="T186" s="62">
        <f t="shared" si="142"/>
        <v>259.3474218586631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-1.1368683772161603E-13</v>
      </c>
      <c r="AJ186" s="14">
        <f>AI186*VLOOKUP('Données projet'!$B$10,Paramètres!$A$1:$I$89,3,0)*VLOOKUP('Données projet'!$B$10,Paramètres!$A$1:$I$89,5,0)</f>
        <v>-9.9316821433603781E-14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121.79484266530449</v>
      </c>
      <c r="AO186" s="62">
        <f t="shared" si="144"/>
        <v>129.14577359424788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4.1049389331455848E-2</v>
      </c>
      <c r="AW186" s="23">
        <f>EXP(-LN(2)/2)*AW185+(1-EXP(-LN(2)/2))/(LN(2)/2)*AQ186*AT186*VLOOKUP('Données projet'!$B$10,Paramètres!$A$1:$I$89,3,0)*0.475*44/12</f>
        <v>3.3487248702862847E-23</v>
      </c>
      <c r="AX186" s="23">
        <f t="shared" si="166"/>
        <v>4.1049389331455848E-2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-5.6843418860808015E-14</v>
      </c>
      <c r="BE186" s="14">
        <f>BD186*VLOOKUP('Données projet'!$B$11,Paramètres!$A$1:$I$89,3,0)*VLOOKUP('Données projet'!$B$11,Paramètres!$A$1:$I$89,5,0)</f>
        <v>-5.7639226724859328E-14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201.65575435598231</v>
      </c>
      <c r="BJ186" s="62">
        <f t="shared" si="146"/>
        <v>103.75701796419935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1.1368683772161603E-13</v>
      </c>
      <c r="BZ186" s="14">
        <f>BY186*VLOOKUP('Données projet'!$B$12,Paramètres!$A$1:$I$89,3,0)*VLOOKUP('Données projet'!$B$12,Paramètres!$A$1:$I$89,5,0)</f>
        <v>6.7984728957526396E-14</v>
      </c>
      <c r="CA186" s="14">
        <f t="shared" si="170"/>
        <v>1.0682447123141398E-12</v>
      </c>
      <c r="CB186" s="22">
        <f t="shared" si="171"/>
        <v>1.978932943548152E-12</v>
      </c>
      <c r="CC186" s="62">
        <f t="shared" si="119"/>
        <v>293.3333333333353</v>
      </c>
      <c r="CD186" s="62">
        <f ca="1">AVERAGE(OFFSET($CC$3,0,0,'Données projet'!$E$12+1,1))-AVERAGE(OFFSET($H$3,0,0,'Données projet'!$E$12+1,1))</f>
        <v>222.32495275055498</v>
      </c>
      <c r="CE186" s="62">
        <f t="shared" si="148"/>
        <v>156.39259018918381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1.3292249072360872E-2</v>
      </c>
      <c r="CM186" s="23">
        <f>EXP(-LN(2)/2)*CM185+(1-EXP(-LN(2)/2))/(LN(2)/2)*CG186*CJ186*VLOOKUP('Données projet'!$B$12,Paramètres!$A$1:$I$89,3,0)*0.475*44/12</f>
        <v>9.9502274041578119E-23</v>
      </c>
      <c r="CN186" s="24">
        <f t="shared" si="172"/>
        <v>1.3292249072360872E-2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149.2608000000003</v>
      </c>
      <c r="D187" s="12">
        <f t="shared" si="140"/>
        <v>38.410551499792973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1448.6911343843692</v>
      </c>
      <c r="H187" s="70">
        <f t="shared" si="110"/>
        <v>583.52760386213993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-3.4106051316484809E-13</v>
      </c>
      <c r="O187" s="14">
        <f>N187*VLOOKUP('Données projet'!$B$9,Paramètres!$A$1:$I$89,3,0)*VLOOKUP('Données projet'!$B$9,Paramètres!$A$1:$I$89,5,0)</f>
        <v>-1.5961632016114892E-13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273.21086764807194</v>
      </c>
      <c r="T187" s="62">
        <f t="shared" si="142"/>
        <v>259.3474218586631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-1.1368683772161603E-13</v>
      </c>
      <c r="AJ187" s="14">
        <f>AI187*VLOOKUP('Données projet'!$B$10,Paramètres!$A$1:$I$89,3,0)*VLOOKUP('Données projet'!$B$10,Paramètres!$A$1:$I$89,5,0)</f>
        <v>-9.9316821433603781E-14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121.79484266530449</v>
      </c>
      <c r="AO187" s="62">
        <f t="shared" si="144"/>
        <v>129.14577359424788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3.992689162149362E-2</v>
      </c>
      <c r="AW187" s="23">
        <f>EXP(-LN(2)/2)*AW186+(1-EXP(-LN(2)/2))/(LN(2)/2)*AQ187*AT187*VLOOKUP('Données projet'!$B$10,Paramètres!$A$1:$I$89,3,0)*0.475*44/12</f>
        <v>2.3679060641074737E-23</v>
      </c>
      <c r="AX187" s="23">
        <f t="shared" si="166"/>
        <v>3.992689162149362E-2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-5.6843418860808015E-14</v>
      </c>
      <c r="BE187" s="14">
        <f>BD187*VLOOKUP('Données projet'!$B$11,Paramètres!$A$1:$I$89,3,0)*VLOOKUP('Données projet'!$B$11,Paramètres!$A$1:$I$89,5,0)</f>
        <v>-5.7639226724859328E-14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201.65575435598231</v>
      </c>
      <c r="BJ187" s="62">
        <f t="shared" si="146"/>
        <v>103.75701796419935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1.1368683772161603E-13</v>
      </c>
      <c r="BZ187" s="14">
        <f>BY187*VLOOKUP('Données projet'!$B$12,Paramètres!$A$1:$I$89,3,0)*VLOOKUP('Données projet'!$B$12,Paramètres!$A$1:$I$89,5,0)</f>
        <v>6.7984728957526396E-14</v>
      </c>
      <c r="CA187" s="14">
        <f t="shared" si="170"/>
        <v>1.0682447123141398E-12</v>
      </c>
      <c r="CB187" s="22">
        <f t="shared" si="171"/>
        <v>1.978932943548152E-12</v>
      </c>
      <c r="CC187" s="62">
        <f t="shared" si="119"/>
        <v>293.3333333333353</v>
      </c>
      <c r="CD187" s="62">
        <f ca="1">AVERAGE(OFFSET($CC$3,0,0,'Données projet'!$E$12+1,1))-AVERAGE(OFFSET($H$3,0,0,'Données projet'!$E$12+1,1))</f>
        <v>222.32495275055498</v>
      </c>
      <c r="CE187" s="62">
        <f t="shared" si="148"/>
        <v>156.39259018918381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1.2928771822468165E-2</v>
      </c>
      <c r="CM187" s="23">
        <f>EXP(-LN(2)/2)*CM186+(1-EXP(-LN(2)/2))/(LN(2)/2)*CG187*CJ187*VLOOKUP('Données projet'!$B$12,Paramètres!$A$1:$I$89,3,0)*0.475*44/12</f>
        <v>7.0358732718282066E-23</v>
      </c>
      <c r="CN187" s="24">
        <f t="shared" si="172"/>
        <v>1.2928771822468165E-2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150.07200000000032</v>
      </c>
      <c r="D188" s="12">
        <f t="shared" si="140"/>
        <v>38.594947422201528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1456.3764362415579</v>
      </c>
      <c r="H188" s="70">
        <f t="shared" si="110"/>
        <v>585.26160009366822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-3.4106051316484809E-13</v>
      </c>
      <c r="O188" s="14">
        <f>N188*VLOOKUP('Données projet'!$B$9,Paramètres!$A$1:$I$89,3,0)*VLOOKUP('Données projet'!$B$9,Paramètres!$A$1:$I$89,5,0)</f>
        <v>-1.5961632016114892E-13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273.21086764807194</v>
      </c>
      <c r="T188" s="62">
        <f t="shared" si="142"/>
        <v>259.3474218586631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-1.1368683772161603E-13</v>
      </c>
      <c r="AJ188" s="14">
        <f>AI188*VLOOKUP('Données projet'!$B$10,Paramètres!$A$1:$I$89,3,0)*VLOOKUP('Données projet'!$B$10,Paramètres!$A$1:$I$89,5,0)</f>
        <v>-9.9316821433603781E-14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121.79484266530449</v>
      </c>
      <c r="AO188" s="62">
        <f t="shared" si="144"/>
        <v>129.14577359424788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3.8835088670439902E-2</v>
      </c>
      <c r="AW188" s="23">
        <f>EXP(-LN(2)/2)*AW187+(1-EXP(-LN(2)/2))/(LN(2)/2)*AQ188*AT188*VLOOKUP('Données projet'!$B$10,Paramètres!$A$1:$I$89,3,0)*0.475*44/12</f>
        <v>1.6743624351431424E-23</v>
      </c>
      <c r="AX188" s="23">
        <f t="shared" si="166"/>
        <v>3.8835088670439902E-2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-5.6843418860808015E-14</v>
      </c>
      <c r="BE188" s="14">
        <f>BD188*VLOOKUP('Données projet'!$B$11,Paramètres!$A$1:$I$89,3,0)*VLOOKUP('Données projet'!$B$11,Paramètres!$A$1:$I$89,5,0)</f>
        <v>-5.7639226724859328E-14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201.65575435598231</v>
      </c>
      <c r="BJ188" s="62">
        <f t="shared" si="146"/>
        <v>103.75701796419935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1.1368683772161603E-13</v>
      </c>
      <c r="BZ188" s="14">
        <f>BY188*VLOOKUP('Données projet'!$B$12,Paramètres!$A$1:$I$89,3,0)*VLOOKUP('Données projet'!$B$12,Paramètres!$A$1:$I$89,5,0)</f>
        <v>6.7984728957526396E-14</v>
      </c>
      <c r="CA188" s="14">
        <f t="shared" si="170"/>
        <v>1.0682447123141398E-12</v>
      </c>
      <c r="CB188" s="22">
        <f t="shared" si="171"/>
        <v>1.978932943548152E-12</v>
      </c>
      <c r="CC188" s="62">
        <f t="shared" si="119"/>
        <v>293.3333333333353</v>
      </c>
      <c r="CD188" s="62">
        <f ca="1">AVERAGE(OFFSET($CC$3,0,0,'Données projet'!$E$12+1,1))-AVERAGE(OFFSET($H$3,0,0,'Données projet'!$E$12+1,1))</f>
        <v>222.32495275055498</v>
      </c>
      <c r="CE188" s="62">
        <f t="shared" si="148"/>
        <v>156.39259018918381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1.2575233877088213E-2</v>
      </c>
      <c r="CM188" s="23">
        <f>EXP(-LN(2)/2)*CM187+(1-EXP(-LN(2)/2))/(LN(2)/2)*CG188*CJ188*VLOOKUP('Données projet'!$B$12,Paramètres!$A$1:$I$89,3,0)*0.475*44/12</f>
        <v>4.9751137020789059E-23</v>
      </c>
      <c r="CN188" s="24">
        <f t="shared" si="172"/>
        <v>1.2575233877088213E-2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150.88320000000033</v>
      </c>
      <c r="D189" s="12">
        <f t="shared" si="140"/>
        <v>38.77922736058327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1464.0608427834522</v>
      </c>
      <c r="H189" s="70">
        <f t="shared" si="110"/>
        <v>586.9953943196831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-3.4106051316484809E-13</v>
      </c>
      <c r="O189" s="14">
        <f>N189*VLOOKUP('Données projet'!$B$9,Paramètres!$A$1:$I$89,3,0)*VLOOKUP('Données projet'!$B$9,Paramètres!$A$1:$I$89,5,0)</f>
        <v>-1.5961632016114892E-13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273.21086764807194</v>
      </c>
      <c r="T189" s="62">
        <f t="shared" si="142"/>
        <v>259.3474218586631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-1.1368683772161603E-13</v>
      </c>
      <c r="AJ189" s="14">
        <f>AI189*VLOOKUP('Données projet'!$B$10,Paramètres!$A$1:$I$89,3,0)*VLOOKUP('Données projet'!$B$10,Paramètres!$A$1:$I$89,5,0)</f>
        <v>-9.9316821433603781E-14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121.79484266530449</v>
      </c>
      <c r="AO189" s="62">
        <f t="shared" si="144"/>
        <v>129.14577359424788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3.7773141128498167E-2</v>
      </c>
      <c r="AW189" s="23">
        <f>EXP(-LN(2)/2)*AW188+(1-EXP(-LN(2)/2))/(LN(2)/2)*AQ189*AT189*VLOOKUP('Données projet'!$B$10,Paramètres!$A$1:$I$89,3,0)*0.475*44/12</f>
        <v>1.1839530320537368E-23</v>
      </c>
      <c r="AX189" s="23">
        <f t="shared" si="166"/>
        <v>3.7773141128498167E-2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-5.6843418860808015E-14</v>
      </c>
      <c r="BE189" s="14">
        <f>BD189*VLOOKUP('Données projet'!$B$11,Paramètres!$A$1:$I$89,3,0)*VLOOKUP('Données projet'!$B$11,Paramètres!$A$1:$I$89,5,0)</f>
        <v>-5.7639226724859328E-14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201.65575435598231</v>
      </c>
      <c r="BJ189" s="62">
        <f t="shared" si="146"/>
        <v>103.75701796419935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1.1368683772161603E-13</v>
      </c>
      <c r="BZ189" s="14">
        <f>BY189*VLOOKUP('Données projet'!$B$12,Paramètres!$A$1:$I$89,3,0)*VLOOKUP('Données projet'!$B$12,Paramètres!$A$1:$I$89,5,0)</f>
        <v>6.7984728957526396E-14</v>
      </c>
      <c r="CA189" s="14">
        <f t="shared" si="170"/>
        <v>1.0682447123141398E-12</v>
      </c>
      <c r="CB189" s="22">
        <f t="shared" si="171"/>
        <v>1.978932943548152E-12</v>
      </c>
      <c r="CC189" s="62">
        <f t="shared" si="119"/>
        <v>293.3333333333353</v>
      </c>
      <c r="CD189" s="62">
        <f ca="1">AVERAGE(OFFSET($CC$3,0,0,'Données projet'!$E$12+1,1))-AVERAGE(OFFSET($H$3,0,0,'Données projet'!$E$12+1,1))</f>
        <v>222.32495275055498</v>
      </c>
      <c r="CE189" s="62">
        <f t="shared" si="148"/>
        <v>156.39259018918381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1.2231363445416426E-2</v>
      </c>
      <c r="CM189" s="23">
        <f>EXP(-LN(2)/2)*CM188+(1-EXP(-LN(2)/2))/(LN(2)/2)*CG189*CJ189*VLOOKUP('Données projet'!$B$12,Paramètres!$A$1:$I$89,3,0)*0.475*44/12</f>
        <v>3.5179366359141033E-23</v>
      </c>
      <c r="CN189" s="24">
        <f t="shared" si="172"/>
        <v>1.2231363445416426E-2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151.69440000000034</v>
      </c>
      <c r="D190" s="12">
        <f t="shared" si="140"/>
        <v>38.963392010880717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1471.7443593822397</v>
      </c>
      <c r="H190" s="70">
        <f t="shared" si="110"/>
        <v>588.72898775228452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-3.4106051316484809E-13</v>
      </c>
      <c r="O190" s="14">
        <f>N190*VLOOKUP('Données projet'!$B$9,Paramètres!$A$1:$I$89,3,0)*VLOOKUP('Données projet'!$B$9,Paramètres!$A$1:$I$89,5,0)</f>
        <v>-1.5961632016114892E-13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273.21086764807194</v>
      </c>
      <c r="T190" s="62">
        <f t="shared" si="142"/>
        <v>259.3474218586631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-1.1368683772161603E-13</v>
      </c>
      <c r="AJ190" s="14">
        <f>AI190*VLOOKUP('Données projet'!$B$10,Paramètres!$A$1:$I$89,3,0)*VLOOKUP('Données projet'!$B$10,Paramètres!$A$1:$I$89,5,0)</f>
        <v>-9.9316821433603781E-14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121.79484266530449</v>
      </c>
      <c r="AO190" s="62">
        <f t="shared" si="144"/>
        <v>129.14577359424788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3.6740232597936226E-2</v>
      </c>
      <c r="AW190" s="23">
        <f>EXP(-LN(2)/2)*AW189+(1-EXP(-LN(2)/2))/(LN(2)/2)*AQ190*AT190*VLOOKUP('Données projet'!$B$10,Paramètres!$A$1:$I$89,3,0)*0.475*44/12</f>
        <v>8.3718121757157118E-24</v>
      </c>
      <c r="AX190" s="23">
        <f t="shared" si="166"/>
        <v>3.6740232597936226E-2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-5.6843418860808015E-14</v>
      </c>
      <c r="BE190" s="14">
        <f>BD190*VLOOKUP('Données projet'!$B$11,Paramètres!$A$1:$I$89,3,0)*VLOOKUP('Données projet'!$B$11,Paramètres!$A$1:$I$89,5,0)</f>
        <v>-5.7639226724859328E-14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201.65575435598231</v>
      </c>
      <c r="BJ190" s="62">
        <f t="shared" si="146"/>
        <v>103.75701796419935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1.1368683772161603E-13</v>
      </c>
      <c r="BZ190" s="14">
        <f>BY190*VLOOKUP('Données projet'!$B$12,Paramètres!$A$1:$I$89,3,0)*VLOOKUP('Données projet'!$B$12,Paramètres!$A$1:$I$89,5,0)</f>
        <v>6.7984728957526396E-14</v>
      </c>
      <c r="CA190" s="14">
        <f t="shared" si="170"/>
        <v>1.0682447123141398E-12</v>
      </c>
      <c r="CB190" s="22">
        <f t="shared" si="171"/>
        <v>1.978932943548152E-12</v>
      </c>
      <c r="CC190" s="62">
        <f t="shared" si="119"/>
        <v>293.3333333333353</v>
      </c>
      <c r="CD190" s="62">
        <f ca="1">AVERAGE(OFFSET($CC$3,0,0,'Données projet'!$E$12+1,1))-AVERAGE(OFFSET($H$3,0,0,'Données projet'!$E$12+1,1))</f>
        <v>222.32495275055498</v>
      </c>
      <c r="CE190" s="62">
        <f t="shared" si="148"/>
        <v>156.39259018918381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1.1896896168782065E-2</v>
      </c>
      <c r="CM190" s="23">
        <f>EXP(-LN(2)/2)*CM189+(1-EXP(-LN(2)/2))/(LN(2)/2)*CG190*CJ190*VLOOKUP('Données projet'!$B$12,Paramètres!$A$1:$I$89,3,0)*0.475*44/12</f>
        <v>2.487556851039453E-23</v>
      </c>
      <c r="CN190" s="24">
        <f t="shared" si="172"/>
        <v>1.1896896168782065E-2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152.50560000000036</v>
      </c>
      <c r="D191" s="12">
        <f t="shared" si="140"/>
        <v>39.147442061162288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1479.4269913493256</v>
      </c>
      <c r="H191" s="70">
        <f t="shared" si="110"/>
        <v>590.4623815898583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-3.4106051316484809E-13</v>
      </c>
      <c r="O191" s="14">
        <f>N191*VLOOKUP('Données projet'!$B$9,Paramètres!$A$1:$I$89,3,0)*VLOOKUP('Données projet'!$B$9,Paramètres!$A$1:$I$89,5,0)</f>
        <v>-1.5961632016114892E-13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273.21086764807194</v>
      </c>
      <c r="T191" s="62">
        <f t="shared" si="142"/>
        <v>259.3474218586631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-1.1368683772161603E-13</v>
      </c>
      <c r="AJ191" s="14">
        <f>AI191*VLOOKUP('Données projet'!$B$10,Paramètres!$A$1:$I$89,3,0)*VLOOKUP('Données projet'!$B$10,Paramètres!$A$1:$I$89,5,0)</f>
        <v>-9.9316821433603781E-14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121.79484266530449</v>
      </c>
      <c r="AO191" s="62">
        <f t="shared" si="144"/>
        <v>129.14577359424788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3.57355690054608E-2</v>
      </c>
      <c r="AW191" s="23">
        <f>EXP(-LN(2)/2)*AW190+(1-EXP(-LN(2)/2))/(LN(2)/2)*AQ191*AT191*VLOOKUP('Données projet'!$B$10,Paramètres!$A$1:$I$89,3,0)*0.475*44/12</f>
        <v>5.9197651602686842E-24</v>
      </c>
      <c r="AX191" s="23">
        <f t="shared" si="166"/>
        <v>3.57355690054608E-2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-5.6843418860808015E-14</v>
      </c>
      <c r="BE191" s="14">
        <f>BD191*VLOOKUP('Données projet'!$B$11,Paramètres!$A$1:$I$89,3,0)*VLOOKUP('Données projet'!$B$11,Paramètres!$A$1:$I$89,5,0)</f>
        <v>-5.7639226724859328E-14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201.65575435598231</v>
      </c>
      <c r="BJ191" s="62">
        <f t="shared" si="146"/>
        <v>103.75701796419935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1.1368683772161603E-13</v>
      </c>
      <c r="BZ191" s="14">
        <f>BY191*VLOOKUP('Données projet'!$B$12,Paramètres!$A$1:$I$89,3,0)*VLOOKUP('Données projet'!$B$12,Paramètres!$A$1:$I$89,5,0)</f>
        <v>6.7984728957526396E-14</v>
      </c>
      <c r="CA191" s="14">
        <f t="shared" si="170"/>
        <v>1.0682447123141398E-12</v>
      </c>
      <c r="CB191" s="22">
        <f t="shared" si="171"/>
        <v>1.978932943548152E-12</v>
      </c>
      <c r="CC191" s="62">
        <f t="shared" si="119"/>
        <v>293.3333333333353</v>
      </c>
      <c r="CD191" s="62">
        <f ca="1">AVERAGE(OFFSET($CC$3,0,0,'Données projet'!$E$12+1,1))-AVERAGE(OFFSET($H$3,0,0,'Données projet'!$E$12+1,1))</f>
        <v>222.32495275055498</v>
      </c>
      <c r="CE191" s="62">
        <f t="shared" si="148"/>
        <v>156.39259018918381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1.1571574917416141E-2</v>
      </c>
      <c r="CM191" s="23">
        <f>EXP(-LN(2)/2)*CM190+(1-EXP(-LN(2)/2))/(LN(2)/2)*CG191*CJ191*VLOOKUP('Données projet'!$B$12,Paramètres!$A$1:$I$89,3,0)*0.475*44/12</f>
        <v>1.7589683179570516E-23</v>
      </c>
      <c r="CN191" s="24">
        <f t="shared" si="172"/>
        <v>1.1571574917416141E-2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153.31680000000037</v>
      </c>
      <c r="D192" s="12">
        <f t="shared" si="140"/>
        <v>39.331378191752862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1487.1087439363409</v>
      </c>
      <c r="H192" s="70">
        <f t="shared" si="110"/>
        <v>592.19557701730355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-3.4106051316484809E-13</v>
      </c>
      <c r="O192" s="14">
        <f>N192*VLOOKUP('Données projet'!$B$9,Paramètres!$A$1:$I$89,3,0)*VLOOKUP('Données projet'!$B$9,Paramètres!$A$1:$I$89,5,0)</f>
        <v>-1.5961632016114892E-13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273.21086764807194</v>
      </c>
      <c r="T192" s="62">
        <f t="shared" si="142"/>
        <v>259.3474218586631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-1.1368683772161603E-13</v>
      </c>
      <c r="AJ192" s="14">
        <f>AI192*VLOOKUP('Données projet'!$B$10,Paramètres!$A$1:$I$89,3,0)*VLOOKUP('Données projet'!$B$10,Paramètres!$A$1:$I$89,5,0)</f>
        <v>-9.9316821433603781E-14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121.79484266530449</v>
      </c>
      <c r="AO192" s="62">
        <f t="shared" si="144"/>
        <v>129.14577359424788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3.4758377991754574E-2</v>
      </c>
      <c r="AW192" s="23">
        <f>EXP(-LN(2)/2)*AW191+(1-EXP(-LN(2)/2))/(LN(2)/2)*AQ192*AT192*VLOOKUP('Données projet'!$B$10,Paramètres!$A$1:$I$89,3,0)*0.475*44/12</f>
        <v>4.1859060878578559E-24</v>
      </c>
      <c r="AX192" s="23">
        <f t="shared" si="166"/>
        <v>3.4758377991754574E-2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-5.6843418860808015E-14</v>
      </c>
      <c r="BE192" s="14">
        <f>BD192*VLOOKUP('Données projet'!$B$11,Paramètres!$A$1:$I$89,3,0)*VLOOKUP('Données projet'!$B$11,Paramètres!$A$1:$I$89,5,0)</f>
        <v>-5.7639226724859328E-14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201.65575435598231</v>
      </c>
      <c r="BJ192" s="62">
        <f t="shared" si="146"/>
        <v>103.75701796419935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1.1368683772161603E-13</v>
      </c>
      <c r="BZ192" s="14">
        <f>BY192*VLOOKUP('Données projet'!$B$12,Paramètres!$A$1:$I$89,3,0)*VLOOKUP('Données projet'!$B$12,Paramètres!$A$1:$I$89,5,0)</f>
        <v>6.7984728957526396E-14</v>
      </c>
      <c r="CA192" s="14">
        <f t="shared" si="170"/>
        <v>1.0682447123141398E-12</v>
      </c>
      <c r="CB192" s="22">
        <f t="shared" si="171"/>
        <v>1.978932943548152E-12</v>
      </c>
      <c r="CC192" s="62">
        <f t="shared" si="119"/>
        <v>293.3333333333353</v>
      </c>
      <c r="CD192" s="62">
        <f ca="1">AVERAGE(OFFSET($CC$3,0,0,'Données projet'!$E$12+1,1))-AVERAGE(OFFSET($H$3,0,0,'Données projet'!$E$12+1,1))</f>
        <v>222.32495275055498</v>
      </c>
      <c r="CE192" s="62">
        <f t="shared" si="148"/>
        <v>156.39259018918381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1.1255149592776719E-2</v>
      </c>
      <c r="CM192" s="23">
        <f>EXP(-LN(2)/2)*CM191+(1-EXP(-LN(2)/2))/(LN(2)/2)*CG192*CJ192*VLOOKUP('Données projet'!$B$12,Paramètres!$A$1:$I$89,3,0)*0.475*44/12</f>
        <v>1.2437784255197265E-23</v>
      </c>
      <c r="CN192" s="24">
        <f t="shared" si="172"/>
        <v>1.1255149592776719E-2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154.12800000000038</v>
      </c>
      <c r="D193" s="12">
        <f t="shared" si="140"/>
        <v>39.515201075361226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1494.7896223361247</v>
      </c>
      <c r="H193" s="70">
        <f t="shared" si="110"/>
        <v>593.92857520625489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-3.4106051316484809E-13</v>
      </c>
      <c r="O193" s="14">
        <f>N193*VLOOKUP('Données projet'!$B$9,Paramètres!$A$1:$I$89,3,0)*VLOOKUP('Données projet'!$B$9,Paramètres!$A$1:$I$89,5,0)</f>
        <v>-1.5961632016114892E-13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273.21086764807194</v>
      </c>
      <c r="T193" s="62">
        <f t="shared" si="142"/>
        <v>259.3474218586631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-1.1368683772161603E-13</v>
      </c>
      <c r="AJ193" s="14">
        <f>AI193*VLOOKUP('Données projet'!$B$10,Paramètres!$A$1:$I$89,3,0)*VLOOKUP('Données projet'!$B$10,Paramètres!$A$1:$I$89,5,0)</f>
        <v>-9.9316821433603781E-14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121.79484266530449</v>
      </c>
      <c r="AO193" s="62">
        <f t="shared" si="144"/>
        <v>129.14577359424788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3.3807908317706387E-2</v>
      </c>
      <c r="AW193" s="23">
        <f>EXP(-LN(2)/2)*AW192+(1-EXP(-LN(2)/2))/(LN(2)/2)*AQ193*AT193*VLOOKUP('Données projet'!$B$10,Paramètres!$A$1:$I$89,3,0)*0.475*44/12</f>
        <v>2.9598825801343421E-24</v>
      </c>
      <c r="AX193" s="23">
        <f t="shared" si="166"/>
        <v>3.3807908317706387E-2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-5.6843418860808015E-14</v>
      </c>
      <c r="BE193" s="14">
        <f>BD193*VLOOKUP('Données projet'!$B$11,Paramètres!$A$1:$I$89,3,0)*VLOOKUP('Données projet'!$B$11,Paramètres!$A$1:$I$89,5,0)</f>
        <v>-5.7639226724859328E-14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201.65575435598231</v>
      </c>
      <c r="BJ193" s="62">
        <f t="shared" si="146"/>
        <v>103.75701796419935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1.1368683772161603E-13</v>
      </c>
      <c r="BZ193" s="14">
        <f>BY193*VLOOKUP('Données projet'!$B$12,Paramètres!$A$1:$I$89,3,0)*VLOOKUP('Données projet'!$B$12,Paramètres!$A$1:$I$89,5,0)</f>
        <v>6.7984728957526396E-14</v>
      </c>
      <c r="CA193" s="14">
        <f t="shared" si="170"/>
        <v>1.0682447123141398E-12</v>
      </c>
      <c r="CB193" s="22">
        <f t="shared" si="171"/>
        <v>1.978932943548152E-12</v>
      </c>
      <c r="CC193" s="62">
        <f t="shared" si="119"/>
        <v>293.3333333333353</v>
      </c>
      <c r="CD193" s="62">
        <f ca="1">AVERAGE(OFFSET($CC$3,0,0,'Données projet'!$E$12+1,1))-AVERAGE(OFFSET($H$3,0,0,'Données projet'!$E$12+1,1))</f>
        <v>222.32495275055498</v>
      </c>
      <c r="CE193" s="62">
        <f t="shared" si="148"/>
        <v>156.39259018918381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1.0947376935279647E-2</v>
      </c>
      <c r="CM193" s="23">
        <f>EXP(-LN(2)/2)*CM192+(1-EXP(-LN(2)/2))/(LN(2)/2)*CG193*CJ193*VLOOKUP('Données projet'!$B$12,Paramètres!$A$1:$I$89,3,0)*0.475*44/12</f>
        <v>8.7948415897852582E-24</v>
      </c>
      <c r="CN193" s="24">
        <f t="shared" si="172"/>
        <v>1.0947376935279647E-2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154.9392000000004</v>
      </c>
      <c r="D194" s="12">
        <f t="shared" si="140"/>
        <v>39.698911377205278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1502.4696316836933</v>
      </c>
      <c r="H194" s="70">
        <f t="shared" si="110"/>
        <v>595.66137731529989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-3.4106051316484809E-13</v>
      </c>
      <c r="O194" s="14">
        <f>N194*VLOOKUP('Données projet'!$B$9,Paramètres!$A$1:$I$89,3,0)*VLOOKUP('Données projet'!$B$9,Paramètres!$A$1:$I$89,5,0)</f>
        <v>-1.5961632016114892E-13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273.21086764807194</v>
      </c>
      <c r="T194" s="62">
        <f t="shared" si="142"/>
        <v>259.3474218586631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-1.1368683772161603E-13</v>
      </c>
      <c r="AJ194" s="14">
        <f>AI194*VLOOKUP('Données projet'!$B$10,Paramètres!$A$1:$I$89,3,0)*VLOOKUP('Données projet'!$B$10,Paramètres!$A$1:$I$89,5,0)</f>
        <v>-9.9316821433603781E-14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121.79484266530449</v>
      </c>
      <c r="AO194" s="62">
        <f t="shared" si="144"/>
        <v>129.14577359424788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3.2883429286878076E-2</v>
      </c>
      <c r="AW194" s="23">
        <f>EXP(-LN(2)/2)*AW193+(1-EXP(-LN(2)/2))/(LN(2)/2)*AQ194*AT194*VLOOKUP('Données projet'!$B$10,Paramètres!$A$1:$I$89,3,0)*0.475*44/12</f>
        <v>2.092953043928928E-24</v>
      </c>
      <c r="AX194" s="23">
        <f t="shared" si="166"/>
        <v>3.2883429286878076E-2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-5.6843418860808015E-14</v>
      </c>
      <c r="BE194" s="14">
        <f>BD194*VLOOKUP('Données projet'!$B$11,Paramètres!$A$1:$I$89,3,0)*VLOOKUP('Données projet'!$B$11,Paramètres!$A$1:$I$89,5,0)</f>
        <v>-5.7639226724859328E-14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201.65575435598231</v>
      </c>
      <c r="BJ194" s="62">
        <f t="shared" si="146"/>
        <v>103.75701796419935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1.1368683772161603E-13</v>
      </c>
      <c r="BZ194" s="14">
        <f>BY194*VLOOKUP('Données projet'!$B$12,Paramètres!$A$1:$I$89,3,0)*VLOOKUP('Données projet'!$B$12,Paramètres!$A$1:$I$89,5,0)</f>
        <v>6.7984728957526396E-14</v>
      </c>
      <c r="CA194" s="14">
        <f t="shared" si="170"/>
        <v>1.0682447123141398E-12</v>
      </c>
      <c r="CB194" s="22">
        <f t="shared" si="171"/>
        <v>1.978932943548152E-12</v>
      </c>
      <c r="CC194" s="62">
        <f t="shared" si="119"/>
        <v>293.3333333333353</v>
      </c>
      <c r="CD194" s="62">
        <f ca="1">AVERAGE(OFFSET($CC$3,0,0,'Données projet'!$E$12+1,1))-AVERAGE(OFFSET($H$3,0,0,'Données projet'!$E$12+1,1))</f>
        <v>222.32495275055498</v>
      </c>
      <c r="CE194" s="62">
        <f t="shared" si="148"/>
        <v>156.39259018918381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1.0648020337286892E-2</v>
      </c>
      <c r="CM194" s="23">
        <f>EXP(-LN(2)/2)*CM193+(1-EXP(-LN(2)/2))/(LN(2)/2)*CG194*CJ194*VLOOKUP('Données projet'!$B$12,Paramètres!$A$1:$I$89,3,0)*0.475*44/12</f>
        <v>6.2188921275986324E-24</v>
      </c>
      <c r="CN194" s="24">
        <f t="shared" si="172"/>
        <v>1.0648020337286892E-2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155.75040000000041</v>
      </c>
      <c r="D195" s="12">
        <f t="shared" si="140"/>
        <v>39.88250975513386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1510.1487770571769</v>
      </c>
      <c r="H195" s="70">
        <f t="shared" si="110"/>
        <v>597.39398449019222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-3.4106051316484809E-13</v>
      </c>
      <c r="O195" s="14">
        <f>N195*VLOOKUP('Données projet'!$B$9,Paramètres!$A$1:$I$89,3,0)*VLOOKUP('Données projet'!$B$9,Paramètres!$A$1:$I$89,5,0)</f>
        <v>-1.5961632016114892E-13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273.21086764807194</v>
      </c>
      <c r="T195" s="62">
        <f t="shared" si="142"/>
        <v>259.3474218586631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-1.1368683772161603E-13</v>
      </c>
      <c r="AJ195" s="14">
        <f>AI195*VLOOKUP('Données projet'!$B$10,Paramètres!$A$1:$I$89,3,0)*VLOOKUP('Données projet'!$B$10,Paramètres!$A$1:$I$89,5,0)</f>
        <v>-9.9316821433603781E-14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121.79484266530449</v>
      </c>
      <c r="AO195" s="62">
        <f t="shared" si="144"/>
        <v>129.14577359424788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3.1984230183764006E-2</v>
      </c>
      <c r="AW195" s="23">
        <f>EXP(-LN(2)/2)*AW194+(1-EXP(-LN(2)/2))/(LN(2)/2)*AQ195*AT195*VLOOKUP('Données projet'!$B$10,Paramètres!$A$1:$I$89,3,0)*0.475*44/12</f>
        <v>1.4799412900671711E-24</v>
      </c>
      <c r="AX195" s="23">
        <f t="shared" si="166"/>
        <v>3.1984230183764006E-2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-5.6843418860808015E-14</v>
      </c>
      <c r="BE195" s="14">
        <f>BD195*VLOOKUP('Données projet'!$B$11,Paramètres!$A$1:$I$89,3,0)*VLOOKUP('Données projet'!$B$11,Paramètres!$A$1:$I$89,5,0)</f>
        <v>-5.7639226724859328E-14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201.65575435598231</v>
      </c>
      <c r="BJ195" s="62">
        <f t="shared" si="146"/>
        <v>103.75701796419935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1.1368683772161603E-13</v>
      </c>
      <c r="BZ195" s="14">
        <f>BY195*VLOOKUP('Données projet'!$B$12,Paramètres!$A$1:$I$89,3,0)*VLOOKUP('Données projet'!$B$12,Paramètres!$A$1:$I$89,5,0)</f>
        <v>6.7984728957526396E-14</v>
      </c>
      <c r="CA195" s="14">
        <f t="shared" si="170"/>
        <v>1.0682447123141398E-12</v>
      </c>
      <c r="CB195" s="22">
        <f t="shared" si="171"/>
        <v>1.978932943548152E-12</v>
      </c>
      <c r="CC195" s="62">
        <f t="shared" si="119"/>
        <v>293.3333333333353</v>
      </c>
      <c r="CD195" s="62">
        <f ca="1">AVERAGE(OFFSET($CC$3,0,0,'Données projet'!$E$12+1,1))-AVERAGE(OFFSET($H$3,0,0,'Données projet'!$E$12+1,1))</f>
        <v>222.32495275055498</v>
      </c>
      <c r="CE195" s="62">
        <f t="shared" si="148"/>
        <v>156.39259018918381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1.035684966120873E-2</v>
      </c>
      <c r="CM195" s="23">
        <f>EXP(-LN(2)/2)*CM194+(1-EXP(-LN(2)/2))/(LN(2)/2)*CG195*CJ195*VLOOKUP('Données projet'!$B$12,Paramètres!$A$1:$I$89,3,0)*0.475*44/12</f>
        <v>4.3974207948926291E-24</v>
      </c>
      <c r="CN195" s="24">
        <f t="shared" si="172"/>
        <v>1.035684966120873E-2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156.56160000000042</v>
      </c>
      <c r="D196" s="12">
        <f t="shared" si="140"/>
        <v>40.065996859746583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1517.8270634787489</v>
      </c>
      <c r="H196" s="70">
        <f t="shared" ref="H196:H203" si="192">(B196+E196+F196)*44/12+(C196+D196)*0.475*44/12</f>
        <v>599.12639786405941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-3.4106051316484809E-13</v>
      </c>
      <c r="O196" s="14">
        <f>N196*VLOOKUP('Données projet'!$B$9,Paramètres!$A$1:$I$89,3,0)*VLOOKUP('Données projet'!$B$9,Paramètres!$A$1:$I$89,5,0)</f>
        <v>-1.5961632016114892E-13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273.21086764807194</v>
      </c>
      <c r="T196" s="62">
        <f t="shared" si="142"/>
        <v>259.3474218586631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-1.1368683772161603E-13</v>
      </c>
      <c r="AJ196" s="14">
        <f>AI196*VLOOKUP('Données projet'!$B$10,Paramètres!$A$1:$I$89,3,0)*VLOOKUP('Données projet'!$B$10,Paramètres!$A$1:$I$89,5,0)</f>
        <v>-9.9316821433603781E-14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121.79484266530449</v>
      </c>
      <c r="AO196" s="62">
        <f t="shared" si="144"/>
        <v>129.14577359424788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3.1109619727411414E-2</v>
      </c>
      <c r="AW196" s="23">
        <f>EXP(-LN(2)/2)*AW195+(1-EXP(-LN(2)/2))/(LN(2)/2)*AQ196*AT196*VLOOKUP('Données projet'!$B$10,Paramètres!$A$1:$I$89,3,0)*0.475*44/12</f>
        <v>1.046476521964464E-24</v>
      </c>
      <c r="AX196" s="23">
        <f t="shared" si="166"/>
        <v>3.1109619727411414E-2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-5.6843418860808015E-14</v>
      </c>
      <c r="BE196" s="14">
        <f>BD196*VLOOKUP('Données projet'!$B$11,Paramètres!$A$1:$I$89,3,0)*VLOOKUP('Données projet'!$B$11,Paramètres!$A$1:$I$89,5,0)</f>
        <v>-5.7639226724859328E-14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201.65575435598231</v>
      </c>
      <c r="BJ196" s="62">
        <f t="shared" si="146"/>
        <v>103.75701796419935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1.1368683772161603E-13</v>
      </c>
      <c r="BZ196" s="14">
        <f>BY196*VLOOKUP('Données projet'!$B$12,Paramètres!$A$1:$I$89,3,0)*VLOOKUP('Données projet'!$B$12,Paramètres!$A$1:$I$89,5,0)</f>
        <v>6.7984728957526396E-14</v>
      </c>
      <c r="CA196" s="14">
        <f t="shared" si="170"/>
        <v>1.0682447123141398E-12</v>
      </c>
      <c r="CB196" s="22">
        <f t="shared" si="171"/>
        <v>1.978932943548152E-12</v>
      </c>
      <c r="CC196" s="62">
        <f t="shared" ref="CC196:CC203" si="195">CB196+(BT196+BU196)*44/12</f>
        <v>293.3333333333353</v>
      </c>
      <c r="CD196" s="62">
        <f ca="1">AVERAGE(OFFSET($CC$3,0,0,'Données projet'!$E$12+1,1))-AVERAGE(OFFSET($H$3,0,0,'Données projet'!$E$12+1,1))</f>
        <v>222.32495275055498</v>
      </c>
      <c r="CE196" s="62">
        <f t="shared" si="148"/>
        <v>156.39259018918381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1.0073641062579923E-2</v>
      </c>
      <c r="CM196" s="23">
        <f>EXP(-LN(2)/2)*CM195+(1-EXP(-LN(2)/2))/(LN(2)/2)*CG196*CJ196*VLOOKUP('Données projet'!$B$12,Paramètres!$A$1:$I$89,3,0)*0.475*44/12</f>
        <v>3.1094460637993162E-24</v>
      </c>
      <c r="CN196" s="24">
        <f t="shared" si="172"/>
        <v>1.0073641062579923E-2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157.37280000000044</v>
      </c>
      <c r="D197" s="12">
        <f t="shared" ref="D197:D203" si="202">IFERROR(EXP(-1.0587+0.8836*LN(C197)+0.284),0)</f>
        <v>40.249373334510764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1525.5044959155255</v>
      </c>
      <c r="H197" s="70">
        <f t="shared" si="192"/>
        <v>600.85861855760709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-3.4106051316484809E-13</v>
      </c>
      <c r="O197" s="14">
        <f>N197*VLOOKUP('Données projet'!$B$9,Paramètres!$A$1:$I$89,3,0)*VLOOKUP('Données projet'!$B$9,Paramètres!$A$1:$I$89,5,0)</f>
        <v>-1.5961632016114892E-13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273.21086764807194</v>
      </c>
      <c r="T197" s="62">
        <f t="shared" ref="T197:T203" si="204">$T$3</f>
        <v>259.3474218586631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-1.1368683772161603E-13</v>
      </c>
      <c r="AJ197" s="14">
        <f>AI197*VLOOKUP('Données projet'!$B$10,Paramètres!$A$1:$I$89,3,0)*VLOOKUP('Données projet'!$B$10,Paramètres!$A$1:$I$89,5,0)</f>
        <v>-9.9316821433603781E-14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121.79484266530449</v>
      </c>
      <c r="AO197" s="62">
        <f t="shared" ref="AO197:AO203" si="205">$AO$3</f>
        <v>129.14577359424788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3.0258925539981548E-2</v>
      </c>
      <c r="AW197" s="23">
        <f>EXP(-LN(2)/2)*AW196+(1-EXP(-LN(2)/2))/(LN(2)/2)*AQ197*AT197*VLOOKUP('Données projet'!$B$10,Paramètres!$A$1:$I$89,3,0)*0.475*44/12</f>
        <v>7.3997064503358553E-25</v>
      </c>
      <c r="AX197" s="23">
        <f t="shared" si="166"/>
        <v>3.0258925539981548E-2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-5.6843418860808015E-14</v>
      </c>
      <c r="BE197" s="14">
        <f>BD197*VLOOKUP('Données projet'!$B$11,Paramètres!$A$1:$I$89,3,0)*VLOOKUP('Données projet'!$B$11,Paramètres!$A$1:$I$89,5,0)</f>
        <v>-5.7639226724859328E-14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201.65575435598231</v>
      </c>
      <c r="BJ197" s="62">
        <f t="shared" ref="BJ197:BJ203" si="206">$BJ$3</f>
        <v>103.75701796419935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1.1368683772161603E-13</v>
      </c>
      <c r="BZ197" s="14">
        <f>BY197*VLOOKUP('Données projet'!$B$12,Paramètres!$A$1:$I$89,3,0)*VLOOKUP('Données projet'!$B$12,Paramètres!$A$1:$I$89,5,0)</f>
        <v>6.7984728957526396E-14</v>
      </c>
      <c r="CA197" s="14">
        <f t="shared" si="170"/>
        <v>1.0682447123141398E-12</v>
      </c>
      <c r="CB197" s="22">
        <f t="shared" si="171"/>
        <v>1.978932943548152E-12</v>
      </c>
      <c r="CC197" s="62">
        <f t="shared" si="195"/>
        <v>293.3333333333353</v>
      </c>
      <c r="CD197" s="62">
        <f ca="1">AVERAGE(OFFSET($CC$3,0,0,'Données projet'!$E$12+1,1))-AVERAGE(OFFSET($H$3,0,0,'Données projet'!$E$12+1,1))</f>
        <v>222.32495275055498</v>
      </c>
      <c r="CE197" s="62">
        <f t="shared" ref="CE197:CE203" si="207">$CE$3</f>
        <v>156.39259018918381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9.7981768179739148E-3</v>
      </c>
      <c r="CM197" s="23">
        <f>EXP(-LN(2)/2)*CM196+(1-EXP(-LN(2)/2))/(LN(2)/2)*CG197*CJ197*VLOOKUP('Données projet'!$B$12,Paramètres!$A$1:$I$89,3,0)*0.475*44/12</f>
        <v>2.1987103974463146E-24</v>
      </c>
      <c r="CN197" s="24">
        <f t="shared" si="172"/>
        <v>9.7981768179739148E-3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158.18400000000045</v>
      </c>
      <c r="D198" s="12">
        <f t="shared" si="202"/>
        <v>40.432639815875952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1533.1810792804492</v>
      </c>
      <c r="H198" s="70">
        <f t="shared" si="192"/>
        <v>602.59064767931807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-3.4106051316484809E-13</v>
      </c>
      <c r="O198" s="14">
        <f>N198*VLOOKUP('Données projet'!$B$9,Paramètres!$A$1:$I$89,3,0)*VLOOKUP('Données projet'!$B$9,Paramètres!$A$1:$I$89,5,0)</f>
        <v>-1.5961632016114892E-13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273.21086764807194</v>
      </c>
      <c r="T198" s="62">
        <f t="shared" si="204"/>
        <v>259.3474218586631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-1.1368683772161603E-13</v>
      </c>
      <c r="AJ198" s="14">
        <f>AI198*VLOOKUP('Données projet'!$B$10,Paramètres!$A$1:$I$89,3,0)*VLOOKUP('Données projet'!$B$10,Paramètres!$A$1:$I$89,5,0)</f>
        <v>-9.9316821433603781E-14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121.79484266530449</v>
      </c>
      <c r="AO198" s="62">
        <f t="shared" si="205"/>
        <v>129.14577359424788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2.9431493629843018E-2</v>
      </c>
      <c r="AW198" s="23">
        <f>EXP(-LN(2)/2)*AW197+(1-EXP(-LN(2)/2))/(LN(2)/2)*AQ198*AT198*VLOOKUP('Données projet'!$B$10,Paramètres!$A$1:$I$89,3,0)*0.475*44/12</f>
        <v>5.2323826098223199E-25</v>
      </c>
      <c r="AX198" s="23">
        <f t="shared" si="166"/>
        <v>2.9431493629843018E-2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-5.6843418860808015E-14</v>
      </c>
      <c r="BE198" s="14">
        <f>BD198*VLOOKUP('Données projet'!$B$11,Paramètres!$A$1:$I$89,3,0)*VLOOKUP('Données projet'!$B$11,Paramètres!$A$1:$I$89,5,0)</f>
        <v>-5.7639226724859328E-14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201.65575435598231</v>
      </c>
      <c r="BJ198" s="62">
        <f t="shared" si="206"/>
        <v>103.75701796419935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1.1368683772161603E-13</v>
      </c>
      <c r="BZ198" s="14">
        <f>BY198*VLOOKUP('Données projet'!$B$12,Paramètres!$A$1:$I$89,3,0)*VLOOKUP('Données projet'!$B$12,Paramètres!$A$1:$I$89,5,0)</f>
        <v>6.7984728957526396E-14</v>
      </c>
      <c r="CA198" s="14">
        <f t="shared" si="170"/>
        <v>1.0682447123141398E-12</v>
      </c>
      <c r="CB198" s="22">
        <f t="shared" si="171"/>
        <v>1.978932943548152E-12</v>
      </c>
      <c r="CC198" s="62">
        <f t="shared" si="195"/>
        <v>293.3333333333353</v>
      </c>
      <c r="CD198" s="62">
        <f ca="1">AVERAGE(OFFSET($CC$3,0,0,'Données projet'!$E$12+1,1))-AVERAGE(OFFSET($H$3,0,0,'Données projet'!$E$12+1,1))</f>
        <v>222.32495275055498</v>
      </c>
      <c r="CE198" s="62">
        <f t="shared" si="207"/>
        <v>156.39259018918381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9.5302451576226924E-3</v>
      </c>
      <c r="CM198" s="23">
        <f>EXP(-LN(2)/2)*CM197+(1-EXP(-LN(2)/2))/(LN(2)/2)*CG198*CJ198*VLOOKUP('Données projet'!$B$12,Paramètres!$A$1:$I$89,3,0)*0.475*44/12</f>
        <v>1.5547230318996581E-24</v>
      </c>
      <c r="CN198" s="24">
        <f t="shared" si="172"/>
        <v>9.5302451576226924E-3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158.99520000000047</v>
      </c>
      <c r="D199" s="12">
        <f t="shared" si="202"/>
        <v>40.61579693338615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1540.8568184331598</v>
      </c>
      <c r="H199" s="70">
        <f t="shared" si="192"/>
        <v>604.32248632564836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-3.4106051316484809E-13</v>
      </c>
      <c r="O199" s="14">
        <f>N199*VLOOKUP('Données projet'!$B$9,Paramètres!$A$1:$I$89,3,0)*VLOOKUP('Données projet'!$B$9,Paramètres!$A$1:$I$89,5,0)</f>
        <v>-1.5961632016114892E-13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273.21086764807194</v>
      </c>
      <c r="T199" s="62">
        <f t="shared" si="204"/>
        <v>259.3474218586631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-1.1368683772161603E-13</v>
      </c>
      <c r="AJ199" s="14">
        <f>AI199*VLOOKUP('Données projet'!$B$10,Paramètres!$A$1:$I$89,3,0)*VLOOKUP('Données projet'!$B$10,Paramètres!$A$1:$I$89,5,0)</f>
        <v>-9.9316821433603781E-14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121.79484266530449</v>
      </c>
      <c r="AO199" s="62">
        <f t="shared" si="205"/>
        <v>129.14577359424788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2.8626687888799976E-2</v>
      </c>
      <c r="AW199" s="23">
        <f>EXP(-LN(2)/2)*AW198+(1-EXP(-LN(2)/2))/(LN(2)/2)*AQ199*AT199*VLOOKUP('Données projet'!$B$10,Paramètres!$A$1:$I$89,3,0)*0.475*44/12</f>
        <v>3.6998532251679277E-25</v>
      </c>
      <c r="AX199" s="23">
        <f t="shared" si="166"/>
        <v>2.8626687888799976E-2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-5.6843418860808015E-14</v>
      </c>
      <c r="BE199" s="14">
        <f>BD199*VLOOKUP('Données projet'!$B$11,Paramètres!$A$1:$I$89,3,0)*VLOOKUP('Données projet'!$B$11,Paramètres!$A$1:$I$89,5,0)</f>
        <v>-5.7639226724859328E-14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201.65575435598231</v>
      </c>
      <c r="BJ199" s="62">
        <f t="shared" si="206"/>
        <v>103.75701796419935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1.1368683772161603E-13</v>
      </c>
      <c r="BZ199" s="14">
        <f>BY199*VLOOKUP('Données projet'!$B$12,Paramètres!$A$1:$I$89,3,0)*VLOOKUP('Données projet'!$B$12,Paramètres!$A$1:$I$89,5,0)</f>
        <v>6.7984728957526396E-14</v>
      </c>
      <c r="CA199" s="14">
        <f t="shared" si="170"/>
        <v>1.0682447123141398E-12</v>
      </c>
      <c r="CB199" s="22">
        <f t="shared" si="171"/>
        <v>1.978932943548152E-12</v>
      </c>
      <c r="CC199" s="62">
        <f t="shared" si="195"/>
        <v>293.3333333333353</v>
      </c>
      <c r="CD199" s="62">
        <f ca="1">AVERAGE(OFFSET($CC$3,0,0,'Données projet'!$E$12+1,1))-AVERAGE(OFFSET($H$3,0,0,'Données projet'!$E$12+1,1))</f>
        <v>222.32495275055498</v>
      </c>
      <c r="CE199" s="62">
        <f t="shared" si="207"/>
        <v>156.39259018918381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9.2696401026136892E-3</v>
      </c>
      <c r="CM199" s="23">
        <f>EXP(-LN(2)/2)*CM198+(1-EXP(-LN(2)/2))/(LN(2)/2)*CG199*CJ199*VLOOKUP('Données projet'!$B$12,Paramètres!$A$1:$I$89,3,0)*0.475*44/12</f>
        <v>1.0993551987231573E-24</v>
      </c>
      <c r="CN199" s="24">
        <f t="shared" si="172"/>
        <v>9.2696401026136892E-3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159.80640000000048</v>
      </c>
      <c r="D200" s="12">
        <f t="shared" si="202"/>
        <v>40.798845309789321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1548.5317181808339</v>
      </c>
      <c r="H200" s="70">
        <f t="shared" si="192"/>
        <v>606.05413558121722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-3.4106051316484809E-13</v>
      </c>
      <c r="O200" s="14">
        <f>N200*VLOOKUP('Données projet'!$B$9,Paramètres!$A$1:$I$89,3,0)*VLOOKUP('Données projet'!$B$9,Paramètres!$A$1:$I$89,5,0)</f>
        <v>-1.5961632016114892E-13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273.21086764807194</v>
      </c>
      <c r="T200" s="62">
        <f t="shared" si="204"/>
        <v>259.3474218586631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-1.1368683772161603E-13</v>
      </c>
      <c r="AJ200" s="14">
        <f>AI200*VLOOKUP('Données projet'!$B$10,Paramètres!$A$1:$I$89,3,0)*VLOOKUP('Données projet'!$B$10,Paramètres!$A$1:$I$89,5,0)</f>
        <v>-9.9316821433603781E-14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121.79484266530449</v>
      </c>
      <c r="AO200" s="62">
        <f t="shared" si="205"/>
        <v>129.14577359424788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2.7843889603068651E-2</v>
      </c>
      <c r="AW200" s="23">
        <f>EXP(-LN(2)/2)*AW199+(1-EXP(-LN(2)/2))/(LN(2)/2)*AQ200*AT200*VLOOKUP('Données projet'!$B$10,Paramètres!$A$1:$I$89,3,0)*0.475*44/12</f>
        <v>2.6161913049111599E-25</v>
      </c>
      <c r="AX200" s="23">
        <f t="shared" si="166"/>
        <v>2.7843889603068651E-2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-5.6843418860808015E-14</v>
      </c>
      <c r="BE200" s="14">
        <f>BD200*VLOOKUP('Données projet'!$B$11,Paramètres!$A$1:$I$89,3,0)*VLOOKUP('Données projet'!$B$11,Paramètres!$A$1:$I$89,5,0)</f>
        <v>-5.7639226724859328E-14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201.65575435598231</v>
      </c>
      <c r="BJ200" s="62">
        <f t="shared" si="206"/>
        <v>103.75701796419935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1.1368683772161603E-13</v>
      </c>
      <c r="BZ200" s="14">
        <f>BY200*VLOOKUP('Données projet'!$B$12,Paramètres!$A$1:$I$89,3,0)*VLOOKUP('Données projet'!$B$12,Paramètres!$A$1:$I$89,5,0)</f>
        <v>6.7984728957526396E-14</v>
      </c>
      <c r="CA200" s="14">
        <f t="shared" si="170"/>
        <v>1.0682447123141398E-12</v>
      </c>
      <c r="CB200" s="22">
        <f t="shared" si="171"/>
        <v>1.978932943548152E-12</v>
      </c>
      <c r="CC200" s="62">
        <f t="shared" si="195"/>
        <v>293.3333333333353</v>
      </c>
      <c r="CD200" s="62">
        <f ca="1">AVERAGE(OFFSET($CC$3,0,0,'Données projet'!$E$12+1,1))-AVERAGE(OFFSET($H$3,0,0,'Données projet'!$E$12+1,1))</f>
        <v>222.32495275055498</v>
      </c>
      <c r="CE200" s="62">
        <f t="shared" si="207"/>
        <v>156.39259018918381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9.0161613065385306E-3</v>
      </c>
      <c r="CM200" s="23">
        <f>EXP(-LN(2)/2)*CM199+(1-EXP(-LN(2)/2))/(LN(2)/2)*CG200*CJ200*VLOOKUP('Données projet'!$B$12,Paramètres!$A$1:$I$89,3,0)*0.475*44/12</f>
        <v>7.7736151594982905E-25</v>
      </c>
      <c r="CN200" s="24">
        <f t="shared" si="172"/>
        <v>9.0161613065385306E-3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160.61760000000049</v>
      </c>
      <c r="D201" s="12">
        <f t="shared" si="202"/>
        <v>40.981785561145188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1556.2057832790194</v>
      </c>
      <c r="H201" s="70">
        <f t="shared" si="192"/>
        <v>607.78559651899536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-3.4106051316484809E-13</v>
      </c>
      <c r="O201" s="14">
        <f>N201*VLOOKUP('Données projet'!$B$9,Paramètres!$A$1:$I$89,3,0)*VLOOKUP('Données projet'!$B$9,Paramètres!$A$1:$I$89,5,0)</f>
        <v>-1.5961632016114892E-13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273.21086764807194</v>
      </c>
      <c r="T201" s="62">
        <f t="shared" si="204"/>
        <v>259.3474218586631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-1.1368683772161603E-13</v>
      </c>
      <c r="AJ201" s="14">
        <f>AI201*VLOOKUP('Données projet'!$B$10,Paramètres!$A$1:$I$89,3,0)*VLOOKUP('Données projet'!$B$10,Paramètres!$A$1:$I$89,5,0)</f>
        <v>-9.9316821433603781E-14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121.79484266530449</v>
      </c>
      <c r="AO201" s="62">
        <f t="shared" si="205"/>
        <v>129.14577359424788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2.7082496977626221E-2</v>
      </c>
      <c r="AW201" s="23">
        <f>EXP(-LN(2)/2)*AW200+(1-EXP(-LN(2)/2))/(LN(2)/2)*AQ201*AT201*VLOOKUP('Données projet'!$B$10,Paramètres!$A$1:$I$89,3,0)*0.475*44/12</f>
        <v>1.8499266125839638E-25</v>
      </c>
      <c r="AX201" s="23">
        <f t="shared" si="166"/>
        <v>2.7082496977626221E-2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-5.6843418860808015E-14</v>
      </c>
      <c r="BE201" s="14">
        <f>BD201*VLOOKUP('Données projet'!$B$11,Paramètres!$A$1:$I$89,3,0)*VLOOKUP('Données projet'!$B$11,Paramètres!$A$1:$I$89,5,0)</f>
        <v>-5.7639226724859328E-14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201.65575435598231</v>
      </c>
      <c r="BJ201" s="62">
        <f t="shared" si="206"/>
        <v>103.75701796419935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1.1368683772161603E-13</v>
      </c>
      <c r="BZ201" s="14">
        <f>BY201*VLOOKUP('Données projet'!$B$12,Paramètres!$A$1:$I$89,3,0)*VLOOKUP('Données projet'!$B$12,Paramètres!$A$1:$I$89,5,0)</f>
        <v>6.7984728957526396E-14</v>
      </c>
      <c r="CA201" s="14">
        <f t="shared" si="170"/>
        <v>1.0682447123141398E-12</v>
      </c>
      <c r="CB201" s="22">
        <f t="shared" si="171"/>
        <v>1.978932943548152E-12</v>
      </c>
      <c r="CC201" s="62">
        <f t="shared" si="195"/>
        <v>293.3333333333353</v>
      </c>
      <c r="CD201" s="62">
        <f ca="1">AVERAGE(OFFSET($CC$3,0,0,'Données projet'!$E$12+1,1))-AVERAGE(OFFSET($H$3,0,0,'Données projet'!$E$12+1,1))</f>
        <v>222.32495275055498</v>
      </c>
      <c r="CE201" s="62">
        <f t="shared" si="207"/>
        <v>156.39259018918381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8.7696139014719187E-3</v>
      </c>
      <c r="CM201" s="23">
        <f>EXP(-LN(2)/2)*CM200+(1-EXP(-LN(2)/2))/(LN(2)/2)*CG201*CJ201*VLOOKUP('Données projet'!$B$12,Paramètres!$A$1:$I$89,3,0)*0.475*44/12</f>
        <v>5.4967759936157864E-25</v>
      </c>
      <c r="CN201" s="24">
        <f t="shared" si="172"/>
        <v>8.7696139014719187E-3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161.42880000000051</v>
      </c>
      <c r="D202" s="12">
        <f t="shared" si="202"/>
        <v>41.164618296930314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1563.8790184324487</v>
      </c>
      <c r="H202" s="70">
        <f t="shared" si="192"/>
        <v>609.51687020048792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-3.4106051316484809E-13</v>
      </c>
      <c r="O202" s="14">
        <f>N202*VLOOKUP('Données projet'!$B$9,Paramètres!$A$1:$I$89,3,0)*VLOOKUP('Données projet'!$B$9,Paramètres!$A$1:$I$89,5,0)</f>
        <v>-1.5961632016114892E-13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273.21086764807194</v>
      </c>
      <c r="T202" s="62">
        <f t="shared" si="204"/>
        <v>259.3474218586631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-1.1368683772161603E-13</v>
      </c>
      <c r="AJ202" s="14">
        <f>AI202*VLOOKUP('Données projet'!$B$10,Paramètres!$A$1:$I$89,3,0)*VLOOKUP('Données projet'!$B$10,Paramètres!$A$1:$I$89,5,0)</f>
        <v>-9.9316821433603781E-14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121.79484266530449</v>
      </c>
      <c r="AO202" s="62">
        <f t="shared" si="205"/>
        <v>129.14577359424788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2.6341924673566414E-2</v>
      </c>
      <c r="AW202" s="23">
        <f>EXP(-LN(2)/2)*AW201+(1-EXP(-LN(2)/2))/(LN(2)/2)*AQ202*AT202*VLOOKUP('Données projet'!$B$10,Paramètres!$A$1:$I$89,3,0)*0.475*44/12</f>
        <v>1.30809565245558E-25</v>
      </c>
      <c r="AX202" s="23">
        <f t="shared" si="166"/>
        <v>2.6341924673566414E-2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-5.6843418860808015E-14</v>
      </c>
      <c r="BE202" s="14">
        <f>BD202*VLOOKUP('Données projet'!$B$11,Paramètres!$A$1:$I$89,3,0)*VLOOKUP('Données projet'!$B$11,Paramètres!$A$1:$I$89,5,0)</f>
        <v>-5.7639226724859328E-14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201.65575435598231</v>
      </c>
      <c r="BJ202" s="62">
        <f t="shared" si="206"/>
        <v>103.75701796419935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1.1368683772161603E-13</v>
      </c>
      <c r="BZ202" s="14">
        <f>BY202*VLOOKUP('Données projet'!$B$12,Paramètres!$A$1:$I$89,3,0)*VLOOKUP('Données projet'!$B$12,Paramètres!$A$1:$I$89,5,0)</f>
        <v>6.7984728957526396E-14</v>
      </c>
      <c r="CA202" s="14">
        <f t="shared" si="170"/>
        <v>1.0682447123141398E-12</v>
      </c>
      <c r="CB202" s="22">
        <f t="shared" si="171"/>
        <v>1.978932943548152E-12</v>
      </c>
      <c r="CC202" s="62">
        <f t="shared" si="195"/>
        <v>293.3333333333353</v>
      </c>
      <c r="CD202" s="62">
        <f ca="1">AVERAGE(OFFSET($CC$3,0,0,'Données projet'!$E$12+1,1))-AVERAGE(OFFSET($H$3,0,0,'Données projet'!$E$12+1,1))</f>
        <v>222.32495275055498</v>
      </c>
      <c r="CE202" s="62">
        <f t="shared" si="207"/>
        <v>156.39259018918381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8.5298083481622176E-3</v>
      </c>
      <c r="CM202" s="23">
        <f>EXP(-LN(2)/2)*CM201+(1-EXP(-LN(2)/2))/(LN(2)/2)*CG202*CJ202*VLOOKUP('Données projet'!$B$12,Paramètres!$A$1:$I$89,3,0)*0.475*44/12</f>
        <v>3.8868075797491453E-25</v>
      </c>
      <c r="CN202" s="24">
        <f t="shared" si="172"/>
        <v>8.5298083481622176E-3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162.24000000000052</v>
      </c>
      <c r="D203" s="12">
        <f t="shared" si="202"/>
        <v>41.347344120141159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1571.5514282958304</v>
      </c>
      <c r="H203" s="70">
        <f t="shared" si="192"/>
        <v>611.24795767591343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-3.4106051316484809E-13</v>
      </c>
      <c r="O203" s="14">
        <f>N203*VLOOKUP('Données projet'!$B$9,Paramètres!$A$1:$I$89,3,0)*VLOOKUP('Données projet'!$B$9,Paramètres!$A$1:$I$89,5,0)</f>
        <v>-1.5961632016114892E-13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273.21086764807194</v>
      </c>
      <c r="T203" s="62">
        <f t="shared" si="204"/>
        <v>259.3474218586631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-1.1368683772161603E-13</v>
      </c>
      <c r="AJ203" s="14">
        <f>AI203*VLOOKUP('Données projet'!$B$10,Paramètres!$A$1:$I$89,3,0)*VLOOKUP('Données projet'!$B$10,Paramètres!$A$1:$I$89,5,0)</f>
        <v>-9.9316821433603781E-14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121.79484266530449</v>
      </c>
      <c r="AO203" s="62">
        <f t="shared" si="205"/>
        <v>129.14577359424788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2.5621603358106128E-2</v>
      </c>
      <c r="AW203" s="23">
        <f>EXP(-LN(2)/2)*AW202+(1-EXP(-LN(2)/2))/(LN(2)/2)*AQ203*AT203*VLOOKUP('Données projet'!$B$10,Paramètres!$A$1:$I$89,3,0)*0.475*44/12</f>
        <v>9.2496330629198191E-26</v>
      </c>
      <c r="AX203" s="23">
        <f t="shared" si="166"/>
        <v>2.5621603358106128E-2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-5.6843418860808015E-14</v>
      </c>
      <c r="BE203" s="14">
        <f>BD203*VLOOKUP('Données projet'!$B$11,Paramètres!$A$1:$I$89,3,0)*VLOOKUP('Données projet'!$B$11,Paramètres!$A$1:$I$89,5,0)</f>
        <v>-5.7639226724859328E-14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201.65575435598231</v>
      </c>
      <c r="BJ203" s="62">
        <f t="shared" si="206"/>
        <v>103.75701796419935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1.1368683772161603E-13</v>
      </c>
      <c r="BZ203" s="14">
        <f>BY203*VLOOKUP('Données projet'!$B$12,Paramètres!$A$1:$I$89,3,0)*VLOOKUP('Données projet'!$B$12,Paramètres!$A$1:$I$89,5,0)</f>
        <v>6.7984728957526396E-14</v>
      </c>
      <c r="CA203" s="14">
        <f t="shared" si="170"/>
        <v>1.0682447123141398E-12</v>
      </c>
      <c r="CB203" s="22">
        <f t="shared" si="171"/>
        <v>1.978932943548152E-12</v>
      </c>
      <c r="CC203" s="62">
        <f t="shared" si="195"/>
        <v>293.3333333333353</v>
      </c>
      <c r="CD203" s="62">
        <f ca="1">AVERAGE(OFFSET($CC$3,0,0,'Données projet'!$E$12+1,1))-AVERAGE(OFFSET($H$3,0,0,'Données projet'!$E$12+1,1))</f>
        <v>222.32495275055498</v>
      </c>
      <c r="CE203" s="62">
        <f t="shared" si="207"/>
        <v>156.39259018918381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8.2965602903185953E-3</v>
      </c>
      <c r="CM203" s="23">
        <f>EXP(-LN(2)/2)*CM202+(1-EXP(-LN(2)/2))/(LN(2)/2)*CG203*CJ203*VLOOKUP('Données projet'!$B$12,Paramètres!$A$1:$I$89,3,0)*0.475*44/12</f>
        <v>2.7483879968078932E-25</v>
      </c>
      <c r="CN203" s="24">
        <f t="shared" si="172"/>
        <v>8.2965602903185953E-3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1.1518506498535592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1.1554831727638066</v>
      </c>
      <c r="BA205" s="88">
        <f>EXP(LN('Données projet'!B88)/'Données projet'!A88)</f>
        <v>1.1457367676485573</v>
      </c>
      <c r="BV205" s="88">
        <f>EXP(LN('Données projet'!B114)/'Données projet'!A114)</f>
        <v>1.1932635389591795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E1" workbookViewId="0">
      <selection activeCell="L16" sqref="L16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Cèdre de l'Atlas</v>
      </c>
      <c r="B6" s="155">
        <f>'Données projet'!D9</f>
        <v>7.9275000000000002</v>
      </c>
      <c r="C6" s="156">
        <f ca="1">IF(OR('Données projet'!B9="",'Données projet'!C9="",'Données projet'!C9=0%),0,Calculateur!S3)</f>
        <v>273.21086764807194</v>
      </c>
      <c r="D6" s="156">
        <f>IF(OR('Données projet'!B9="",'Données projet'!C9="",'Données projet'!C9=0%),0,Calculateur!T3)</f>
        <v>259.3474218586631</v>
      </c>
      <c r="E6" s="156">
        <f ca="1">MIN(C6,D6)</f>
        <v>259.3474218586631</v>
      </c>
      <c r="F6" s="156">
        <f ca="1">E6*B6</f>
        <v>2055.9766867845519</v>
      </c>
      <c r="G6" s="156">
        <f ca="1">F6*(100%-'Données projet'!$C$24)*(100%-'Données projet'!$C$25)*(100%-'Données projet'!$C$26)*(100%-'Données projet'!$C$27)</f>
        <v>1757.8600672007917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0</v>
      </c>
      <c r="K6" s="160">
        <f>J6*(100%-'Données projet'!$C$24)*(100%-'Données projet'!$C$25)*(100%-'Données projet'!$C$26)*(100%-'Données projet'!$C$27)</f>
        <v>0</v>
      </c>
      <c r="L6" s="161">
        <f ca="1">G6+I6+K6</f>
        <v>1757.8600672007917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>Erable champêtre</v>
      </c>
      <c r="B7" s="163">
        <f>'Données projet'!D10</f>
        <v>0.32374999999999998</v>
      </c>
      <c r="C7" s="156">
        <f ca="1">IF(OR('Données projet'!B10="",'Données projet'!C10="",'Données projet'!C10=0%),0,Calculateur!AN3)</f>
        <v>121.79484266530449</v>
      </c>
      <c r="D7" s="156">
        <f>IF(OR('Données projet'!B10="",'Données projet'!C10="",'Données projet'!C10=0%),0,Calculateur!AO3)</f>
        <v>129.14577359424788</v>
      </c>
      <c r="E7" s="156">
        <f t="shared" ref="E7:E15" ca="1" si="0">MIN(C7,D7)</f>
        <v>121.79484266530449</v>
      </c>
      <c r="F7" s="156">
        <f t="shared" ref="F7:F15" ca="1" si="1">E7*B7</f>
        <v>39.431080312892327</v>
      </c>
      <c r="G7" s="156">
        <f ca="1">F7*(100%-'Données projet'!$C$24)*(100%-'Données projet'!$C$25)*(100%-'Données projet'!$C$26)*(100%-'Données projet'!$C$27)</f>
        <v>33.713573667522937</v>
      </c>
      <c r="H7" s="164">
        <f>IF(OR('Données projet'!B10="",'Données projet'!C10="",'Données projet'!C10=0%),0,AVERAGE(Calculateur!$AX$3:$AX$33)*B7)</f>
        <v>0.32167300359248796</v>
      </c>
      <c r="I7" s="158">
        <f>H7*(100%-'Données projet'!$C$24)*(100%-'Données projet'!$C$25)*(100%-'Données projet'!$C$26)*(100%-'Données projet'!$C$27)</f>
        <v>0.27503041807157719</v>
      </c>
      <c r="J7" s="159">
        <f>IF(OR('Données projet'!B10="",'Données projet'!C10="",'Données projet'!C10=0%),0,SUM(Calculateur!$AQ$3:$AQ$33)*VLOOKUP('Données projet'!$B$10,Paramètres!$A$1:$I$89,9,0)*B7)</f>
        <v>2.5090624999999998</v>
      </c>
      <c r="K7" s="160">
        <f>J7*(100%-'Données projet'!$C$24)*(100%-'Données projet'!$C$25)*(100%-'Données projet'!$C$26)*(100%-'Données projet'!$C$27)</f>
        <v>2.1452484374999998</v>
      </c>
      <c r="L7" s="161">
        <f t="shared" ref="L7:L15" ca="1" si="2">G7+I7+K7</f>
        <v>36.133852523094518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>Chêne pubescent</v>
      </c>
      <c r="B8" s="163">
        <f>'Données projet'!D11</f>
        <v>0.245</v>
      </c>
      <c r="C8" s="156">
        <f ca="1">IF(OR('Données projet'!B11="",'Données projet'!C11="",'Données projet'!C11=0%),0,Calculateur!BI3)</f>
        <v>201.65575435598231</v>
      </c>
      <c r="D8" s="156">
        <f>IF(OR('Données projet'!B11="",'Données projet'!C11="",'Données projet'!C11=0%),0,Calculateur!BJ3)</f>
        <v>103.75701796419935</v>
      </c>
      <c r="E8" s="156">
        <f t="shared" ca="1" si="0"/>
        <v>103.75701796419935</v>
      </c>
      <c r="F8" s="156">
        <f t="shared" ca="1" si="1"/>
        <v>25.420469401228839</v>
      </c>
      <c r="G8" s="156">
        <f ca="1">F8*(100%-'Données projet'!$C$24)*(100%-'Données projet'!$C$25)*(100%-'Données projet'!$C$26)*(100%-'Données projet'!$C$27)</f>
        <v>21.734501338050656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ca="1" si="2"/>
        <v>21.734501338050656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>Pin de Salzmann</v>
      </c>
      <c r="B9" s="163">
        <f>'Données projet'!D12</f>
        <v>0.25375000000000003</v>
      </c>
      <c r="C9" s="156">
        <f ca="1">IF(OR('Données projet'!B12="",'Données projet'!C12="",'Données projet'!C12=0%),0,Calculateur!CD3)</f>
        <v>222.32495275055498</v>
      </c>
      <c r="D9" s="156">
        <f>IF(OR('Données projet'!B12="",'Données projet'!C12="",'Données projet'!C12=0%),0,Calculateur!CE3)</f>
        <v>156.39259018918381</v>
      </c>
      <c r="E9" s="156">
        <f t="shared" ca="1" si="0"/>
        <v>156.39259018918381</v>
      </c>
      <c r="F9" s="156">
        <f t="shared" ca="1" si="1"/>
        <v>39.684619760505399</v>
      </c>
      <c r="G9" s="156">
        <f ca="1">F9*(100%-'Données projet'!$C$24)*(100%-'Données projet'!$C$25)*(100%-'Données projet'!$C$26)*(100%-'Données projet'!$C$27)</f>
        <v>33.930349895232112</v>
      </c>
      <c r="H9" s="164">
        <f>IF(OR('Données projet'!B12="",'Données projet'!C12="",'Données projet'!C12=0%),0,AVERAGE(Calculateur!$CN$3:$CN$33)*B9)</f>
        <v>0.27808094329683058</v>
      </c>
      <c r="I9" s="158">
        <f>H9*(100%-'Données projet'!$C$24)*(100%-'Données projet'!$C$25)*(100%-'Données projet'!$C$26)*(100%-'Données projet'!$C$27)</f>
        <v>0.23775920651879012</v>
      </c>
      <c r="J9" s="159">
        <f>IF(OR('Données projet'!B12="",'Données projet'!C12="",'Données projet'!C12=0%),0,SUM(Calculateur!$CG$3:$CG$33)*VLOOKUP('Données projet'!$B$12,Paramètres!$A$1:$I$89,9,0)*B9)</f>
        <v>3.0551500000000003</v>
      </c>
      <c r="K9" s="160">
        <f>J9*(100%-'Données projet'!$C$24)*(100%-'Données projet'!$C$25)*(100%-'Données projet'!$C$26)*(100%-'Données projet'!$C$27)</f>
        <v>2.6121532500000004</v>
      </c>
      <c r="L9" s="161">
        <f t="shared" ca="1" si="2"/>
        <v>36.780262351750899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2160.5128562591785</v>
      </c>
      <c r="G16" s="175">
        <f t="shared" ca="1" si="3"/>
        <v>1847.2384921015976</v>
      </c>
      <c r="H16" s="176">
        <f t="shared" si="3"/>
        <v>0.59975394688931849</v>
      </c>
      <c r="I16" s="176">
        <f t="shared" si="3"/>
        <v>0.51278962459036737</v>
      </c>
      <c r="J16" s="177">
        <f t="shared" si="3"/>
        <v>5.5642125</v>
      </c>
      <c r="K16" s="177">
        <f t="shared" si="3"/>
        <v>4.7574016874999998</v>
      </c>
      <c r="L16" s="178">
        <f t="shared" ca="1" si="3"/>
        <v>1852.5086834136878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Cèdre de l'Atlas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>Erable champêtre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>Chêne pubescent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>Pin de Salzmann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S1" zoomScale="90" zoomScaleNormal="90" workbookViewId="0">
      <selection activeCell="S18" sqref="S18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Cèdre de l'Atlas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1713.8113524958728</v>
      </c>
      <c r="U10" s="190">
        <f>'Données projet'!D9</f>
        <v>7.9275000000000002</v>
      </c>
      <c r="V10" s="189">
        <f>U10*T10</f>
        <v>13586.239496911032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Erable champêtre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286.07098010860386</v>
      </c>
      <c r="U11" s="190">
        <f>'Données projet'!D10</f>
        <v>0.32374999999999998</v>
      </c>
      <c r="V11" s="189">
        <f t="shared" ref="V11" si="0">U11*T11</f>
        <v>92.615479810160494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Chêne pubescent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341.95189032781411</v>
      </c>
      <c r="U12" s="190">
        <f>'Données projet'!D11</f>
        <v>0.245</v>
      </c>
      <c r="V12" s="189">
        <f t="shared" ref="V12:V19" si="1">U12*T12</f>
        <v>83.778213130314455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Pin de Salzmann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1456.8185064266663</v>
      </c>
      <c r="U13" s="190">
        <f>'Données projet'!D12</f>
        <v>0.25375000000000003</v>
      </c>
      <c r="V13" s="189">
        <f t="shared" si="1"/>
        <v>369.66769600576663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Cèdre de l'Atlas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>
        <v>70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69.999999999999957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>
        <v>20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1399.9999999999991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0</v>
      </c>
      <c r="I20" s="204">
        <f>(50564+20924)/8.75</f>
        <v>8170.0571428571429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0</v>
      </c>
      <c r="I21" s="204">
        <f>5758/8.75</f>
        <v>658.05714285714282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1</v>
      </c>
      <c r="I22" s="204">
        <f>6032/8.75</f>
        <v>689.37142857142862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42</v>
      </c>
      <c r="B23" s="193">
        <f>'Données projet'!D36</f>
        <v>110</v>
      </c>
      <c r="C23" s="342">
        <v>15</v>
      </c>
      <c r="D23" s="194">
        <f>B23*C23</f>
        <v>1650</v>
      </c>
      <c r="E23" s="206"/>
      <c r="F23" s="261"/>
      <c r="H23" s="203">
        <v>2</v>
      </c>
      <c r="I23" s="204">
        <f>6215/8.75</f>
        <v>710.28571428571433</v>
      </c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-91128.465305981576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48</v>
      </c>
      <c r="B24" s="193">
        <f>'Données projet'!D37</f>
        <v>78</v>
      </c>
      <c r="C24" s="343">
        <v>15</v>
      </c>
      <c r="D24" s="194">
        <f t="shared" ref="D24:D42" si="2">B24*C24</f>
        <v>1170</v>
      </c>
      <c r="E24" s="206"/>
      <c r="F24" s="264"/>
      <c r="H24" s="203">
        <v>3</v>
      </c>
      <c r="I24" s="204">
        <f>6398/8.75</f>
        <v>731.2</v>
      </c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562.33583174135754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54</v>
      </c>
      <c r="B25" s="193">
        <f>'Données projet'!D38</f>
        <v>86</v>
      </c>
      <c r="C25" s="342">
        <v>18</v>
      </c>
      <c r="D25" s="194">
        <f t="shared" si="2"/>
        <v>1548</v>
      </c>
      <c r="E25" s="206"/>
      <c r="F25" s="264"/>
      <c r="G25" s="1"/>
      <c r="H25" s="203">
        <v>4</v>
      </c>
      <c r="I25" s="204">
        <f>6580/8.75</f>
        <v>752</v>
      </c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6">
        <f ca="1">T23-T24</f>
        <v>-91690.801137722927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60</v>
      </c>
      <c r="B26" s="193">
        <f>'Données projet'!D39</f>
        <v>84</v>
      </c>
      <c r="C26" s="342">
        <v>20</v>
      </c>
      <c r="D26" s="194">
        <f t="shared" si="2"/>
        <v>1680</v>
      </c>
      <c r="E26" s="206"/>
      <c r="F26" s="264"/>
      <c r="G26" s="259"/>
      <c r="H26" s="203">
        <v>5</v>
      </c>
      <c r="I26" s="204">
        <f>6763/8.75</f>
        <v>772.91428571428571</v>
      </c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66</v>
      </c>
      <c r="B27" s="193">
        <f>'Données projet'!D40</f>
        <v>88</v>
      </c>
      <c r="C27" s="342">
        <v>25</v>
      </c>
      <c r="D27" s="194">
        <f t="shared" si="2"/>
        <v>2200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72</v>
      </c>
      <c r="B28" s="193">
        <f>'Données projet'!D41</f>
        <v>87</v>
      </c>
      <c r="C28" s="342">
        <v>30</v>
      </c>
      <c r="D28" s="194">
        <f t="shared" si="2"/>
        <v>2610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78</v>
      </c>
      <c r="B29" s="193">
        <f>'Données projet'!D42</f>
        <v>82</v>
      </c>
      <c r="C29" s="342">
        <v>50</v>
      </c>
      <c r="D29" s="194">
        <f t="shared" si="2"/>
        <v>4100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84</v>
      </c>
      <c r="B30" s="193">
        <f>'Données projet'!D43</f>
        <v>554</v>
      </c>
      <c r="C30" s="206">
        <v>50</v>
      </c>
      <c r="D30" s="194">
        <f t="shared" si="2"/>
        <v>27700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>Erable champêtre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20</v>
      </c>
      <c r="B54" s="193">
        <f>'Données projet'!D62</f>
        <v>3</v>
      </c>
      <c r="C54" s="342">
        <v>4</v>
      </c>
      <c r="D54" s="191">
        <f t="shared" ref="D54:D61" si="4">B54*C54</f>
        <v>12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25</v>
      </c>
      <c r="B55" s="193">
        <f>'Données projet'!D63</f>
        <v>14</v>
      </c>
      <c r="C55" s="342">
        <v>8</v>
      </c>
      <c r="D55" s="191">
        <f t="shared" si="4"/>
        <v>112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30</v>
      </c>
      <c r="B56" s="193">
        <f>'Données projet'!D64</f>
        <v>14</v>
      </c>
      <c r="C56" s="342">
        <v>10</v>
      </c>
      <c r="D56" s="191">
        <f t="shared" si="4"/>
        <v>140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35</v>
      </c>
      <c r="B57" s="193">
        <f>'Données projet'!D65</f>
        <v>14</v>
      </c>
      <c r="C57" s="342">
        <v>10</v>
      </c>
      <c r="D57" s="191">
        <f t="shared" si="4"/>
        <v>140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40</v>
      </c>
      <c r="B58" s="193">
        <f>'Données projet'!D66</f>
        <v>14</v>
      </c>
      <c r="C58" s="342">
        <v>15</v>
      </c>
      <c r="D58" s="191">
        <f t="shared" si="4"/>
        <v>210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45</v>
      </c>
      <c r="B59" s="193">
        <f>'Données projet'!D67</f>
        <v>14</v>
      </c>
      <c r="C59" s="342">
        <v>15</v>
      </c>
      <c r="D59" s="191">
        <f t="shared" si="4"/>
        <v>210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50</v>
      </c>
      <c r="B60" s="193">
        <f>'Données projet'!D68</f>
        <v>11</v>
      </c>
      <c r="C60" s="342">
        <v>15</v>
      </c>
      <c r="D60" s="191">
        <f t="shared" si="4"/>
        <v>165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55</v>
      </c>
      <c r="B61" s="193">
        <f>'Données projet'!D69</f>
        <v>9</v>
      </c>
      <c r="C61" s="342">
        <v>15</v>
      </c>
      <c r="D61" s="191">
        <f t="shared" si="4"/>
        <v>135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60</v>
      </c>
      <c r="B62" s="193">
        <f>'Données projet'!D70</f>
        <v>7</v>
      </c>
      <c r="C62" s="342">
        <v>20</v>
      </c>
      <c r="D62" s="191">
        <f t="shared" ref="D62:D73" si="5">B62*C62</f>
        <v>140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65</v>
      </c>
      <c r="B63" s="193">
        <f>'Données projet'!D71</f>
        <v>6</v>
      </c>
      <c r="C63" s="342">
        <v>20</v>
      </c>
      <c r="D63" s="191">
        <f t="shared" si="5"/>
        <v>120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70</v>
      </c>
      <c r="B64" s="193">
        <f>'Données projet'!D72</f>
        <v>5</v>
      </c>
      <c r="C64" s="342">
        <v>20</v>
      </c>
      <c r="D64" s="191">
        <f t="shared" si="5"/>
        <v>100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75</v>
      </c>
      <c r="B65" s="193">
        <f>'Données projet'!D73</f>
        <v>4</v>
      </c>
      <c r="C65" s="204">
        <v>20</v>
      </c>
      <c r="D65" s="191">
        <f t="shared" si="5"/>
        <v>80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6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80</v>
      </c>
      <c r="B66" s="193">
        <f>'Données projet'!D74</f>
        <v>159</v>
      </c>
      <c r="C66" s="204">
        <v>20</v>
      </c>
      <c r="D66" s="191">
        <f t="shared" si="5"/>
        <v>3180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6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0</v>
      </c>
      <c r="B67" s="193">
        <f>'Données projet'!D75</f>
        <v>0</v>
      </c>
      <c r="C67" s="204"/>
      <c r="D67" s="191">
        <f t="shared" si="5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6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0</v>
      </c>
      <c r="B68" s="193">
        <f>'Données projet'!D76</f>
        <v>0</v>
      </c>
      <c r="C68" s="204"/>
      <c r="D68" s="191">
        <f t="shared" si="5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6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0</v>
      </c>
      <c r="B69" s="193">
        <f>'Données projet'!D77</f>
        <v>0</v>
      </c>
      <c r="C69" s="204"/>
      <c r="D69" s="191">
        <f t="shared" si="5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6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0</v>
      </c>
      <c r="B70" s="193">
        <f>'Données projet'!D78</f>
        <v>0</v>
      </c>
      <c r="C70" s="204"/>
      <c r="D70" s="191">
        <f t="shared" si="5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6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0</v>
      </c>
      <c r="B71" s="193">
        <f>'Données projet'!D79</f>
        <v>0</v>
      </c>
      <c r="C71" s="204"/>
      <c r="D71" s="191">
        <f t="shared" si="5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6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0</v>
      </c>
      <c r="B72" s="193">
        <f>'Données projet'!D80</f>
        <v>0</v>
      </c>
      <c r="C72" s="204"/>
      <c r="D72" s="191">
        <f t="shared" si="5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6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0</v>
      </c>
      <c r="B73" s="193">
        <f>'Données projet'!D81</f>
        <v>0</v>
      </c>
      <c r="C73" s="204"/>
      <c r="D73" s="191">
        <f t="shared" si="5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6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6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6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>Chêne pubescent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6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6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6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6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6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6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6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6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6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25</v>
      </c>
      <c r="B85" s="193">
        <f>'Données projet'!D88</f>
        <v>0</v>
      </c>
      <c r="C85" s="342">
        <v>4</v>
      </c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6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30</v>
      </c>
      <c r="B86" s="193">
        <f>'Données projet'!D89</f>
        <v>0</v>
      </c>
      <c r="C86" s="342">
        <v>8</v>
      </c>
      <c r="D86" s="191">
        <f t="shared" ref="D86:D104" si="7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6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35</v>
      </c>
      <c r="B87" s="193">
        <f>'Données projet'!D90</f>
        <v>13</v>
      </c>
      <c r="C87" s="342">
        <v>10</v>
      </c>
      <c r="D87" s="191">
        <f t="shared" si="7"/>
        <v>130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6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40</v>
      </c>
      <c r="B88" s="193">
        <f>'Données projet'!D91</f>
        <v>14</v>
      </c>
      <c r="C88" s="342">
        <v>10</v>
      </c>
      <c r="D88" s="191">
        <f t="shared" si="7"/>
        <v>140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6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45</v>
      </c>
      <c r="B89" s="193">
        <f>'Données projet'!D92</f>
        <v>14</v>
      </c>
      <c r="C89" s="342">
        <v>15</v>
      </c>
      <c r="D89" s="191">
        <f t="shared" si="7"/>
        <v>210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6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50</v>
      </c>
      <c r="B90" s="193">
        <f>'Données projet'!D93</f>
        <v>14</v>
      </c>
      <c r="C90" s="342">
        <v>15</v>
      </c>
      <c r="D90" s="191">
        <f t="shared" si="7"/>
        <v>210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6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55</v>
      </c>
      <c r="B91" s="193">
        <f>'Données projet'!D94</f>
        <v>14</v>
      </c>
      <c r="C91" s="342">
        <v>15</v>
      </c>
      <c r="D91" s="191">
        <f t="shared" si="7"/>
        <v>210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6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60</v>
      </c>
      <c r="B92" s="193">
        <f>'Données projet'!D95</f>
        <v>14</v>
      </c>
      <c r="C92" s="342">
        <v>15</v>
      </c>
      <c r="D92" s="191">
        <f t="shared" si="7"/>
        <v>210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6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65</v>
      </c>
      <c r="B93" s="193">
        <f>'Données projet'!D96</f>
        <v>14</v>
      </c>
      <c r="C93" s="342">
        <v>20</v>
      </c>
      <c r="D93" s="191">
        <f t="shared" si="7"/>
        <v>280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6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70</v>
      </c>
      <c r="B94" s="193">
        <f>'Données projet'!D97</f>
        <v>14</v>
      </c>
      <c r="C94" s="342">
        <v>20</v>
      </c>
      <c r="D94" s="191">
        <f t="shared" si="7"/>
        <v>280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6"/>
        <v>0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75</v>
      </c>
      <c r="B95" s="193">
        <f>'Données projet'!D98</f>
        <v>14</v>
      </c>
      <c r="C95" s="342">
        <v>20</v>
      </c>
      <c r="D95" s="191">
        <f t="shared" si="7"/>
        <v>280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6"/>
        <v>0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80</v>
      </c>
      <c r="B96" s="193">
        <f>'Données projet'!D99</f>
        <v>14</v>
      </c>
      <c r="C96" s="204">
        <v>20</v>
      </c>
      <c r="D96" s="191">
        <f t="shared" si="7"/>
        <v>280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6"/>
        <v>0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85</v>
      </c>
      <c r="B97" s="193">
        <f>'Données projet'!D100</f>
        <v>14</v>
      </c>
      <c r="C97" s="204">
        <v>20</v>
      </c>
      <c r="D97" s="191">
        <f t="shared" si="7"/>
        <v>280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8">$P$25/(1+$M$4)^O97</f>
        <v>0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90</v>
      </c>
      <c r="B98" s="193">
        <f>'Données projet'!D101</f>
        <v>14</v>
      </c>
      <c r="C98" s="204">
        <v>20</v>
      </c>
      <c r="D98" s="191">
        <f t="shared" si="7"/>
        <v>280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8"/>
        <v>0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95</v>
      </c>
      <c r="B99" s="193">
        <f>'Données projet'!D102</f>
        <v>14</v>
      </c>
      <c r="C99" s="204">
        <v>30</v>
      </c>
      <c r="D99" s="191">
        <f t="shared" si="7"/>
        <v>420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8"/>
        <v>0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100</v>
      </c>
      <c r="B100" s="193">
        <f>'Données projet'!D103</f>
        <v>13</v>
      </c>
      <c r="C100" s="204">
        <v>40</v>
      </c>
      <c r="D100" s="191">
        <f t="shared" si="7"/>
        <v>520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8"/>
        <v>0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105</v>
      </c>
      <c r="B101" s="193">
        <f>'Données projet'!D104</f>
        <v>13</v>
      </c>
      <c r="C101" s="204">
        <v>50</v>
      </c>
      <c r="D101" s="191">
        <f t="shared" si="7"/>
        <v>650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8"/>
        <v>0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110</v>
      </c>
      <c r="B102" s="193">
        <f>'Données projet'!D105</f>
        <v>13</v>
      </c>
      <c r="C102" s="204">
        <v>60</v>
      </c>
      <c r="D102" s="191">
        <f t="shared" si="7"/>
        <v>780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8"/>
        <v>0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115</v>
      </c>
      <c r="B103" s="193">
        <f>'Données projet'!D106</f>
        <v>13</v>
      </c>
      <c r="C103" s="204">
        <v>80</v>
      </c>
      <c r="D103" s="191">
        <f t="shared" si="7"/>
        <v>1040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>
        <f>IF(O102+1&lt;=MIN('Données projet'!$E$9:$E$18),O102+1,"STOP")</f>
        <v>70</v>
      </c>
      <c r="P103" s="197">
        <f t="shared" si="8"/>
        <v>0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120</v>
      </c>
      <c r="B104" s="193">
        <f>'Données projet'!D107</f>
        <v>222</v>
      </c>
      <c r="C104" s="204">
        <v>100</v>
      </c>
      <c r="D104" s="191">
        <f t="shared" si="7"/>
        <v>22200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>
        <f>IF(O103+1&lt;=MIN('Données projet'!$E$9:$E$18),O103+1,"STOP")</f>
        <v>71</v>
      </c>
      <c r="P104" s="197">
        <f t="shared" si="8"/>
        <v>0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>
        <f>IF(O104+1&lt;=MIN('Données projet'!$E$9:$E$18),O104+1,"STOP")</f>
        <v>72</v>
      </c>
      <c r="P105" s="197">
        <f t="shared" si="8"/>
        <v>0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>
        <f>IF(O105+1&lt;=MIN('Données projet'!$E$9:$E$18),O105+1,"STOP")</f>
        <v>73</v>
      </c>
      <c r="P106" s="197">
        <f t="shared" si="8"/>
        <v>0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>Pin de Salzmann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>
        <f>IF(O106+1&lt;=MIN('Données projet'!$E$9:$E$18),O106+1,"STOP")</f>
        <v>74</v>
      </c>
      <c r="P107" s="197">
        <f t="shared" si="8"/>
        <v>0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>
        <f>IF(O107+1&lt;=MIN('Données projet'!$E$9:$E$18),O107+1,"STOP")</f>
        <v>75</v>
      </c>
      <c r="P108" s="197">
        <f t="shared" si="8"/>
        <v>0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>
        <f>IF(O108+1&lt;=MIN('Données projet'!$E$9:$E$18),O108+1,"STOP")</f>
        <v>76</v>
      </c>
      <c r="P109" s="197">
        <f t="shared" si="8"/>
        <v>0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>
        <f>IF(O109+1&lt;=MIN('Données projet'!$E$9:$E$18),O109+1,"STOP")</f>
        <v>77</v>
      </c>
      <c r="P110" s="197">
        <f t="shared" si="8"/>
        <v>0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>
        <f>IF(O110+1&lt;=MIN('Données projet'!$E$9:$E$18),O110+1,"STOP")</f>
        <v>78</v>
      </c>
      <c r="P111" s="197">
        <f t="shared" si="8"/>
        <v>0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>
        <f>IF(O111+1&lt;=MIN('Données projet'!$E$9:$E$18),O111+1,"STOP")</f>
        <v>79</v>
      </c>
      <c r="P112" s="197">
        <f t="shared" si="8"/>
        <v>0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>
        <f>IF(O112+1&lt;=MIN('Données projet'!$E$9:$E$18),O112+1,"STOP")</f>
        <v>80</v>
      </c>
      <c r="P113" s="197">
        <f t="shared" si="8"/>
        <v>0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str">
        <f>IF(O113+1&lt;=MIN('Données projet'!$E$9:$E$18),O113+1,"STOP")</f>
        <v>STOP</v>
      </c>
      <c r="P114" s="197" t="e">
        <f t="shared" si="8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8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27</v>
      </c>
      <c r="B116" s="193">
        <f>'Données projet'!D114</f>
        <v>15</v>
      </c>
      <c r="C116" s="342">
        <v>12</v>
      </c>
      <c r="D116" s="191">
        <f t="shared" ref="D116:D123" si="9">B116*C116</f>
        <v>180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8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30</v>
      </c>
      <c r="B117" s="193">
        <f>'Données projet'!D115</f>
        <v>13</v>
      </c>
      <c r="C117" s="342">
        <v>12</v>
      </c>
      <c r="D117" s="191">
        <f t="shared" si="9"/>
        <v>156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8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35</v>
      </c>
      <c r="B118" s="193">
        <f>'Données projet'!D116</f>
        <v>23</v>
      </c>
      <c r="C118" s="342">
        <v>15</v>
      </c>
      <c r="D118" s="191">
        <f t="shared" si="9"/>
        <v>345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8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40</v>
      </c>
      <c r="B119" s="193">
        <f>'Données projet'!D117</f>
        <v>34</v>
      </c>
      <c r="C119" s="342">
        <v>17</v>
      </c>
      <c r="D119" s="191">
        <f t="shared" si="9"/>
        <v>578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8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50</v>
      </c>
      <c r="B120" s="193">
        <f>'Données projet'!D118</f>
        <v>79</v>
      </c>
      <c r="C120" s="342">
        <v>20</v>
      </c>
      <c r="D120" s="191">
        <f t="shared" si="9"/>
        <v>1580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8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60</v>
      </c>
      <c r="B121" s="193">
        <f>'Données projet'!D119</f>
        <v>88</v>
      </c>
      <c r="C121" s="342">
        <v>25</v>
      </c>
      <c r="D121" s="191">
        <f t="shared" si="9"/>
        <v>2200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8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70</v>
      </c>
      <c r="B122" s="193">
        <f>'Données projet'!D120</f>
        <v>78</v>
      </c>
      <c r="C122" s="342">
        <v>30</v>
      </c>
      <c r="D122" s="191">
        <f t="shared" si="9"/>
        <v>2340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8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80</v>
      </c>
      <c r="B123" s="193">
        <f>'Données projet'!D121</f>
        <v>460</v>
      </c>
      <c r="C123" s="342">
        <v>55</v>
      </c>
      <c r="D123" s="191">
        <f t="shared" si="9"/>
        <v>25300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8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0</v>
      </c>
      <c r="B124" s="193">
        <f>'Données projet'!D122</f>
        <v>0</v>
      </c>
      <c r="C124" s="342"/>
      <c r="D124" s="191">
        <f t="shared" ref="D124:D135" si="10">B124*C124</f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8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0</v>
      </c>
      <c r="B125" s="193">
        <f>'Données projet'!D123</f>
        <v>0</v>
      </c>
      <c r="C125" s="342"/>
      <c r="D125" s="191">
        <f t="shared" si="10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8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0</v>
      </c>
      <c r="B126" s="193">
        <f>'Données projet'!D124</f>
        <v>0</v>
      </c>
      <c r="C126" s="342"/>
      <c r="D126" s="191">
        <f t="shared" si="10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8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0</v>
      </c>
      <c r="B127" s="193">
        <f>'Données projet'!D125</f>
        <v>0</v>
      </c>
      <c r="C127" s="204"/>
      <c r="D127" s="191">
        <f t="shared" si="10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8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0</v>
      </c>
      <c r="B128" s="193">
        <f>'Données projet'!D126</f>
        <v>0</v>
      </c>
      <c r="C128" s="204"/>
      <c r="D128" s="191">
        <f t="shared" si="10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8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0</v>
      </c>
      <c r="B129" s="193">
        <f>'Données projet'!D127</f>
        <v>0</v>
      </c>
      <c r="C129" s="204"/>
      <c r="D129" s="191">
        <f t="shared" si="10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11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/>
      <c r="D130" s="191">
        <f t="shared" si="10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11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10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11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10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11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10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10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10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2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0</v>
      </c>
      <c r="B149" s="187">
        <f>'Données projet'!D142</f>
        <v>0</v>
      </c>
      <c r="C149" s="204"/>
      <c r="D149" s="194">
        <f t="shared" si="12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0</v>
      </c>
      <c r="B150" s="187">
        <f>'Données projet'!D143</f>
        <v>0</v>
      </c>
      <c r="C150" s="204"/>
      <c r="D150" s="194">
        <f t="shared" si="12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0</v>
      </c>
      <c r="B151" s="187">
        <f>'Données projet'!D144</f>
        <v>0</v>
      </c>
      <c r="C151" s="204"/>
      <c r="D151" s="194">
        <f t="shared" si="12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0</v>
      </c>
      <c r="B152" s="187">
        <f>'Données projet'!D145</f>
        <v>0</v>
      </c>
      <c r="C152" s="204"/>
      <c r="D152" s="194">
        <f t="shared" si="12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0</v>
      </c>
      <c r="B153" s="187">
        <f>'Données projet'!D146</f>
        <v>0</v>
      </c>
      <c r="C153" s="204"/>
      <c r="D153" s="194">
        <f t="shared" si="12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7">
        <f>'Données projet'!D147</f>
        <v>0</v>
      </c>
      <c r="C154" s="204"/>
      <c r="D154" s="194">
        <f t="shared" si="12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7">
        <f>'Données projet'!D148</f>
        <v>0</v>
      </c>
      <c r="C155" s="204"/>
      <c r="D155" s="194">
        <f t="shared" si="12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7">
        <f>'Données projet'!D149</f>
        <v>0</v>
      </c>
      <c r="C156" s="204"/>
      <c r="D156" s="194">
        <f t="shared" si="12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7">
        <f>'Données projet'!D150</f>
        <v>0</v>
      </c>
      <c r="C157" s="204"/>
      <c r="D157" s="194">
        <f t="shared" si="12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7">
        <f>'Données projet'!D151</f>
        <v>0</v>
      </c>
      <c r="C158" s="204"/>
      <c r="D158" s="194">
        <f t="shared" si="12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7">
        <f>'Données projet'!D152</f>
        <v>0</v>
      </c>
      <c r="C159" s="204"/>
      <c r="D159" s="194">
        <f t="shared" si="12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4"/>
      <c r="D160" s="194">
        <f t="shared" si="12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/>
      <c r="D161" s="194">
        <f t="shared" si="12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2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2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2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2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2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3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0</v>
      </c>
      <c r="B180" s="193">
        <f>'Données projet'!D168</f>
        <v>0</v>
      </c>
      <c r="C180" s="206"/>
      <c r="D180" s="191">
        <f t="shared" si="13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0</v>
      </c>
      <c r="B181" s="193">
        <f>'Données projet'!D169</f>
        <v>0</v>
      </c>
      <c r="C181" s="206"/>
      <c r="D181" s="191">
        <f t="shared" si="13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0</v>
      </c>
      <c r="B182" s="193">
        <f>'Données projet'!D170</f>
        <v>0</v>
      </c>
      <c r="C182" s="206"/>
      <c r="D182" s="191">
        <f t="shared" si="13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0</v>
      </c>
      <c r="B183" s="193">
        <f>'Données projet'!D171</f>
        <v>0</v>
      </c>
      <c r="C183" s="206"/>
      <c r="D183" s="191">
        <f t="shared" si="13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0</v>
      </c>
      <c r="B184" s="193">
        <f>'Données projet'!D172</f>
        <v>0</v>
      </c>
      <c r="C184" s="206"/>
      <c r="D184" s="191">
        <f t="shared" si="13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0</v>
      </c>
      <c r="B185" s="193">
        <f>'Données projet'!D173</f>
        <v>0</v>
      </c>
      <c r="C185" s="206"/>
      <c r="D185" s="191">
        <f t="shared" si="13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0</v>
      </c>
      <c r="B186" s="193">
        <f>'Données projet'!D174</f>
        <v>0</v>
      </c>
      <c r="C186" s="206"/>
      <c r="D186" s="191">
        <f t="shared" si="13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0</v>
      </c>
      <c r="B187" s="193">
        <f>'Données projet'!D175</f>
        <v>0</v>
      </c>
      <c r="C187" s="206"/>
      <c r="D187" s="191">
        <f t="shared" si="13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6"/>
      <c r="D188" s="191">
        <f t="shared" si="13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6"/>
      <c r="D189" s="191">
        <f t="shared" si="13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6"/>
      <c r="D190" s="191">
        <f t="shared" si="13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6"/>
      <c r="D191" s="191">
        <f t="shared" si="13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/>
      <c r="D192" s="191">
        <f t="shared" si="13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3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3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3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3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3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4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6"/>
      <c r="D211" s="191">
        <f t="shared" si="14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6"/>
      <c r="D212" s="191">
        <f t="shared" si="14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6"/>
      <c r="D213" s="191">
        <f t="shared" si="14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14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14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4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4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4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4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4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4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4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4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4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4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4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4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4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5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5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5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5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5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5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5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5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5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5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5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5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5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5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5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5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5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5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5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6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6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6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6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6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6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6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6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6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6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6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6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6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6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6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6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6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6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6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7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7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7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7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7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7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7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7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7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7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7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7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7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7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7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7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7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7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7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2024-10-31T13:55:56Z</dcterms:modified>
</cp:coreProperties>
</file>